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.Tech_Thesis_Project\"/>
    </mc:Choice>
  </mc:AlternateContent>
  <xr:revisionPtr revIDLastSave="0" documentId="13_ncr:1_{BAE0FD70-8151-4815-909B-F461BDA5760A}" xr6:coauthVersionLast="47" xr6:coauthVersionMax="47" xr10:uidLastSave="{00000000-0000-0000-0000-000000000000}"/>
  <bookViews>
    <workbookView xWindow="-108" yWindow="-108" windowWidth="23256" windowHeight="12456" xr2:uid="{63D6363F-99D7-4489-BC25-499E50BA7665}"/>
  </bookViews>
  <sheets>
    <sheet name="Hyderabad" sheetId="1" r:id="rId1"/>
    <sheet name="Dahej" sheetId="2" r:id="rId2"/>
    <sheet name="Jhagadia" sheetId="3" r:id="rId3"/>
    <sheet name="Sultanpur" sheetId="4" r:id="rId4"/>
    <sheet name="Overall_Sheet" sheetId="8" r:id="rId5"/>
    <sheet name="Item_Category" sheetId="5" r:id="rId6"/>
    <sheet name="Payment_Terms" sheetId="6" r:id="rId7"/>
    <sheet name="Payment terms count&amp;percentage" sheetId="7" r:id="rId8"/>
    <sheet name="Expected Date" sheetId="10" r:id="rId9"/>
    <sheet name="Currency" sheetId="13" r:id="rId10"/>
    <sheet name="Hyderabad list(Rating&lt;=3)" sheetId="14" r:id="rId11"/>
    <sheet name="Dahej list(Rating&lt;=3)" sheetId="15" r:id="rId12"/>
    <sheet name="Jhagadia list(Rating&lt;=3)" sheetId="16" r:id="rId13"/>
    <sheet name="Sultanpur list(Rating&lt;=3)" sheetId="17" r:id="rId14"/>
    <sheet name="Overall_Sheet list(Rating&lt;=3)" sheetId="18" r:id="rId15"/>
  </sheets>
  <definedNames>
    <definedName name="_xlnm._FilterDatabase" localSheetId="9" hidden="1">Currency!$A$1:$B$1</definedName>
    <definedName name="_xlnm._FilterDatabase" localSheetId="1" hidden="1">Dahej!$A$1:$AR$1</definedName>
    <definedName name="_xlnm._FilterDatabase" localSheetId="11" hidden="1">'Dahej list(Rating&lt;=3)'!$A$1:$C$1</definedName>
    <definedName name="_xlnm._FilterDatabase" localSheetId="8" hidden="1">'Expected Date'!$A$1:$B$105</definedName>
    <definedName name="_xlnm._FilterDatabase" localSheetId="0" hidden="1">Hyderabad!$A$1:$AR$283</definedName>
    <definedName name="_xlnm._FilterDatabase" localSheetId="10" hidden="1">'Hyderabad list(Rating&lt;=3)'!$A$1:$C$1</definedName>
    <definedName name="_xlnm._FilterDatabase" localSheetId="5" hidden="1">Item_Category!$A$1:$B$189</definedName>
    <definedName name="_xlnm._FilterDatabase" localSheetId="2" hidden="1">Jhagadia!$A$1:$AR$1</definedName>
    <definedName name="_xlnm._FilterDatabase" localSheetId="12" hidden="1">'Jhagadia list(Rating&lt;=3)'!$A$1:$C$1</definedName>
    <definedName name="_xlnm._FilterDatabase" localSheetId="4" hidden="1">Overall_Sheet!$A$1:$AQ$846</definedName>
    <definedName name="_xlnm._FilterDatabase" localSheetId="14" hidden="1">'Overall_Sheet list(Rating&lt;=3)'!$A$1:$C$1</definedName>
    <definedName name="_xlnm._FilterDatabase" localSheetId="7" hidden="1">'Payment terms count&amp;percentage'!$A$1:$I$1</definedName>
    <definedName name="_xlnm._FilterDatabase" localSheetId="6" hidden="1">Payment_Terms!$A$1:$B$42</definedName>
    <definedName name="_xlnm._FilterDatabase" localSheetId="3" hidden="1">Sultanpur!$A$1:$AR$1</definedName>
    <definedName name="_xlnm._FilterDatabase" localSheetId="13" hidden="1">'Sultanpur list(Rating&lt;=3)'!$A$1:$C$1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1" l="1"/>
  <c r="Y2" i="1"/>
  <c r="Z2" i="1"/>
  <c r="AQ2" i="1" s="1"/>
  <c r="B2" i="14" s="1" a="1"/>
  <c r="B2" i="14" s="1"/>
  <c r="X2" i="1"/>
  <c r="AM2" i="1"/>
  <c r="AK2" i="1"/>
  <c r="C2" i="17" a="1"/>
  <c r="C2" i="17" s="1"/>
  <c r="B2" i="17" a="1"/>
  <c r="B2" i="17" s="1"/>
  <c r="A2" i="17" a="1"/>
  <c r="A2" i="17" s="1"/>
  <c r="C2" i="16" a="1"/>
  <c r="C2" i="16" s="1"/>
  <c r="B2" i="16" a="1"/>
  <c r="B2" i="16" s="1"/>
  <c r="A2" i="16" a="1"/>
  <c r="A2" i="16" s="1"/>
  <c r="C2" i="15" a="1"/>
  <c r="C2" i="15" s="1"/>
  <c r="B2" i="15" a="1"/>
  <c r="B2" i="15" s="1"/>
  <c r="A2" i="15" a="1"/>
  <c r="A2" i="15" s="1"/>
  <c r="AN3" i="8"/>
  <c r="AN4" i="8"/>
  <c r="AN5" i="8"/>
  <c r="AN6" i="8"/>
  <c r="AN7" i="8"/>
  <c r="AN8" i="8"/>
  <c r="AN9" i="8"/>
  <c r="AN10" i="8"/>
  <c r="AN11" i="8"/>
  <c r="AN12" i="8"/>
  <c r="AN13" i="8"/>
  <c r="AN14" i="8"/>
  <c r="AN15" i="8"/>
  <c r="AN16" i="8"/>
  <c r="AN17" i="8"/>
  <c r="AN18" i="8"/>
  <c r="AN19" i="8"/>
  <c r="AN20" i="8"/>
  <c r="AN21" i="8"/>
  <c r="AN22" i="8"/>
  <c r="AN23" i="8"/>
  <c r="AN24" i="8"/>
  <c r="AN25" i="8"/>
  <c r="AN26" i="8"/>
  <c r="AN27" i="8"/>
  <c r="AN28" i="8"/>
  <c r="AN29" i="8"/>
  <c r="AN30" i="8"/>
  <c r="AN31" i="8"/>
  <c r="AN32" i="8"/>
  <c r="AN33" i="8"/>
  <c r="AN34" i="8"/>
  <c r="AN35" i="8"/>
  <c r="AN36" i="8"/>
  <c r="AN37" i="8"/>
  <c r="AN38" i="8"/>
  <c r="AN39" i="8"/>
  <c r="AN40" i="8"/>
  <c r="AN41" i="8"/>
  <c r="AN42" i="8"/>
  <c r="AN43" i="8"/>
  <c r="AN44" i="8"/>
  <c r="AN45" i="8"/>
  <c r="AN46" i="8"/>
  <c r="AN47" i="8"/>
  <c r="AN48" i="8"/>
  <c r="AN49" i="8"/>
  <c r="AN50" i="8"/>
  <c r="AN51" i="8"/>
  <c r="AN52" i="8"/>
  <c r="AN53" i="8"/>
  <c r="AN54" i="8"/>
  <c r="AN55" i="8"/>
  <c r="AN56" i="8"/>
  <c r="AN57" i="8"/>
  <c r="AN58" i="8"/>
  <c r="AN59" i="8"/>
  <c r="AN60" i="8"/>
  <c r="AN61" i="8"/>
  <c r="AN62" i="8"/>
  <c r="AN63" i="8"/>
  <c r="AN64" i="8"/>
  <c r="AN65" i="8"/>
  <c r="AN66" i="8"/>
  <c r="AN67" i="8"/>
  <c r="AN68" i="8"/>
  <c r="AN69" i="8"/>
  <c r="AN70" i="8"/>
  <c r="AN71" i="8"/>
  <c r="AN72" i="8"/>
  <c r="AN73" i="8"/>
  <c r="AN74" i="8"/>
  <c r="AN75" i="8"/>
  <c r="AN76" i="8"/>
  <c r="AN77" i="8"/>
  <c r="AN78" i="8"/>
  <c r="AN79" i="8"/>
  <c r="AN80" i="8"/>
  <c r="AN81" i="8"/>
  <c r="AN82" i="8"/>
  <c r="AN83" i="8"/>
  <c r="AN84" i="8"/>
  <c r="AN85" i="8"/>
  <c r="AN86" i="8"/>
  <c r="AN87" i="8"/>
  <c r="AN88" i="8"/>
  <c r="AN89" i="8"/>
  <c r="AN90" i="8"/>
  <c r="AN91" i="8"/>
  <c r="AN92" i="8"/>
  <c r="AN93" i="8"/>
  <c r="AN94" i="8"/>
  <c r="AN95" i="8"/>
  <c r="AN96" i="8"/>
  <c r="AN97" i="8"/>
  <c r="AN98" i="8"/>
  <c r="AN99" i="8"/>
  <c r="AN100" i="8"/>
  <c r="AN101" i="8"/>
  <c r="AN102" i="8"/>
  <c r="AN103" i="8"/>
  <c r="AN104" i="8"/>
  <c r="AN105" i="8"/>
  <c r="AN106" i="8"/>
  <c r="AN107" i="8"/>
  <c r="AN108" i="8"/>
  <c r="AN109" i="8"/>
  <c r="AN110" i="8"/>
  <c r="AN111" i="8"/>
  <c r="AN112" i="8"/>
  <c r="AN113" i="8"/>
  <c r="AN114" i="8"/>
  <c r="AN115" i="8"/>
  <c r="AN116" i="8"/>
  <c r="AN117" i="8"/>
  <c r="AN118" i="8"/>
  <c r="AN119" i="8"/>
  <c r="AN120" i="8"/>
  <c r="AN121" i="8"/>
  <c r="AN122" i="8"/>
  <c r="AN123" i="8"/>
  <c r="AN124" i="8"/>
  <c r="AN125" i="8"/>
  <c r="AN126" i="8"/>
  <c r="AN127" i="8"/>
  <c r="AN128" i="8"/>
  <c r="AN129" i="8"/>
  <c r="AN130" i="8"/>
  <c r="AN131" i="8"/>
  <c r="AN132" i="8"/>
  <c r="AN133" i="8"/>
  <c r="AN134" i="8"/>
  <c r="AN135" i="8"/>
  <c r="AN136" i="8"/>
  <c r="AN137" i="8"/>
  <c r="AN138" i="8"/>
  <c r="AN139" i="8"/>
  <c r="AN140" i="8"/>
  <c r="AN141" i="8"/>
  <c r="AN142" i="8"/>
  <c r="AN143" i="8"/>
  <c r="AN144" i="8"/>
  <c r="AN145" i="8"/>
  <c r="AN146" i="8"/>
  <c r="AN147" i="8"/>
  <c r="AN148" i="8"/>
  <c r="AN149" i="8"/>
  <c r="AN150" i="8"/>
  <c r="AN151" i="8"/>
  <c r="AN152" i="8"/>
  <c r="AN153" i="8"/>
  <c r="AN154" i="8"/>
  <c r="AN155" i="8"/>
  <c r="AN156" i="8"/>
  <c r="AN157" i="8"/>
  <c r="AN158" i="8"/>
  <c r="AN159" i="8"/>
  <c r="AN160" i="8"/>
  <c r="AN161" i="8"/>
  <c r="AN162" i="8"/>
  <c r="AN163" i="8"/>
  <c r="AN164" i="8"/>
  <c r="AN165" i="8"/>
  <c r="AN166" i="8"/>
  <c r="AN167" i="8"/>
  <c r="AN168" i="8"/>
  <c r="AN169" i="8"/>
  <c r="AN170" i="8"/>
  <c r="AN171" i="8"/>
  <c r="AN172" i="8"/>
  <c r="AN173" i="8"/>
  <c r="AN174" i="8"/>
  <c r="AN175" i="8"/>
  <c r="AN176" i="8"/>
  <c r="AN177" i="8"/>
  <c r="AN178" i="8"/>
  <c r="AN179" i="8"/>
  <c r="AN180" i="8"/>
  <c r="AN181" i="8"/>
  <c r="AN182" i="8"/>
  <c r="AN183" i="8"/>
  <c r="AN184" i="8"/>
  <c r="AN185" i="8"/>
  <c r="AN186" i="8"/>
  <c r="AN187" i="8"/>
  <c r="AN188" i="8"/>
  <c r="AN189" i="8"/>
  <c r="AN190" i="8"/>
  <c r="AN191" i="8"/>
  <c r="AN192" i="8"/>
  <c r="AN193" i="8"/>
  <c r="AN194" i="8"/>
  <c r="AN195" i="8"/>
  <c r="AN196" i="8"/>
  <c r="AN197" i="8"/>
  <c r="AN198" i="8"/>
  <c r="AN199" i="8"/>
  <c r="AN200" i="8"/>
  <c r="AN201" i="8"/>
  <c r="AN202" i="8"/>
  <c r="AN203" i="8"/>
  <c r="AN204" i="8"/>
  <c r="AN205" i="8"/>
  <c r="AN206" i="8"/>
  <c r="AN207" i="8"/>
  <c r="AN208" i="8"/>
  <c r="AN209" i="8"/>
  <c r="AN210" i="8"/>
  <c r="AN211" i="8"/>
  <c r="AN212" i="8"/>
  <c r="AN213" i="8"/>
  <c r="AN214" i="8"/>
  <c r="AN215" i="8"/>
  <c r="AN216" i="8"/>
  <c r="AN217" i="8"/>
  <c r="AN218" i="8"/>
  <c r="AN219" i="8"/>
  <c r="AN220" i="8"/>
  <c r="AN221" i="8"/>
  <c r="AN222" i="8"/>
  <c r="AN223" i="8"/>
  <c r="AN224" i="8"/>
  <c r="AN225" i="8"/>
  <c r="AN226" i="8"/>
  <c r="AN227" i="8"/>
  <c r="AN228" i="8"/>
  <c r="AN229" i="8"/>
  <c r="AN230" i="8"/>
  <c r="AN231" i="8"/>
  <c r="AN232" i="8"/>
  <c r="AN233" i="8"/>
  <c r="AN234" i="8"/>
  <c r="AN235" i="8"/>
  <c r="AN236" i="8"/>
  <c r="AN237" i="8"/>
  <c r="AN238" i="8"/>
  <c r="AN239" i="8"/>
  <c r="AN240" i="8"/>
  <c r="AN241" i="8"/>
  <c r="AN242" i="8"/>
  <c r="AN243" i="8"/>
  <c r="AN244" i="8"/>
  <c r="AN245" i="8"/>
  <c r="AN246" i="8"/>
  <c r="AN247" i="8"/>
  <c r="AN248" i="8"/>
  <c r="AN249" i="8"/>
  <c r="AN250" i="8"/>
  <c r="AN251" i="8"/>
  <c r="AN252" i="8"/>
  <c r="AN253" i="8"/>
  <c r="AN254" i="8"/>
  <c r="AN255" i="8"/>
  <c r="AN256" i="8"/>
  <c r="AN257" i="8"/>
  <c r="AN258" i="8"/>
  <c r="AN259" i="8"/>
  <c r="AN260" i="8"/>
  <c r="AN261" i="8"/>
  <c r="AN262" i="8"/>
  <c r="AN263" i="8"/>
  <c r="AN264" i="8"/>
  <c r="AN265" i="8"/>
  <c r="AN266" i="8"/>
  <c r="AN267" i="8"/>
  <c r="AN268" i="8"/>
  <c r="AN269" i="8"/>
  <c r="AN270" i="8"/>
  <c r="AN271" i="8"/>
  <c r="AN272" i="8"/>
  <c r="AN273" i="8"/>
  <c r="AN274" i="8"/>
  <c r="AN275" i="8"/>
  <c r="AN276" i="8"/>
  <c r="AN277" i="8"/>
  <c r="AN278" i="8"/>
  <c r="AN279" i="8"/>
  <c r="AN280" i="8"/>
  <c r="AN281" i="8"/>
  <c r="AN282" i="8"/>
  <c r="AN283" i="8"/>
  <c r="AN284" i="8"/>
  <c r="AN285" i="8"/>
  <c r="AN286" i="8"/>
  <c r="AN287" i="8"/>
  <c r="AN288" i="8"/>
  <c r="AN289" i="8"/>
  <c r="AN290" i="8"/>
  <c r="AN291" i="8"/>
  <c r="AN292" i="8"/>
  <c r="AN293" i="8"/>
  <c r="AN294" i="8"/>
  <c r="AN295" i="8"/>
  <c r="AN296" i="8"/>
  <c r="AN297" i="8"/>
  <c r="AN298" i="8"/>
  <c r="AN299" i="8"/>
  <c r="AN300" i="8"/>
  <c r="AN301" i="8"/>
  <c r="AN302" i="8"/>
  <c r="AN303" i="8"/>
  <c r="AN304" i="8"/>
  <c r="AN305" i="8"/>
  <c r="AN306" i="8"/>
  <c r="AN307" i="8"/>
  <c r="AN308" i="8"/>
  <c r="AN309" i="8"/>
  <c r="AN310" i="8"/>
  <c r="AN311" i="8"/>
  <c r="AN312" i="8"/>
  <c r="AN313" i="8"/>
  <c r="AN314" i="8"/>
  <c r="AN315" i="8"/>
  <c r="AN316" i="8"/>
  <c r="AN317" i="8"/>
  <c r="AN318" i="8"/>
  <c r="AN319" i="8"/>
  <c r="AN320" i="8"/>
  <c r="AN321" i="8"/>
  <c r="AN322" i="8"/>
  <c r="AN323" i="8"/>
  <c r="AN324" i="8"/>
  <c r="AN325" i="8"/>
  <c r="AN326" i="8"/>
  <c r="AN327" i="8"/>
  <c r="AN328" i="8"/>
  <c r="AN329" i="8"/>
  <c r="AN330" i="8"/>
  <c r="AN331" i="8"/>
  <c r="AN332" i="8"/>
  <c r="AN333" i="8"/>
  <c r="AN334" i="8"/>
  <c r="AN335" i="8"/>
  <c r="AN336" i="8"/>
  <c r="AN337" i="8"/>
  <c r="AN338" i="8"/>
  <c r="AN339" i="8"/>
  <c r="AN340" i="8"/>
  <c r="AN341" i="8"/>
  <c r="AN342" i="8"/>
  <c r="AN343" i="8"/>
  <c r="AN344" i="8"/>
  <c r="AN345" i="8"/>
  <c r="AN346" i="8"/>
  <c r="AN347" i="8"/>
  <c r="AN348" i="8"/>
  <c r="AN349" i="8"/>
  <c r="AN350" i="8"/>
  <c r="AN351" i="8"/>
  <c r="AN352" i="8"/>
  <c r="AN353" i="8"/>
  <c r="AN354" i="8"/>
  <c r="AN355" i="8"/>
  <c r="AN356" i="8"/>
  <c r="AN357" i="8"/>
  <c r="AN358" i="8"/>
  <c r="AN359" i="8"/>
  <c r="AN360" i="8"/>
  <c r="AN361" i="8"/>
  <c r="AN362" i="8"/>
  <c r="AN363" i="8"/>
  <c r="AN364" i="8"/>
  <c r="AN365" i="8"/>
  <c r="AN366" i="8"/>
  <c r="AN367" i="8"/>
  <c r="AN368" i="8"/>
  <c r="AN369" i="8"/>
  <c r="AN370" i="8"/>
  <c r="AN371" i="8"/>
  <c r="AN372" i="8"/>
  <c r="AN373" i="8"/>
  <c r="AN374" i="8"/>
  <c r="AN375" i="8"/>
  <c r="AN376" i="8"/>
  <c r="AN377" i="8"/>
  <c r="AN378" i="8"/>
  <c r="AN379" i="8"/>
  <c r="AN380" i="8"/>
  <c r="AN381" i="8"/>
  <c r="AN382" i="8"/>
  <c r="AN383" i="8"/>
  <c r="AN384" i="8"/>
  <c r="AN385" i="8"/>
  <c r="AN386" i="8"/>
  <c r="AN387" i="8"/>
  <c r="AN388" i="8"/>
  <c r="AN389" i="8"/>
  <c r="AN390" i="8"/>
  <c r="AN391" i="8"/>
  <c r="AN392" i="8"/>
  <c r="AN393" i="8"/>
  <c r="AN394" i="8"/>
  <c r="AN395" i="8"/>
  <c r="AN396" i="8"/>
  <c r="AN397" i="8"/>
  <c r="AN398" i="8"/>
  <c r="AN399" i="8"/>
  <c r="AN400" i="8"/>
  <c r="AN401" i="8"/>
  <c r="AN402" i="8"/>
  <c r="AN403" i="8"/>
  <c r="AN404" i="8"/>
  <c r="AN405" i="8"/>
  <c r="AN406" i="8"/>
  <c r="AN407" i="8"/>
  <c r="AN408" i="8"/>
  <c r="AN409" i="8"/>
  <c r="AN410" i="8"/>
  <c r="AN411" i="8"/>
  <c r="AN412" i="8"/>
  <c r="AN413" i="8"/>
  <c r="AN414" i="8"/>
  <c r="AN415" i="8"/>
  <c r="AN416" i="8"/>
  <c r="AN417" i="8"/>
  <c r="AN418" i="8"/>
  <c r="AN419" i="8"/>
  <c r="AN420" i="8"/>
  <c r="AN421" i="8"/>
  <c r="AN422" i="8"/>
  <c r="AN423" i="8"/>
  <c r="AN424" i="8"/>
  <c r="AN425" i="8"/>
  <c r="AN426" i="8"/>
  <c r="AN427" i="8"/>
  <c r="AN428" i="8"/>
  <c r="AN429" i="8"/>
  <c r="AN430" i="8"/>
  <c r="AN431" i="8"/>
  <c r="AN432" i="8"/>
  <c r="AN433" i="8"/>
  <c r="AN434" i="8"/>
  <c r="AN435" i="8"/>
  <c r="AN436" i="8"/>
  <c r="AN437" i="8"/>
  <c r="AN438" i="8"/>
  <c r="AN439" i="8"/>
  <c r="AN440" i="8"/>
  <c r="AN441" i="8"/>
  <c r="AN442" i="8"/>
  <c r="AN443" i="8"/>
  <c r="AN444" i="8"/>
  <c r="AN445" i="8"/>
  <c r="AN446" i="8"/>
  <c r="AN447" i="8"/>
  <c r="AN448" i="8"/>
  <c r="AN449" i="8"/>
  <c r="AN450" i="8"/>
  <c r="AN451" i="8"/>
  <c r="AN452" i="8"/>
  <c r="AN453" i="8"/>
  <c r="AN454" i="8"/>
  <c r="AN455" i="8"/>
  <c r="AN456" i="8"/>
  <c r="AN457" i="8"/>
  <c r="AN458" i="8"/>
  <c r="AN459" i="8"/>
  <c r="AN460" i="8"/>
  <c r="AN461" i="8"/>
  <c r="AN462" i="8"/>
  <c r="AN463" i="8"/>
  <c r="AN464" i="8"/>
  <c r="AN465" i="8"/>
  <c r="AN466" i="8"/>
  <c r="AN467" i="8"/>
  <c r="AN468" i="8"/>
  <c r="AN469" i="8"/>
  <c r="AN470" i="8"/>
  <c r="AN471" i="8"/>
  <c r="AN472" i="8"/>
  <c r="AN473" i="8"/>
  <c r="AN474" i="8"/>
  <c r="AN475" i="8"/>
  <c r="AN476" i="8"/>
  <c r="AN477" i="8"/>
  <c r="AN478" i="8"/>
  <c r="AN479" i="8"/>
  <c r="AN480" i="8"/>
  <c r="AN481" i="8"/>
  <c r="AN482" i="8"/>
  <c r="AN483" i="8"/>
  <c r="AN484" i="8"/>
  <c r="AN485" i="8"/>
  <c r="AN486" i="8"/>
  <c r="AN487" i="8"/>
  <c r="AN488" i="8"/>
  <c r="AN489" i="8"/>
  <c r="AN490" i="8"/>
  <c r="AN491" i="8"/>
  <c r="AN492" i="8"/>
  <c r="AN493" i="8"/>
  <c r="AN494" i="8"/>
  <c r="AN495" i="8"/>
  <c r="AN496" i="8"/>
  <c r="AN497" i="8"/>
  <c r="AN498" i="8"/>
  <c r="AN499" i="8"/>
  <c r="AN500" i="8"/>
  <c r="AN501" i="8"/>
  <c r="AN502" i="8"/>
  <c r="AN503" i="8"/>
  <c r="AN504" i="8"/>
  <c r="AN505" i="8"/>
  <c r="AN506" i="8"/>
  <c r="AN507" i="8"/>
  <c r="AN508" i="8"/>
  <c r="AN509" i="8"/>
  <c r="AN510" i="8"/>
  <c r="AN511" i="8"/>
  <c r="AN512" i="8"/>
  <c r="AN513" i="8"/>
  <c r="AN514" i="8"/>
  <c r="AN515" i="8"/>
  <c r="AN516" i="8"/>
  <c r="AN517" i="8"/>
  <c r="AN518" i="8"/>
  <c r="AN519" i="8"/>
  <c r="AN520" i="8"/>
  <c r="AN521" i="8"/>
  <c r="AN522" i="8"/>
  <c r="AN523" i="8"/>
  <c r="AN524" i="8"/>
  <c r="AN525" i="8"/>
  <c r="AN526" i="8"/>
  <c r="AN527" i="8"/>
  <c r="AN528" i="8"/>
  <c r="AN529" i="8"/>
  <c r="AN530" i="8"/>
  <c r="AN531" i="8"/>
  <c r="AN532" i="8"/>
  <c r="AN533" i="8"/>
  <c r="AN534" i="8"/>
  <c r="AN535" i="8"/>
  <c r="AN536" i="8"/>
  <c r="AN537" i="8"/>
  <c r="AN538" i="8"/>
  <c r="AN539" i="8"/>
  <c r="AN540" i="8"/>
  <c r="AN541" i="8"/>
  <c r="AN542" i="8"/>
  <c r="AN543" i="8"/>
  <c r="AN544" i="8"/>
  <c r="AN545" i="8"/>
  <c r="AN546" i="8"/>
  <c r="AN547" i="8"/>
  <c r="AN548" i="8"/>
  <c r="AN549" i="8"/>
  <c r="AN550" i="8"/>
  <c r="AN551" i="8"/>
  <c r="AN552" i="8"/>
  <c r="AN553" i="8"/>
  <c r="AN554" i="8"/>
  <c r="AN555" i="8"/>
  <c r="AN556" i="8"/>
  <c r="AN557" i="8"/>
  <c r="AN558" i="8"/>
  <c r="AN559" i="8"/>
  <c r="AN560" i="8"/>
  <c r="AN561" i="8"/>
  <c r="AN562" i="8"/>
  <c r="AN563" i="8"/>
  <c r="AN564" i="8"/>
  <c r="AN565" i="8"/>
  <c r="AN566" i="8"/>
  <c r="AN567" i="8"/>
  <c r="AN568" i="8"/>
  <c r="AN569" i="8"/>
  <c r="AN570" i="8"/>
  <c r="AN571" i="8"/>
  <c r="AN572" i="8"/>
  <c r="AN573" i="8"/>
  <c r="AN574" i="8"/>
  <c r="AN575" i="8"/>
  <c r="AN576" i="8"/>
  <c r="AN577" i="8"/>
  <c r="AN578" i="8"/>
  <c r="AN579" i="8"/>
  <c r="AN580" i="8"/>
  <c r="AN581" i="8"/>
  <c r="AN582" i="8"/>
  <c r="AN583" i="8"/>
  <c r="AN584" i="8"/>
  <c r="AN585" i="8"/>
  <c r="AN586" i="8"/>
  <c r="AN587" i="8"/>
  <c r="AN588" i="8"/>
  <c r="AN589" i="8"/>
  <c r="AN590" i="8"/>
  <c r="AN591" i="8"/>
  <c r="AN592" i="8"/>
  <c r="AN593" i="8"/>
  <c r="AN594" i="8"/>
  <c r="AN595" i="8"/>
  <c r="AN596" i="8"/>
  <c r="AN597" i="8"/>
  <c r="AN598" i="8"/>
  <c r="AN599" i="8"/>
  <c r="AN600" i="8"/>
  <c r="AN601" i="8"/>
  <c r="AN602" i="8"/>
  <c r="AN603" i="8"/>
  <c r="AN604" i="8"/>
  <c r="AN605" i="8"/>
  <c r="AN606" i="8"/>
  <c r="AN607" i="8"/>
  <c r="AN608" i="8"/>
  <c r="AN609" i="8"/>
  <c r="AN610" i="8"/>
  <c r="AN611" i="8"/>
  <c r="AN612" i="8"/>
  <c r="AN613" i="8"/>
  <c r="AN614" i="8"/>
  <c r="AN615" i="8"/>
  <c r="AN616" i="8"/>
  <c r="AN617" i="8"/>
  <c r="AN618" i="8"/>
  <c r="AN619" i="8"/>
  <c r="AN620" i="8"/>
  <c r="AN621" i="8"/>
  <c r="AN622" i="8"/>
  <c r="AN623" i="8"/>
  <c r="AN624" i="8"/>
  <c r="AN625" i="8"/>
  <c r="AN626" i="8"/>
  <c r="AN627" i="8"/>
  <c r="AN628" i="8"/>
  <c r="AN629" i="8"/>
  <c r="AN630" i="8"/>
  <c r="AN631" i="8"/>
  <c r="AN632" i="8"/>
  <c r="AN633" i="8"/>
  <c r="AN634" i="8"/>
  <c r="AN635" i="8"/>
  <c r="AN636" i="8"/>
  <c r="AN637" i="8"/>
  <c r="AN638" i="8"/>
  <c r="AN639" i="8"/>
  <c r="AN640" i="8"/>
  <c r="AN641" i="8"/>
  <c r="AN642" i="8"/>
  <c r="AN643" i="8"/>
  <c r="AN644" i="8"/>
  <c r="AN645" i="8"/>
  <c r="AN646" i="8"/>
  <c r="AN647" i="8"/>
  <c r="AN648" i="8"/>
  <c r="AN649" i="8"/>
  <c r="AN650" i="8"/>
  <c r="AN651" i="8"/>
  <c r="AN652" i="8"/>
  <c r="AN653" i="8"/>
  <c r="AN654" i="8"/>
  <c r="AN655" i="8"/>
  <c r="AN656" i="8"/>
  <c r="AN657" i="8"/>
  <c r="AN658" i="8"/>
  <c r="AN659" i="8"/>
  <c r="AN660" i="8"/>
  <c r="AN661" i="8"/>
  <c r="AN662" i="8"/>
  <c r="AN663" i="8"/>
  <c r="AN664" i="8"/>
  <c r="AN665" i="8"/>
  <c r="AN666" i="8"/>
  <c r="AN667" i="8"/>
  <c r="AN668" i="8"/>
  <c r="AN669" i="8"/>
  <c r="AN670" i="8"/>
  <c r="AN671" i="8"/>
  <c r="AN672" i="8"/>
  <c r="AN673" i="8"/>
  <c r="AN674" i="8"/>
  <c r="AN675" i="8"/>
  <c r="AN676" i="8"/>
  <c r="AN677" i="8"/>
  <c r="AN678" i="8"/>
  <c r="AN679" i="8"/>
  <c r="AN680" i="8"/>
  <c r="AN681" i="8"/>
  <c r="AN682" i="8"/>
  <c r="AN683" i="8"/>
  <c r="AN684" i="8"/>
  <c r="AN685" i="8"/>
  <c r="AN686" i="8"/>
  <c r="AN687" i="8"/>
  <c r="AN688" i="8"/>
  <c r="AN689" i="8"/>
  <c r="AN690" i="8"/>
  <c r="AN691" i="8"/>
  <c r="AN692" i="8"/>
  <c r="AN693" i="8"/>
  <c r="AN694" i="8"/>
  <c r="AN695" i="8"/>
  <c r="AN696" i="8"/>
  <c r="AN697" i="8"/>
  <c r="AN698" i="8"/>
  <c r="AN699" i="8"/>
  <c r="AN700" i="8"/>
  <c r="AN701" i="8"/>
  <c r="AN702" i="8"/>
  <c r="AN703" i="8"/>
  <c r="AN704" i="8"/>
  <c r="AN705" i="8"/>
  <c r="AN706" i="8"/>
  <c r="AN707" i="8"/>
  <c r="AN708" i="8"/>
  <c r="AN709" i="8"/>
  <c r="AN710" i="8"/>
  <c r="AN711" i="8"/>
  <c r="AN712" i="8"/>
  <c r="AN713" i="8"/>
  <c r="AN714" i="8"/>
  <c r="AN715" i="8"/>
  <c r="AN716" i="8"/>
  <c r="AN717" i="8"/>
  <c r="AN718" i="8"/>
  <c r="AN719" i="8"/>
  <c r="AN720" i="8"/>
  <c r="AN721" i="8"/>
  <c r="AN722" i="8"/>
  <c r="AN723" i="8"/>
  <c r="AN724" i="8"/>
  <c r="AN725" i="8"/>
  <c r="AN726" i="8"/>
  <c r="AN727" i="8"/>
  <c r="AN728" i="8"/>
  <c r="AN729" i="8"/>
  <c r="AN730" i="8"/>
  <c r="AN731" i="8"/>
  <c r="AN732" i="8"/>
  <c r="AN733" i="8"/>
  <c r="AN734" i="8"/>
  <c r="AN735" i="8"/>
  <c r="AN736" i="8"/>
  <c r="AN737" i="8"/>
  <c r="AN738" i="8"/>
  <c r="AN739" i="8"/>
  <c r="AN740" i="8"/>
  <c r="AN741" i="8"/>
  <c r="AN742" i="8"/>
  <c r="AN743" i="8"/>
  <c r="AN744" i="8"/>
  <c r="AN745" i="8"/>
  <c r="AN746" i="8"/>
  <c r="AN747" i="8"/>
  <c r="AN748" i="8"/>
  <c r="AN749" i="8"/>
  <c r="AN750" i="8"/>
  <c r="AN751" i="8"/>
  <c r="AN752" i="8"/>
  <c r="AN753" i="8"/>
  <c r="AN754" i="8"/>
  <c r="AN755" i="8"/>
  <c r="AN756" i="8"/>
  <c r="AN757" i="8"/>
  <c r="AN758" i="8"/>
  <c r="AN759" i="8"/>
  <c r="AN760" i="8"/>
  <c r="AN761" i="8"/>
  <c r="AN762" i="8"/>
  <c r="AN763" i="8"/>
  <c r="AN764" i="8"/>
  <c r="AN765" i="8"/>
  <c r="AN766" i="8"/>
  <c r="AN767" i="8"/>
  <c r="AN768" i="8"/>
  <c r="AN769" i="8"/>
  <c r="AN770" i="8"/>
  <c r="AN771" i="8"/>
  <c r="AN772" i="8"/>
  <c r="AN773" i="8"/>
  <c r="AN774" i="8"/>
  <c r="AN775" i="8"/>
  <c r="AN776" i="8"/>
  <c r="AN777" i="8"/>
  <c r="AN778" i="8"/>
  <c r="AN779" i="8"/>
  <c r="AN780" i="8"/>
  <c r="AN781" i="8"/>
  <c r="AN782" i="8"/>
  <c r="AN783" i="8"/>
  <c r="AN784" i="8"/>
  <c r="AN785" i="8"/>
  <c r="AN786" i="8"/>
  <c r="AN787" i="8"/>
  <c r="AN788" i="8"/>
  <c r="AN789" i="8"/>
  <c r="AN790" i="8"/>
  <c r="AN791" i="8"/>
  <c r="AN792" i="8"/>
  <c r="AN793" i="8"/>
  <c r="AN794" i="8"/>
  <c r="AN795" i="8"/>
  <c r="AN796" i="8"/>
  <c r="AN797" i="8"/>
  <c r="AN798" i="8"/>
  <c r="AN799" i="8"/>
  <c r="AN800" i="8"/>
  <c r="AN801" i="8"/>
  <c r="AN802" i="8"/>
  <c r="AN803" i="8"/>
  <c r="AN804" i="8"/>
  <c r="AN805" i="8"/>
  <c r="AN806" i="8"/>
  <c r="AN807" i="8"/>
  <c r="AN808" i="8"/>
  <c r="AN809" i="8"/>
  <c r="AN810" i="8"/>
  <c r="AN811" i="8"/>
  <c r="AN812" i="8"/>
  <c r="AN813" i="8"/>
  <c r="AN814" i="8"/>
  <c r="AN815" i="8"/>
  <c r="AN816" i="8"/>
  <c r="AN817" i="8"/>
  <c r="AN818" i="8"/>
  <c r="AN819" i="8"/>
  <c r="AN820" i="8"/>
  <c r="AN821" i="8"/>
  <c r="AN822" i="8"/>
  <c r="AN823" i="8"/>
  <c r="AN824" i="8"/>
  <c r="AN825" i="8"/>
  <c r="AN826" i="8"/>
  <c r="AN827" i="8"/>
  <c r="AN828" i="8"/>
  <c r="AN829" i="8"/>
  <c r="AN830" i="8"/>
  <c r="AN831" i="8"/>
  <c r="AN832" i="8"/>
  <c r="AN833" i="8"/>
  <c r="AN834" i="8"/>
  <c r="AN835" i="8"/>
  <c r="AN836" i="8"/>
  <c r="AN837" i="8"/>
  <c r="AN838" i="8"/>
  <c r="AN839" i="8"/>
  <c r="AN840" i="8"/>
  <c r="AN841" i="8"/>
  <c r="AN842" i="8"/>
  <c r="AN843" i="8"/>
  <c r="AN844" i="8"/>
  <c r="AN845" i="8"/>
  <c r="AN846" i="8"/>
  <c r="AM3" i="3"/>
  <c r="AM4" i="3"/>
  <c r="AM5" i="3"/>
  <c r="AM6" i="3"/>
  <c r="AM7" i="3"/>
  <c r="AM8" i="3"/>
  <c r="AM9" i="3"/>
  <c r="AM10" i="3"/>
  <c r="AM11" i="3"/>
  <c r="AM12" i="3"/>
  <c r="AM13" i="3"/>
  <c r="AM14" i="3"/>
  <c r="AM15" i="3"/>
  <c r="AM16" i="3"/>
  <c r="AM17" i="3"/>
  <c r="AM18" i="3"/>
  <c r="AM19" i="3"/>
  <c r="AM20" i="3"/>
  <c r="AM21" i="3"/>
  <c r="AM22" i="3"/>
  <c r="AM23" i="3"/>
  <c r="AM24" i="3"/>
  <c r="AM25" i="3"/>
  <c r="AM26" i="3"/>
  <c r="AM27" i="3"/>
  <c r="AM28" i="3"/>
  <c r="AM29" i="3"/>
  <c r="AM30" i="3"/>
  <c r="AM31" i="3"/>
  <c r="AM32" i="3"/>
  <c r="AM33" i="3"/>
  <c r="AM34" i="3"/>
  <c r="AM35" i="3"/>
  <c r="AM36" i="3"/>
  <c r="AM37" i="3"/>
  <c r="AM38" i="3"/>
  <c r="AM39" i="3"/>
  <c r="AM40" i="3"/>
  <c r="AM41" i="3"/>
  <c r="AM42" i="3"/>
  <c r="AM43" i="3"/>
  <c r="AM44" i="3"/>
  <c r="AM45" i="3"/>
  <c r="AM46" i="3"/>
  <c r="AM47" i="3"/>
  <c r="AM48" i="3"/>
  <c r="AM49" i="3"/>
  <c r="AM50" i="3"/>
  <c r="AM51" i="3"/>
  <c r="AM52" i="3"/>
  <c r="AM53" i="3"/>
  <c r="AM54" i="3"/>
  <c r="AM55" i="3"/>
  <c r="AM56" i="3"/>
  <c r="AM57" i="3"/>
  <c r="AM58" i="3"/>
  <c r="AM59" i="3"/>
  <c r="AM60" i="3"/>
  <c r="AM61" i="3"/>
  <c r="AM62" i="3"/>
  <c r="AM63" i="3"/>
  <c r="AM64" i="3"/>
  <c r="AM65" i="3"/>
  <c r="AM66" i="3"/>
  <c r="AM67" i="3"/>
  <c r="AM68" i="3"/>
  <c r="AM69" i="3"/>
  <c r="AM70" i="3"/>
  <c r="AM71" i="3"/>
  <c r="AM72" i="3"/>
  <c r="AM73" i="3"/>
  <c r="AM74" i="3"/>
  <c r="AM75" i="3"/>
  <c r="AM76" i="3"/>
  <c r="AM77" i="3"/>
  <c r="AM78" i="3"/>
  <c r="AM79" i="3"/>
  <c r="AM80" i="3"/>
  <c r="AM81" i="3"/>
  <c r="AM82" i="3"/>
  <c r="AM83" i="3"/>
  <c r="AM84" i="3"/>
  <c r="AM85" i="3"/>
  <c r="AM86" i="3"/>
  <c r="AM87" i="3"/>
  <c r="AM88" i="3"/>
  <c r="AM89" i="3"/>
  <c r="AM90" i="3"/>
  <c r="AM91" i="3"/>
  <c r="AM92" i="3"/>
  <c r="AM93" i="3"/>
  <c r="AM94" i="3"/>
  <c r="AM95" i="3"/>
  <c r="AM96" i="3"/>
  <c r="AM97" i="3"/>
  <c r="AM98" i="3"/>
  <c r="AM99" i="3"/>
  <c r="AM100" i="3"/>
  <c r="AM101" i="3"/>
  <c r="AM102" i="3"/>
  <c r="AM103" i="3"/>
  <c r="AM104" i="3"/>
  <c r="AM105" i="3"/>
  <c r="AM106" i="3"/>
  <c r="AM107" i="3"/>
  <c r="AM108" i="3"/>
  <c r="AM109" i="3"/>
  <c r="AM110" i="3"/>
  <c r="AM111" i="3"/>
  <c r="AM112" i="3"/>
  <c r="AM113" i="3"/>
  <c r="AM114" i="3"/>
  <c r="AM115" i="3"/>
  <c r="AM116" i="3"/>
  <c r="AM117" i="3"/>
  <c r="AM118" i="3"/>
  <c r="AM119" i="3"/>
  <c r="AM120" i="3"/>
  <c r="AM121" i="3"/>
  <c r="AM122" i="3"/>
  <c r="AM123" i="3"/>
  <c r="AM124" i="3"/>
  <c r="AM125" i="3"/>
  <c r="AM126" i="3"/>
  <c r="AM127" i="3"/>
  <c r="AM128" i="3"/>
  <c r="AM129" i="3"/>
  <c r="AM130" i="3"/>
  <c r="AM131" i="3"/>
  <c r="AM132" i="3"/>
  <c r="AM133" i="3"/>
  <c r="AM134" i="3"/>
  <c r="AM135" i="3"/>
  <c r="AM136" i="3"/>
  <c r="AM137" i="3"/>
  <c r="AM138" i="3"/>
  <c r="AM139" i="3"/>
  <c r="AM140" i="3"/>
  <c r="AM141" i="3"/>
  <c r="AM142" i="3"/>
  <c r="AM143" i="3"/>
  <c r="AM144" i="3"/>
  <c r="AM145" i="3"/>
  <c r="AM146" i="3"/>
  <c r="AM147" i="3"/>
  <c r="AM148" i="3"/>
  <c r="AM149" i="3"/>
  <c r="AM150" i="3"/>
  <c r="AM151" i="3"/>
  <c r="AM152" i="3"/>
  <c r="AM153" i="3"/>
  <c r="AM154" i="3"/>
  <c r="AM155" i="3"/>
  <c r="AM156" i="3"/>
  <c r="AM157" i="3"/>
  <c r="AM158" i="3"/>
  <c r="AM159" i="3"/>
  <c r="AM160" i="3"/>
  <c r="AM161" i="3"/>
  <c r="AM162" i="3"/>
  <c r="AM163" i="3"/>
  <c r="AM164" i="3"/>
  <c r="AM165" i="3"/>
  <c r="AM166" i="3"/>
  <c r="AM167" i="3"/>
  <c r="AM168" i="3"/>
  <c r="AM169" i="3"/>
  <c r="AM170" i="3"/>
  <c r="AM171" i="3"/>
  <c r="AM172" i="3"/>
  <c r="AM173" i="3"/>
  <c r="AM174" i="3"/>
  <c r="AM175" i="3"/>
  <c r="AM176" i="3"/>
  <c r="AM177" i="3"/>
  <c r="AM178" i="3"/>
  <c r="AM179" i="3"/>
  <c r="AM180" i="3"/>
  <c r="AM181" i="3"/>
  <c r="AM182" i="3"/>
  <c r="AM183" i="3"/>
  <c r="AM184" i="3"/>
  <c r="AM185" i="3"/>
  <c r="AM186" i="3"/>
  <c r="AM187" i="3"/>
  <c r="AM188" i="3"/>
  <c r="AM189" i="3"/>
  <c r="AM190" i="3"/>
  <c r="AM191" i="3"/>
  <c r="AM192" i="3"/>
  <c r="AM193" i="3"/>
  <c r="AM194" i="3"/>
  <c r="AM195" i="3"/>
  <c r="AM196" i="3"/>
  <c r="AM197" i="3"/>
  <c r="AM198" i="3"/>
  <c r="AM199" i="3"/>
  <c r="AM200" i="3"/>
  <c r="AM201" i="3"/>
  <c r="AM202" i="3"/>
  <c r="AM203" i="3"/>
  <c r="AM204" i="3"/>
  <c r="AM205" i="3"/>
  <c r="AM206" i="3"/>
  <c r="AM207" i="3"/>
  <c r="AM208" i="3"/>
  <c r="AM209" i="3"/>
  <c r="AM210" i="3"/>
  <c r="AM211" i="3"/>
  <c r="AM212" i="3"/>
  <c r="AM213" i="3"/>
  <c r="AM214" i="3"/>
  <c r="AM215" i="3"/>
  <c r="AM216" i="3"/>
  <c r="AM217" i="3"/>
  <c r="AM218" i="3"/>
  <c r="AM219" i="3"/>
  <c r="AM220" i="3"/>
  <c r="AM221" i="3"/>
  <c r="AM222" i="3"/>
  <c r="AM223" i="3"/>
  <c r="AM224" i="3"/>
  <c r="AN2" i="8"/>
  <c r="AM3" i="4"/>
  <c r="AM4" i="4"/>
  <c r="AM5" i="4"/>
  <c r="AM6" i="4"/>
  <c r="AM7" i="4"/>
  <c r="AM8" i="4"/>
  <c r="AM9" i="4"/>
  <c r="AM10" i="4"/>
  <c r="AM11" i="4"/>
  <c r="AM12" i="4"/>
  <c r="AM13" i="4"/>
  <c r="AM14" i="4"/>
  <c r="AM15" i="4"/>
  <c r="AM16" i="4"/>
  <c r="AM17" i="4"/>
  <c r="AM18" i="4"/>
  <c r="AM19" i="4"/>
  <c r="AM20" i="4"/>
  <c r="AM21" i="4"/>
  <c r="AM22" i="4"/>
  <c r="AM23" i="4"/>
  <c r="AM24" i="4"/>
  <c r="AM25" i="4"/>
  <c r="AM26" i="4"/>
  <c r="AM27" i="4"/>
  <c r="AM28" i="4"/>
  <c r="AM29" i="4"/>
  <c r="AM30" i="4"/>
  <c r="AM31" i="4"/>
  <c r="AM32" i="4"/>
  <c r="AM33" i="4"/>
  <c r="AM34" i="4"/>
  <c r="AM35" i="4"/>
  <c r="AM36" i="4"/>
  <c r="AM37" i="4"/>
  <c r="AM38" i="4"/>
  <c r="AM39" i="4"/>
  <c r="AM40" i="4"/>
  <c r="AM41" i="4"/>
  <c r="AM42" i="4"/>
  <c r="AM43" i="4"/>
  <c r="AM44" i="4"/>
  <c r="AM45" i="4"/>
  <c r="AM46" i="4"/>
  <c r="AM47" i="4"/>
  <c r="AM48" i="4"/>
  <c r="AM49" i="4"/>
  <c r="AM50" i="4"/>
  <c r="AM51" i="4"/>
  <c r="AM52" i="4"/>
  <c r="AM53" i="4"/>
  <c r="AM54" i="4"/>
  <c r="AM55" i="4"/>
  <c r="AM56" i="4"/>
  <c r="AM57" i="4"/>
  <c r="AM58" i="4"/>
  <c r="AM59" i="4"/>
  <c r="AM60" i="4"/>
  <c r="AM61" i="4"/>
  <c r="AM62" i="4"/>
  <c r="AM63" i="4"/>
  <c r="AM64" i="4"/>
  <c r="AM65" i="4"/>
  <c r="AM66" i="4"/>
  <c r="AM67" i="4"/>
  <c r="AM68" i="4"/>
  <c r="AM69" i="4"/>
  <c r="AM70" i="4"/>
  <c r="AM71" i="4"/>
  <c r="AM72" i="4"/>
  <c r="AM73" i="4"/>
  <c r="AM74" i="4"/>
  <c r="AM75" i="4"/>
  <c r="AM76" i="4"/>
  <c r="AM77" i="4"/>
  <c r="AM78" i="4"/>
  <c r="AM79" i="4"/>
  <c r="AM80" i="4"/>
  <c r="AM81" i="4"/>
  <c r="AM82" i="4"/>
  <c r="AM83" i="4"/>
  <c r="AM2" i="4"/>
  <c r="AM2" i="3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M92" i="2"/>
  <c r="AM93" i="2"/>
  <c r="AM94" i="2"/>
  <c r="AM95" i="2"/>
  <c r="AM96" i="2"/>
  <c r="AM97" i="2"/>
  <c r="AM98" i="2"/>
  <c r="AM99" i="2"/>
  <c r="AM100" i="2"/>
  <c r="AM101" i="2"/>
  <c r="AM102" i="2"/>
  <c r="AM103" i="2"/>
  <c r="AM104" i="2"/>
  <c r="AM105" i="2"/>
  <c r="AM106" i="2"/>
  <c r="AM107" i="2"/>
  <c r="AM108" i="2"/>
  <c r="AM109" i="2"/>
  <c r="AM110" i="2"/>
  <c r="AM111" i="2"/>
  <c r="AM112" i="2"/>
  <c r="AM113" i="2"/>
  <c r="AM114" i="2"/>
  <c r="AM115" i="2"/>
  <c r="AM116" i="2"/>
  <c r="AM117" i="2"/>
  <c r="AM118" i="2"/>
  <c r="AM119" i="2"/>
  <c r="AM120" i="2"/>
  <c r="AM121" i="2"/>
  <c r="AM122" i="2"/>
  <c r="AM123" i="2"/>
  <c r="AM124" i="2"/>
  <c r="AM125" i="2"/>
  <c r="AM126" i="2"/>
  <c r="AM127" i="2"/>
  <c r="AM128" i="2"/>
  <c r="AM129" i="2"/>
  <c r="AM130" i="2"/>
  <c r="AM131" i="2"/>
  <c r="AM132" i="2"/>
  <c r="AM133" i="2"/>
  <c r="AM134" i="2"/>
  <c r="AM135" i="2"/>
  <c r="AM136" i="2"/>
  <c r="AM137" i="2"/>
  <c r="AM138" i="2"/>
  <c r="AM139" i="2"/>
  <c r="AM140" i="2"/>
  <c r="AM141" i="2"/>
  <c r="AM142" i="2"/>
  <c r="AM143" i="2"/>
  <c r="AM144" i="2"/>
  <c r="AM145" i="2"/>
  <c r="AM146" i="2"/>
  <c r="AM147" i="2"/>
  <c r="AM148" i="2"/>
  <c r="AM149" i="2"/>
  <c r="AM150" i="2"/>
  <c r="AM151" i="2"/>
  <c r="AM152" i="2"/>
  <c r="AM153" i="2"/>
  <c r="AM154" i="2"/>
  <c r="AM155" i="2"/>
  <c r="AM156" i="2"/>
  <c r="AM157" i="2"/>
  <c r="AM158" i="2"/>
  <c r="AM159" i="2"/>
  <c r="AM160" i="2"/>
  <c r="AM161" i="2"/>
  <c r="AM162" i="2"/>
  <c r="AM163" i="2"/>
  <c r="AM164" i="2"/>
  <c r="AM165" i="2"/>
  <c r="AM166" i="2"/>
  <c r="AM167" i="2"/>
  <c r="AM168" i="2"/>
  <c r="AM169" i="2"/>
  <c r="AM170" i="2"/>
  <c r="AM171" i="2"/>
  <c r="AM172" i="2"/>
  <c r="AM173" i="2"/>
  <c r="AM174" i="2"/>
  <c r="AM175" i="2"/>
  <c r="AM176" i="2"/>
  <c r="AM177" i="2"/>
  <c r="AM178" i="2"/>
  <c r="AM179" i="2"/>
  <c r="AM180" i="2"/>
  <c r="AM181" i="2"/>
  <c r="AM182" i="2"/>
  <c r="AM183" i="2"/>
  <c r="AM184" i="2"/>
  <c r="AM185" i="2"/>
  <c r="AM186" i="2"/>
  <c r="AM187" i="2"/>
  <c r="AM188" i="2"/>
  <c r="AM189" i="2"/>
  <c r="AM190" i="2"/>
  <c r="AM191" i="2"/>
  <c r="AM192" i="2"/>
  <c r="AM193" i="2"/>
  <c r="AM194" i="2"/>
  <c r="AM195" i="2"/>
  <c r="AM196" i="2"/>
  <c r="AM197" i="2"/>
  <c r="AM198" i="2"/>
  <c r="AM199" i="2"/>
  <c r="AM200" i="2"/>
  <c r="AM201" i="2"/>
  <c r="AM202" i="2"/>
  <c r="AM203" i="2"/>
  <c r="AM204" i="2"/>
  <c r="AM205" i="2"/>
  <c r="AM206" i="2"/>
  <c r="AM207" i="2"/>
  <c r="AM208" i="2"/>
  <c r="AM209" i="2"/>
  <c r="AM210" i="2"/>
  <c r="AM211" i="2"/>
  <c r="AM212" i="2"/>
  <c r="AM213" i="2"/>
  <c r="AM214" i="2"/>
  <c r="AM215" i="2"/>
  <c r="AM216" i="2"/>
  <c r="AM217" i="2"/>
  <c r="AM218" i="2"/>
  <c r="AM219" i="2"/>
  <c r="AM220" i="2"/>
  <c r="AM221" i="2"/>
  <c r="AM222" i="2"/>
  <c r="AM223" i="2"/>
  <c r="AM224" i="2"/>
  <c r="AM225" i="2"/>
  <c r="AM226" i="2"/>
  <c r="AM227" i="2"/>
  <c r="AM228" i="2"/>
  <c r="AM229" i="2"/>
  <c r="AM230" i="2"/>
  <c r="AM231" i="2"/>
  <c r="AM232" i="2"/>
  <c r="AM233" i="2"/>
  <c r="AM234" i="2"/>
  <c r="AM235" i="2"/>
  <c r="AM236" i="2"/>
  <c r="AM237" i="2"/>
  <c r="AM238" i="2"/>
  <c r="AM239" i="2"/>
  <c r="AM240" i="2"/>
  <c r="AM241" i="2"/>
  <c r="AM242" i="2"/>
  <c r="AM243" i="2"/>
  <c r="AM244" i="2"/>
  <c r="AM245" i="2"/>
  <c r="AM246" i="2"/>
  <c r="AM247" i="2"/>
  <c r="AM248" i="2"/>
  <c r="AM249" i="2"/>
  <c r="AM250" i="2"/>
  <c r="AM251" i="2"/>
  <c r="AM252" i="2"/>
  <c r="AM253" i="2"/>
  <c r="AM254" i="2"/>
  <c r="AM255" i="2"/>
  <c r="AM256" i="2"/>
  <c r="AM257" i="2"/>
  <c r="AM258" i="2"/>
  <c r="AM259" i="2"/>
  <c r="AM260" i="2"/>
  <c r="AM261" i="2"/>
  <c r="AM262" i="2"/>
  <c r="AM263" i="2"/>
  <c r="AM264" i="2"/>
  <c r="AM265" i="2"/>
  <c r="AM266" i="2"/>
  <c r="AM267" i="2"/>
  <c r="AM268" i="2"/>
  <c r="AM269" i="2"/>
  <c r="AM270" i="2"/>
  <c r="AM271" i="2"/>
  <c r="AM272" i="2"/>
  <c r="AM273" i="2"/>
  <c r="AM274" i="2"/>
  <c r="AM275" i="2"/>
  <c r="AM276" i="2"/>
  <c r="AM277" i="2"/>
  <c r="AM278" i="2"/>
  <c r="AM279" i="2"/>
  <c r="AM280" i="2"/>
  <c r="AM281" i="2"/>
  <c r="AM282" i="2"/>
  <c r="AM283" i="2"/>
  <c r="AM284" i="2"/>
  <c r="AM285" i="2"/>
  <c r="AM286" i="2"/>
  <c r="AM287" i="2"/>
  <c r="AM288" i="2"/>
  <c r="AM289" i="2"/>
  <c r="AM290" i="2"/>
  <c r="AM291" i="2"/>
  <c r="AM292" i="2"/>
  <c r="AM293" i="2"/>
  <c r="AM294" i="2"/>
  <c r="AM295" i="2"/>
  <c r="AM296" i="2"/>
  <c r="AM297" i="2"/>
  <c r="AM298" i="2"/>
  <c r="AM299" i="2"/>
  <c r="AM300" i="2"/>
  <c r="AM301" i="2"/>
  <c r="AM302" i="2"/>
  <c r="AM303" i="2"/>
  <c r="AM304" i="2"/>
  <c r="AM305" i="2"/>
  <c r="AM306" i="2"/>
  <c r="AM307" i="2"/>
  <c r="AM308" i="2"/>
  <c r="AM309" i="2"/>
  <c r="AM310" i="2"/>
  <c r="AM311" i="2"/>
  <c r="AM312" i="2"/>
  <c r="AM313" i="2"/>
  <c r="AM314" i="2"/>
  <c r="AM315" i="2"/>
  <c r="AM316" i="2"/>
  <c r="AM317" i="2"/>
  <c r="AM318" i="2"/>
  <c r="AM319" i="2"/>
  <c r="AM320" i="2"/>
  <c r="AM321" i="2"/>
  <c r="AM322" i="2"/>
  <c r="AM323" i="2"/>
  <c r="AM324" i="2"/>
  <c r="AM325" i="2"/>
  <c r="AM326" i="2"/>
  <c r="AM327" i="2"/>
  <c r="AM328" i="2"/>
  <c r="AM329" i="2"/>
  <c r="AM330" i="2"/>
  <c r="AM331" i="2"/>
  <c r="AM332" i="2"/>
  <c r="AM333" i="2"/>
  <c r="AM334" i="2"/>
  <c r="AM335" i="2"/>
  <c r="AM336" i="2"/>
  <c r="AM337" i="2"/>
  <c r="AM338" i="2"/>
  <c r="AM339" i="2"/>
  <c r="AM340" i="2"/>
  <c r="AM341" i="2"/>
  <c r="AM2" i="2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R2" i="4"/>
  <c r="AQ2" i="4"/>
  <c r="AP2" i="4"/>
  <c r="AR23" i="4"/>
  <c r="AR24" i="4"/>
  <c r="AR25" i="4"/>
  <c r="AR26" i="4"/>
  <c r="AR27" i="4"/>
  <c r="AR28" i="4"/>
  <c r="AR29" i="4"/>
  <c r="AR30" i="4"/>
  <c r="AR31" i="4"/>
  <c r="AR32" i="4"/>
  <c r="AR33" i="4"/>
  <c r="AR34" i="4"/>
  <c r="AR35" i="4"/>
  <c r="AR36" i="4"/>
  <c r="AR37" i="4"/>
  <c r="AR38" i="4"/>
  <c r="AR39" i="4"/>
  <c r="AR40" i="4"/>
  <c r="AR41" i="4"/>
  <c r="AR42" i="4"/>
  <c r="AR43" i="4"/>
  <c r="AR44" i="4"/>
  <c r="AR45" i="4"/>
  <c r="AR46" i="4"/>
  <c r="AR47" i="4"/>
  <c r="AR48" i="4"/>
  <c r="AR49" i="4"/>
  <c r="AR50" i="4"/>
  <c r="AR51" i="4"/>
  <c r="AR52" i="4"/>
  <c r="AR53" i="4"/>
  <c r="AR54" i="4"/>
  <c r="AR55" i="4"/>
  <c r="AR56" i="4"/>
  <c r="AR57" i="4"/>
  <c r="AR58" i="4"/>
  <c r="AR59" i="4"/>
  <c r="AR60" i="4"/>
  <c r="AR61" i="4"/>
  <c r="AR62" i="4"/>
  <c r="AR63" i="4"/>
  <c r="AR64" i="4"/>
  <c r="AR65" i="4"/>
  <c r="AR66" i="4"/>
  <c r="AR67" i="4"/>
  <c r="AR68" i="4"/>
  <c r="AR69" i="4"/>
  <c r="AR70" i="4"/>
  <c r="AR71" i="4"/>
  <c r="AR72" i="4"/>
  <c r="AR73" i="4"/>
  <c r="AR74" i="4"/>
  <c r="AR75" i="4"/>
  <c r="AR76" i="4"/>
  <c r="AR77" i="4"/>
  <c r="AR78" i="4"/>
  <c r="AR79" i="4"/>
  <c r="AR80" i="4"/>
  <c r="AR81" i="4"/>
  <c r="AR82" i="4"/>
  <c r="AR83" i="4"/>
  <c r="AR3" i="4"/>
  <c r="AR4" i="4"/>
  <c r="AR5" i="4"/>
  <c r="AR6" i="4"/>
  <c r="AR7" i="4"/>
  <c r="AR8" i="4"/>
  <c r="AR9" i="4"/>
  <c r="AR10" i="4"/>
  <c r="AR11" i="4"/>
  <c r="AR12" i="4"/>
  <c r="AR13" i="4"/>
  <c r="AR14" i="4"/>
  <c r="AR15" i="4"/>
  <c r="AR16" i="4"/>
  <c r="AR17" i="4"/>
  <c r="AR18" i="4"/>
  <c r="AR19" i="4"/>
  <c r="AR20" i="4"/>
  <c r="AR21" i="4"/>
  <c r="AR22" i="4"/>
  <c r="AQ3" i="4"/>
  <c r="AQ4" i="4"/>
  <c r="AQ5" i="4"/>
  <c r="AQ6" i="4"/>
  <c r="AQ7" i="4"/>
  <c r="AQ8" i="4"/>
  <c r="AQ9" i="4"/>
  <c r="AQ10" i="4"/>
  <c r="AQ11" i="4"/>
  <c r="AQ12" i="4"/>
  <c r="AQ13" i="4"/>
  <c r="AQ14" i="4"/>
  <c r="AQ15" i="4"/>
  <c r="AQ16" i="4"/>
  <c r="AQ17" i="4"/>
  <c r="AQ18" i="4"/>
  <c r="AQ19" i="4"/>
  <c r="AQ20" i="4"/>
  <c r="AQ21" i="4"/>
  <c r="AQ22" i="4"/>
  <c r="AQ23" i="4"/>
  <c r="AQ24" i="4"/>
  <c r="AQ25" i="4"/>
  <c r="AQ26" i="4"/>
  <c r="AQ27" i="4"/>
  <c r="AQ28" i="4"/>
  <c r="AQ29" i="4"/>
  <c r="AQ30" i="4"/>
  <c r="AQ31" i="4"/>
  <c r="AQ32" i="4"/>
  <c r="AQ33" i="4"/>
  <c r="AQ34" i="4"/>
  <c r="AQ35" i="4"/>
  <c r="AQ36" i="4"/>
  <c r="AQ37" i="4"/>
  <c r="AQ38" i="4"/>
  <c r="AQ39" i="4"/>
  <c r="AQ40" i="4"/>
  <c r="AQ41" i="4"/>
  <c r="AQ42" i="4"/>
  <c r="AQ43" i="4"/>
  <c r="AQ44" i="4"/>
  <c r="AQ45" i="4"/>
  <c r="AQ46" i="4"/>
  <c r="AQ47" i="4"/>
  <c r="AQ48" i="4"/>
  <c r="AQ49" i="4"/>
  <c r="AQ50" i="4"/>
  <c r="AQ51" i="4"/>
  <c r="AQ52" i="4"/>
  <c r="AQ53" i="4"/>
  <c r="AQ54" i="4"/>
  <c r="AQ55" i="4"/>
  <c r="AQ56" i="4"/>
  <c r="AQ57" i="4"/>
  <c r="AQ58" i="4"/>
  <c r="AQ59" i="4"/>
  <c r="AQ60" i="4"/>
  <c r="AQ61" i="4"/>
  <c r="AQ62" i="4"/>
  <c r="AQ63" i="4"/>
  <c r="AQ64" i="4"/>
  <c r="AQ65" i="4"/>
  <c r="AQ66" i="4"/>
  <c r="AQ67" i="4"/>
  <c r="AQ68" i="4"/>
  <c r="AQ69" i="4"/>
  <c r="AQ70" i="4"/>
  <c r="AQ71" i="4"/>
  <c r="AQ72" i="4"/>
  <c r="AQ73" i="4"/>
  <c r="AQ74" i="4"/>
  <c r="AQ75" i="4"/>
  <c r="AQ76" i="4"/>
  <c r="AQ77" i="4"/>
  <c r="AQ78" i="4"/>
  <c r="AQ79" i="4"/>
  <c r="AQ80" i="4"/>
  <c r="AQ81" i="4"/>
  <c r="AQ82" i="4"/>
  <c r="AQ83" i="4"/>
  <c r="AP3" i="4"/>
  <c r="AP4" i="4"/>
  <c r="AP5" i="4"/>
  <c r="AP6" i="4"/>
  <c r="AP7" i="4"/>
  <c r="AP8" i="4"/>
  <c r="AP9" i="4"/>
  <c r="AP10" i="4"/>
  <c r="AP11" i="4"/>
  <c r="AP12" i="4"/>
  <c r="AP13" i="4"/>
  <c r="AP14" i="4"/>
  <c r="AP15" i="4"/>
  <c r="AP16" i="4"/>
  <c r="AP17" i="4"/>
  <c r="AP18" i="4"/>
  <c r="AP19" i="4"/>
  <c r="AP20" i="4"/>
  <c r="AP21" i="4"/>
  <c r="AP22" i="4"/>
  <c r="AP23" i="4"/>
  <c r="AP24" i="4"/>
  <c r="AP25" i="4"/>
  <c r="AP26" i="4"/>
  <c r="AP27" i="4"/>
  <c r="AP28" i="4"/>
  <c r="AP29" i="4"/>
  <c r="AP30" i="4"/>
  <c r="AP31" i="4"/>
  <c r="AP32" i="4"/>
  <c r="AP33" i="4"/>
  <c r="AP34" i="4"/>
  <c r="AP35" i="4"/>
  <c r="AP36" i="4"/>
  <c r="AP37" i="4"/>
  <c r="AP38" i="4"/>
  <c r="AP39" i="4"/>
  <c r="AP40" i="4"/>
  <c r="AP41" i="4"/>
  <c r="AP42" i="4"/>
  <c r="AP43" i="4"/>
  <c r="AP44" i="4"/>
  <c r="AP45" i="4"/>
  <c r="AP46" i="4"/>
  <c r="AP47" i="4"/>
  <c r="AP48" i="4"/>
  <c r="AP49" i="4"/>
  <c r="AP50" i="4"/>
  <c r="AP51" i="4"/>
  <c r="AP52" i="4"/>
  <c r="AP53" i="4"/>
  <c r="AP54" i="4"/>
  <c r="AP55" i="4"/>
  <c r="AP56" i="4"/>
  <c r="AP57" i="4"/>
  <c r="AP58" i="4"/>
  <c r="AP59" i="4"/>
  <c r="AP60" i="4"/>
  <c r="AP61" i="4"/>
  <c r="AP62" i="4"/>
  <c r="AP63" i="4"/>
  <c r="AP64" i="4"/>
  <c r="AP65" i="4"/>
  <c r="AP66" i="4"/>
  <c r="AP67" i="4"/>
  <c r="AP68" i="4"/>
  <c r="AP69" i="4"/>
  <c r="AP70" i="4"/>
  <c r="AP71" i="4"/>
  <c r="AP72" i="4"/>
  <c r="AP73" i="4"/>
  <c r="AP74" i="4"/>
  <c r="AP75" i="4"/>
  <c r="AP76" i="4"/>
  <c r="AP77" i="4"/>
  <c r="AP78" i="4"/>
  <c r="AP79" i="4"/>
  <c r="AP80" i="4"/>
  <c r="AP81" i="4"/>
  <c r="AP82" i="4"/>
  <c r="AP83" i="4"/>
  <c r="AR2" i="3"/>
  <c r="AQ2" i="3"/>
  <c r="AP2" i="3"/>
  <c r="AR3" i="3"/>
  <c r="AR4" i="3"/>
  <c r="AR5" i="3"/>
  <c r="AR6" i="3"/>
  <c r="AR7" i="3"/>
  <c r="AR8" i="3"/>
  <c r="AR9" i="3"/>
  <c r="AR10" i="3"/>
  <c r="AR11" i="3"/>
  <c r="AR12" i="3"/>
  <c r="AR13" i="3"/>
  <c r="AR14" i="3"/>
  <c r="AR15" i="3"/>
  <c r="AR16" i="3"/>
  <c r="AR17" i="3"/>
  <c r="AR18" i="3"/>
  <c r="AR19" i="3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107" i="3"/>
  <c r="AR108" i="3"/>
  <c r="AR109" i="3"/>
  <c r="AR110" i="3"/>
  <c r="AR111" i="3"/>
  <c r="AR112" i="3"/>
  <c r="AR113" i="3"/>
  <c r="AR114" i="3"/>
  <c r="AR115" i="3"/>
  <c r="AR116" i="3"/>
  <c r="AR117" i="3"/>
  <c r="AR118" i="3"/>
  <c r="AR119" i="3"/>
  <c r="AR120" i="3"/>
  <c r="AR121" i="3"/>
  <c r="AR122" i="3"/>
  <c r="AR123" i="3"/>
  <c r="AR124" i="3"/>
  <c r="AR125" i="3"/>
  <c r="AR126" i="3"/>
  <c r="AR127" i="3"/>
  <c r="AR128" i="3"/>
  <c r="AR129" i="3"/>
  <c r="AR130" i="3"/>
  <c r="AR131" i="3"/>
  <c r="AR132" i="3"/>
  <c r="AR133" i="3"/>
  <c r="AR134" i="3"/>
  <c r="AR135" i="3"/>
  <c r="AR136" i="3"/>
  <c r="AR137" i="3"/>
  <c r="AR138" i="3"/>
  <c r="AR139" i="3"/>
  <c r="AR140" i="3"/>
  <c r="AR141" i="3"/>
  <c r="AR142" i="3"/>
  <c r="AR143" i="3"/>
  <c r="AR144" i="3"/>
  <c r="AR145" i="3"/>
  <c r="AR146" i="3"/>
  <c r="AR147" i="3"/>
  <c r="AR148" i="3"/>
  <c r="AR149" i="3"/>
  <c r="AR150" i="3"/>
  <c r="AR151" i="3"/>
  <c r="AR152" i="3"/>
  <c r="AR153" i="3"/>
  <c r="AR154" i="3"/>
  <c r="AR155" i="3"/>
  <c r="AR156" i="3"/>
  <c r="AR157" i="3"/>
  <c r="AR158" i="3"/>
  <c r="AR159" i="3"/>
  <c r="AR160" i="3"/>
  <c r="AR161" i="3"/>
  <c r="AR162" i="3"/>
  <c r="AR163" i="3"/>
  <c r="AR164" i="3"/>
  <c r="AR165" i="3"/>
  <c r="AR166" i="3"/>
  <c r="AR167" i="3"/>
  <c r="AR168" i="3"/>
  <c r="AR169" i="3"/>
  <c r="AR170" i="3"/>
  <c r="AR171" i="3"/>
  <c r="AR172" i="3"/>
  <c r="AR173" i="3"/>
  <c r="AR174" i="3"/>
  <c r="AR175" i="3"/>
  <c r="AR176" i="3"/>
  <c r="AR177" i="3"/>
  <c r="AR178" i="3"/>
  <c r="AR179" i="3"/>
  <c r="AR180" i="3"/>
  <c r="AR181" i="3"/>
  <c r="AR182" i="3"/>
  <c r="AR183" i="3"/>
  <c r="AR184" i="3"/>
  <c r="AR185" i="3"/>
  <c r="AR186" i="3"/>
  <c r="AR187" i="3"/>
  <c r="AR188" i="3"/>
  <c r="AR189" i="3"/>
  <c r="AR190" i="3"/>
  <c r="AR191" i="3"/>
  <c r="AR192" i="3"/>
  <c r="AR193" i="3"/>
  <c r="AR194" i="3"/>
  <c r="AR195" i="3"/>
  <c r="AR196" i="3"/>
  <c r="AR197" i="3"/>
  <c r="AR198" i="3"/>
  <c r="AR199" i="3"/>
  <c r="AR200" i="3"/>
  <c r="AR201" i="3"/>
  <c r="AR202" i="3"/>
  <c r="AR203" i="3"/>
  <c r="AR204" i="3"/>
  <c r="AR205" i="3"/>
  <c r="AR206" i="3"/>
  <c r="AR207" i="3"/>
  <c r="AR208" i="3"/>
  <c r="AR209" i="3"/>
  <c r="AR210" i="3"/>
  <c r="AR211" i="3"/>
  <c r="AR212" i="3"/>
  <c r="AR213" i="3"/>
  <c r="AR214" i="3"/>
  <c r="AR215" i="3"/>
  <c r="AR216" i="3"/>
  <c r="AR217" i="3"/>
  <c r="AR218" i="3"/>
  <c r="AR219" i="3"/>
  <c r="AR220" i="3"/>
  <c r="AR221" i="3"/>
  <c r="AR222" i="3"/>
  <c r="AR223" i="3"/>
  <c r="AR224" i="3"/>
  <c r="AR2" i="2"/>
  <c r="AQ18" i="3"/>
  <c r="AQ19" i="3"/>
  <c r="AQ20" i="3"/>
  <c r="AQ21" i="3"/>
  <c r="AQ22" i="3"/>
  <c r="AQ23" i="3"/>
  <c r="AQ24" i="3"/>
  <c r="AQ25" i="3"/>
  <c r="AQ26" i="3"/>
  <c r="AQ27" i="3"/>
  <c r="AQ28" i="3"/>
  <c r="AQ29" i="3"/>
  <c r="AQ30" i="3"/>
  <c r="AQ31" i="3"/>
  <c r="AQ32" i="3"/>
  <c r="AQ33" i="3"/>
  <c r="AQ34" i="3"/>
  <c r="AQ35" i="3"/>
  <c r="AQ36" i="3"/>
  <c r="AQ37" i="3"/>
  <c r="AQ38" i="3"/>
  <c r="AQ39" i="3"/>
  <c r="AQ40" i="3"/>
  <c r="AQ41" i="3"/>
  <c r="AQ42" i="3"/>
  <c r="AQ43" i="3"/>
  <c r="AQ44" i="3"/>
  <c r="AQ45" i="3"/>
  <c r="AQ46" i="3"/>
  <c r="AQ47" i="3"/>
  <c r="AQ48" i="3"/>
  <c r="AQ49" i="3"/>
  <c r="AQ50" i="3"/>
  <c r="AQ51" i="3"/>
  <c r="AQ52" i="3"/>
  <c r="AQ53" i="3"/>
  <c r="AQ54" i="3"/>
  <c r="AQ55" i="3"/>
  <c r="AQ56" i="3"/>
  <c r="AQ57" i="3"/>
  <c r="AQ58" i="3"/>
  <c r="AQ59" i="3"/>
  <c r="AQ60" i="3"/>
  <c r="AQ61" i="3"/>
  <c r="AQ62" i="3"/>
  <c r="AQ63" i="3"/>
  <c r="AQ64" i="3"/>
  <c r="AQ65" i="3"/>
  <c r="AQ66" i="3"/>
  <c r="AQ67" i="3"/>
  <c r="AQ68" i="3"/>
  <c r="AQ69" i="3"/>
  <c r="AQ70" i="3"/>
  <c r="AQ71" i="3"/>
  <c r="AQ72" i="3"/>
  <c r="AQ73" i="3"/>
  <c r="AQ74" i="3"/>
  <c r="AQ75" i="3"/>
  <c r="AQ76" i="3"/>
  <c r="AQ77" i="3"/>
  <c r="AQ78" i="3"/>
  <c r="AQ79" i="3"/>
  <c r="AQ80" i="3"/>
  <c r="AQ81" i="3"/>
  <c r="AQ82" i="3"/>
  <c r="AQ83" i="3"/>
  <c r="AQ84" i="3"/>
  <c r="AQ85" i="3"/>
  <c r="AQ86" i="3"/>
  <c r="AQ87" i="3"/>
  <c r="AQ88" i="3"/>
  <c r="AQ89" i="3"/>
  <c r="AQ90" i="3"/>
  <c r="AQ91" i="3"/>
  <c r="AQ92" i="3"/>
  <c r="AQ93" i="3"/>
  <c r="AQ94" i="3"/>
  <c r="AQ95" i="3"/>
  <c r="AQ96" i="3"/>
  <c r="AQ97" i="3"/>
  <c r="AQ98" i="3"/>
  <c r="AQ99" i="3"/>
  <c r="AQ100" i="3"/>
  <c r="AQ101" i="3"/>
  <c r="AQ102" i="3"/>
  <c r="AQ103" i="3"/>
  <c r="AQ104" i="3"/>
  <c r="AQ105" i="3"/>
  <c r="AQ106" i="3"/>
  <c r="AQ107" i="3"/>
  <c r="AQ108" i="3"/>
  <c r="AQ109" i="3"/>
  <c r="AQ110" i="3"/>
  <c r="AQ111" i="3"/>
  <c r="AQ112" i="3"/>
  <c r="AQ113" i="3"/>
  <c r="AQ114" i="3"/>
  <c r="AQ115" i="3"/>
  <c r="AQ116" i="3"/>
  <c r="AQ117" i="3"/>
  <c r="AQ118" i="3"/>
  <c r="AQ119" i="3"/>
  <c r="AQ120" i="3"/>
  <c r="AQ121" i="3"/>
  <c r="AQ122" i="3"/>
  <c r="AQ123" i="3"/>
  <c r="AQ124" i="3"/>
  <c r="AQ125" i="3"/>
  <c r="AQ126" i="3"/>
  <c r="AQ127" i="3"/>
  <c r="AQ128" i="3"/>
  <c r="AQ129" i="3"/>
  <c r="AQ130" i="3"/>
  <c r="AQ131" i="3"/>
  <c r="AQ132" i="3"/>
  <c r="AQ133" i="3"/>
  <c r="AQ134" i="3"/>
  <c r="AQ135" i="3"/>
  <c r="AQ136" i="3"/>
  <c r="AQ137" i="3"/>
  <c r="AQ138" i="3"/>
  <c r="AQ139" i="3"/>
  <c r="AQ140" i="3"/>
  <c r="AQ141" i="3"/>
  <c r="AQ142" i="3"/>
  <c r="AQ143" i="3"/>
  <c r="AQ144" i="3"/>
  <c r="AQ145" i="3"/>
  <c r="AQ146" i="3"/>
  <c r="AQ147" i="3"/>
  <c r="AQ148" i="3"/>
  <c r="AQ149" i="3"/>
  <c r="AQ150" i="3"/>
  <c r="AQ151" i="3"/>
  <c r="AQ152" i="3"/>
  <c r="AQ153" i="3"/>
  <c r="AQ154" i="3"/>
  <c r="AQ155" i="3"/>
  <c r="AQ156" i="3"/>
  <c r="AQ157" i="3"/>
  <c r="AQ158" i="3"/>
  <c r="AQ159" i="3"/>
  <c r="AQ160" i="3"/>
  <c r="AQ161" i="3"/>
  <c r="AQ162" i="3"/>
  <c r="AQ163" i="3"/>
  <c r="AQ164" i="3"/>
  <c r="AQ165" i="3"/>
  <c r="AQ166" i="3"/>
  <c r="AQ167" i="3"/>
  <c r="AQ168" i="3"/>
  <c r="AQ169" i="3"/>
  <c r="AQ170" i="3"/>
  <c r="AQ171" i="3"/>
  <c r="AQ172" i="3"/>
  <c r="AQ173" i="3"/>
  <c r="AQ174" i="3"/>
  <c r="AQ175" i="3"/>
  <c r="AQ176" i="3"/>
  <c r="AQ177" i="3"/>
  <c r="AQ178" i="3"/>
  <c r="AQ179" i="3"/>
  <c r="AQ180" i="3"/>
  <c r="AQ181" i="3"/>
  <c r="AQ182" i="3"/>
  <c r="AQ183" i="3"/>
  <c r="AQ184" i="3"/>
  <c r="AQ185" i="3"/>
  <c r="AQ186" i="3"/>
  <c r="AQ187" i="3"/>
  <c r="AQ188" i="3"/>
  <c r="AQ189" i="3"/>
  <c r="AQ190" i="3"/>
  <c r="AQ191" i="3"/>
  <c r="AQ192" i="3"/>
  <c r="AQ193" i="3"/>
  <c r="AQ194" i="3"/>
  <c r="AQ195" i="3"/>
  <c r="AQ196" i="3"/>
  <c r="AQ197" i="3"/>
  <c r="AQ198" i="3"/>
  <c r="AQ199" i="3"/>
  <c r="AQ200" i="3"/>
  <c r="AQ201" i="3"/>
  <c r="AQ202" i="3"/>
  <c r="AQ203" i="3"/>
  <c r="AQ204" i="3"/>
  <c r="AQ205" i="3"/>
  <c r="AQ206" i="3"/>
  <c r="AQ207" i="3"/>
  <c r="AQ208" i="3"/>
  <c r="AQ209" i="3"/>
  <c r="AQ210" i="3"/>
  <c r="AQ211" i="3"/>
  <c r="AQ212" i="3"/>
  <c r="AQ213" i="3"/>
  <c r="AQ214" i="3"/>
  <c r="AQ215" i="3"/>
  <c r="AQ216" i="3"/>
  <c r="AQ217" i="3"/>
  <c r="AQ218" i="3"/>
  <c r="AQ219" i="3"/>
  <c r="AQ220" i="3"/>
  <c r="AQ221" i="3"/>
  <c r="AQ222" i="3"/>
  <c r="AQ223" i="3"/>
  <c r="AQ224" i="3"/>
  <c r="AQ3" i="3"/>
  <c r="AQ4" i="3"/>
  <c r="AQ5" i="3"/>
  <c r="AQ6" i="3"/>
  <c r="AQ7" i="3"/>
  <c r="AQ8" i="3"/>
  <c r="AQ9" i="3"/>
  <c r="AQ10" i="3"/>
  <c r="AQ11" i="3"/>
  <c r="AQ12" i="3"/>
  <c r="AQ13" i="3"/>
  <c r="AQ14" i="3"/>
  <c r="AQ15" i="3"/>
  <c r="AQ16" i="3"/>
  <c r="AQ17" i="3"/>
  <c r="AQ2" i="2"/>
  <c r="AP3" i="3"/>
  <c r="AP4" i="3"/>
  <c r="AP5" i="3"/>
  <c r="AP6" i="3"/>
  <c r="AP7" i="3"/>
  <c r="AP8" i="3"/>
  <c r="AP9" i="3"/>
  <c r="AP10" i="3"/>
  <c r="AP11" i="3"/>
  <c r="AP12" i="3"/>
  <c r="AP13" i="3"/>
  <c r="AP14" i="3"/>
  <c r="AP15" i="3"/>
  <c r="AP16" i="3"/>
  <c r="AP17" i="3"/>
  <c r="AP18" i="3"/>
  <c r="AP19" i="3"/>
  <c r="AP20" i="3"/>
  <c r="AP21" i="3"/>
  <c r="AP22" i="3"/>
  <c r="AP23" i="3"/>
  <c r="AP24" i="3"/>
  <c r="AP25" i="3"/>
  <c r="AP26" i="3"/>
  <c r="AP27" i="3"/>
  <c r="AP28" i="3"/>
  <c r="AP29" i="3"/>
  <c r="AP30" i="3"/>
  <c r="AP31" i="3"/>
  <c r="AP32" i="3"/>
  <c r="AP33" i="3"/>
  <c r="AP34" i="3"/>
  <c r="AP35" i="3"/>
  <c r="AP36" i="3"/>
  <c r="AP37" i="3"/>
  <c r="AP38" i="3"/>
  <c r="AP39" i="3"/>
  <c r="AP40" i="3"/>
  <c r="AP41" i="3"/>
  <c r="AP42" i="3"/>
  <c r="AP43" i="3"/>
  <c r="AP44" i="3"/>
  <c r="AP45" i="3"/>
  <c r="AP46" i="3"/>
  <c r="AP47" i="3"/>
  <c r="AP48" i="3"/>
  <c r="AP49" i="3"/>
  <c r="AP50" i="3"/>
  <c r="AP51" i="3"/>
  <c r="AP52" i="3"/>
  <c r="AP53" i="3"/>
  <c r="AP54" i="3"/>
  <c r="AP55" i="3"/>
  <c r="AP56" i="3"/>
  <c r="AP57" i="3"/>
  <c r="AP58" i="3"/>
  <c r="AP59" i="3"/>
  <c r="AP60" i="3"/>
  <c r="AP61" i="3"/>
  <c r="AP62" i="3"/>
  <c r="AP63" i="3"/>
  <c r="AP64" i="3"/>
  <c r="AP65" i="3"/>
  <c r="AP66" i="3"/>
  <c r="AP67" i="3"/>
  <c r="AP68" i="3"/>
  <c r="AP69" i="3"/>
  <c r="AP70" i="3"/>
  <c r="AP71" i="3"/>
  <c r="AP72" i="3"/>
  <c r="AP73" i="3"/>
  <c r="AP74" i="3"/>
  <c r="AP75" i="3"/>
  <c r="AP76" i="3"/>
  <c r="AP77" i="3"/>
  <c r="AP78" i="3"/>
  <c r="AP79" i="3"/>
  <c r="AP80" i="3"/>
  <c r="AP81" i="3"/>
  <c r="AP82" i="3"/>
  <c r="AP83" i="3"/>
  <c r="AP84" i="3"/>
  <c r="AP85" i="3"/>
  <c r="AP86" i="3"/>
  <c r="AP87" i="3"/>
  <c r="AP88" i="3"/>
  <c r="AP89" i="3"/>
  <c r="AP90" i="3"/>
  <c r="AP91" i="3"/>
  <c r="AP92" i="3"/>
  <c r="AP93" i="3"/>
  <c r="AP94" i="3"/>
  <c r="AP95" i="3"/>
  <c r="AP96" i="3"/>
  <c r="AP97" i="3"/>
  <c r="AP98" i="3"/>
  <c r="AP99" i="3"/>
  <c r="AP100" i="3"/>
  <c r="AP101" i="3"/>
  <c r="AP102" i="3"/>
  <c r="AP103" i="3"/>
  <c r="AP104" i="3"/>
  <c r="AP105" i="3"/>
  <c r="AP106" i="3"/>
  <c r="AP107" i="3"/>
  <c r="AP108" i="3"/>
  <c r="AP109" i="3"/>
  <c r="AP110" i="3"/>
  <c r="AP111" i="3"/>
  <c r="AP112" i="3"/>
  <c r="AP113" i="3"/>
  <c r="AP114" i="3"/>
  <c r="AP115" i="3"/>
  <c r="AP116" i="3"/>
  <c r="AP117" i="3"/>
  <c r="AP118" i="3"/>
  <c r="AP119" i="3"/>
  <c r="AP120" i="3"/>
  <c r="AP121" i="3"/>
  <c r="AP122" i="3"/>
  <c r="AP123" i="3"/>
  <c r="AP124" i="3"/>
  <c r="AP125" i="3"/>
  <c r="AP126" i="3"/>
  <c r="AP127" i="3"/>
  <c r="AP128" i="3"/>
  <c r="AP129" i="3"/>
  <c r="AP130" i="3"/>
  <c r="AP131" i="3"/>
  <c r="AP132" i="3"/>
  <c r="AP133" i="3"/>
  <c r="AP134" i="3"/>
  <c r="AP135" i="3"/>
  <c r="AP136" i="3"/>
  <c r="AP137" i="3"/>
  <c r="AP138" i="3"/>
  <c r="AP139" i="3"/>
  <c r="AP140" i="3"/>
  <c r="AP141" i="3"/>
  <c r="AP142" i="3"/>
  <c r="AP143" i="3"/>
  <c r="AP144" i="3"/>
  <c r="AP145" i="3"/>
  <c r="AP146" i="3"/>
  <c r="AP147" i="3"/>
  <c r="AP148" i="3"/>
  <c r="AP149" i="3"/>
  <c r="AP150" i="3"/>
  <c r="AP151" i="3"/>
  <c r="AP152" i="3"/>
  <c r="AP153" i="3"/>
  <c r="AP154" i="3"/>
  <c r="AP155" i="3"/>
  <c r="AP156" i="3"/>
  <c r="AP157" i="3"/>
  <c r="AP158" i="3"/>
  <c r="AP159" i="3"/>
  <c r="AP160" i="3"/>
  <c r="AP161" i="3"/>
  <c r="AP162" i="3"/>
  <c r="AP163" i="3"/>
  <c r="AP164" i="3"/>
  <c r="AP165" i="3"/>
  <c r="AP166" i="3"/>
  <c r="AP167" i="3"/>
  <c r="AP168" i="3"/>
  <c r="AP169" i="3"/>
  <c r="AP170" i="3"/>
  <c r="AP171" i="3"/>
  <c r="AP172" i="3"/>
  <c r="AP173" i="3"/>
  <c r="AP174" i="3"/>
  <c r="AP175" i="3"/>
  <c r="AP176" i="3"/>
  <c r="AP177" i="3"/>
  <c r="AP178" i="3"/>
  <c r="AP179" i="3"/>
  <c r="AP180" i="3"/>
  <c r="AP181" i="3"/>
  <c r="AP182" i="3"/>
  <c r="AP183" i="3"/>
  <c r="AP184" i="3"/>
  <c r="AP185" i="3"/>
  <c r="AP186" i="3"/>
  <c r="AP187" i="3"/>
  <c r="AP188" i="3"/>
  <c r="AP189" i="3"/>
  <c r="AP190" i="3"/>
  <c r="AP191" i="3"/>
  <c r="AP192" i="3"/>
  <c r="AP193" i="3"/>
  <c r="AP194" i="3"/>
  <c r="AP195" i="3"/>
  <c r="AP196" i="3"/>
  <c r="AP197" i="3"/>
  <c r="AP198" i="3"/>
  <c r="AP199" i="3"/>
  <c r="AP200" i="3"/>
  <c r="AP201" i="3"/>
  <c r="AP202" i="3"/>
  <c r="AP203" i="3"/>
  <c r="AP204" i="3"/>
  <c r="AP205" i="3"/>
  <c r="AP206" i="3"/>
  <c r="AP207" i="3"/>
  <c r="AP208" i="3"/>
  <c r="AP209" i="3"/>
  <c r="AP210" i="3"/>
  <c r="AP211" i="3"/>
  <c r="AP212" i="3"/>
  <c r="AP213" i="3"/>
  <c r="AP214" i="3"/>
  <c r="AP215" i="3"/>
  <c r="AP216" i="3"/>
  <c r="AP217" i="3"/>
  <c r="AP218" i="3"/>
  <c r="AP219" i="3"/>
  <c r="AP220" i="3"/>
  <c r="AP221" i="3"/>
  <c r="AP222" i="3"/>
  <c r="AP223" i="3"/>
  <c r="AP224" i="3"/>
  <c r="AP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AR35" i="2"/>
  <c r="AR36" i="2"/>
  <c r="AR37" i="2"/>
  <c r="AR38" i="2"/>
  <c r="AR39" i="2"/>
  <c r="AR40" i="2"/>
  <c r="AR41" i="2"/>
  <c r="AR42" i="2"/>
  <c r="AR43" i="2"/>
  <c r="AR44" i="2"/>
  <c r="AR45" i="2"/>
  <c r="AR46" i="2"/>
  <c r="AR47" i="2"/>
  <c r="AR48" i="2"/>
  <c r="AR49" i="2"/>
  <c r="AR50" i="2"/>
  <c r="AR51" i="2"/>
  <c r="AR52" i="2"/>
  <c r="AR53" i="2"/>
  <c r="AR54" i="2"/>
  <c r="AR55" i="2"/>
  <c r="AR56" i="2"/>
  <c r="AR57" i="2"/>
  <c r="AR58" i="2"/>
  <c r="AR59" i="2"/>
  <c r="AR60" i="2"/>
  <c r="AR61" i="2"/>
  <c r="AR62" i="2"/>
  <c r="AR63" i="2"/>
  <c r="AR64" i="2"/>
  <c r="AR65" i="2"/>
  <c r="AR66" i="2"/>
  <c r="AR67" i="2"/>
  <c r="AR68" i="2"/>
  <c r="AR69" i="2"/>
  <c r="AR70" i="2"/>
  <c r="AR71" i="2"/>
  <c r="AR72" i="2"/>
  <c r="AR73" i="2"/>
  <c r="AR74" i="2"/>
  <c r="AR75" i="2"/>
  <c r="AR76" i="2"/>
  <c r="AR77" i="2"/>
  <c r="AR78" i="2"/>
  <c r="AR79" i="2"/>
  <c r="AR80" i="2"/>
  <c r="AR81" i="2"/>
  <c r="AR82" i="2"/>
  <c r="AR83" i="2"/>
  <c r="AR84" i="2"/>
  <c r="AR85" i="2"/>
  <c r="AR86" i="2"/>
  <c r="AR87" i="2"/>
  <c r="AR88" i="2"/>
  <c r="AR89" i="2"/>
  <c r="AR90" i="2"/>
  <c r="AR91" i="2"/>
  <c r="AR92" i="2"/>
  <c r="AR93" i="2"/>
  <c r="AR94" i="2"/>
  <c r="AR95" i="2"/>
  <c r="AR96" i="2"/>
  <c r="AR97" i="2"/>
  <c r="AR98" i="2"/>
  <c r="AR99" i="2"/>
  <c r="AR100" i="2"/>
  <c r="AR101" i="2"/>
  <c r="AR102" i="2"/>
  <c r="AR103" i="2"/>
  <c r="AR104" i="2"/>
  <c r="AR105" i="2"/>
  <c r="AR106" i="2"/>
  <c r="AR107" i="2"/>
  <c r="AR108" i="2"/>
  <c r="AR109" i="2"/>
  <c r="AR110" i="2"/>
  <c r="AR111" i="2"/>
  <c r="AR112" i="2"/>
  <c r="AR113" i="2"/>
  <c r="AR114" i="2"/>
  <c r="AR115" i="2"/>
  <c r="AR116" i="2"/>
  <c r="AR117" i="2"/>
  <c r="AR118" i="2"/>
  <c r="AR119" i="2"/>
  <c r="AR120" i="2"/>
  <c r="AR121" i="2"/>
  <c r="AR122" i="2"/>
  <c r="AR123" i="2"/>
  <c r="AR124" i="2"/>
  <c r="AR125" i="2"/>
  <c r="AR126" i="2"/>
  <c r="AR127" i="2"/>
  <c r="AR128" i="2"/>
  <c r="AR129" i="2"/>
  <c r="AR130" i="2"/>
  <c r="AR131" i="2"/>
  <c r="AR132" i="2"/>
  <c r="AR133" i="2"/>
  <c r="AR134" i="2"/>
  <c r="AR135" i="2"/>
  <c r="AR136" i="2"/>
  <c r="AR137" i="2"/>
  <c r="AR138" i="2"/>
  <c r="AR139" i="2"/>
  <c r="AR140" i="2"/>
  <c r="AR141" i="2"/>
  <c r="AR142" i="2"/>
  <c r="AR143" i="2"/>
  <c r="AR144" i="2"/>
  <c r="AR145" i="2"/>
  <c r="AR146" i="2"/>
  <c r="AR147" i="2"/>
  <c r="AR148" i="2"/>
  <c r="AR149" i="2"/>
  <c r="AR150" i="2"/>
  <c r="AR151" i="2"/>
  <c r="AR152" i="2"/>
  <c r="AR153" i="2"/>
  <c r="AR154" i="2"/>
  <c r="AR155" i="2"/>
  <c r="AR156" i="2"/>
  <c r="AR157" i="2"/>
  <c r="AR158" i="2"/>
  <c r="AR159" i="2"/>
  <c r="AR160" i="2"/>
  <c r="AR161" i="2"/>
  <c r="AR162" i="2"/>
  <c r="AR163" i="2"/>
  <c r="AR164" i="2"/>
  <c r="AR165" i="2"/>
  <c r="AR166" i="2"/>
  <c r="AR167" i="2"/>
  <c r="AR168" i="2"/>
  <c r="AR169" i="2"/>
  <c r="AR170" i="2"/>
  <c r="AR171" i="2"/>
  <c r="AR172" i="2"/>
  <c r="AR173" i="2"/>
  <c r="AR174" i="2"/>
  <c r="AR175" i="2"/>
  <c r="AR176" i="2"/>
  <c r="AR177" i="2"/>
  <c r="AR178" i="2"/>
  <c r="AR179" i="2"/>
  <c r="AR180" i="2"/>
  <c r="AR181" i="2"/>
  <c r="AR182" i="2"/>
  <c r="AR183" i="2"/>
  <c r="AR184" i="2"/>
  <c r="AR185" i="2"/>
  <c r="AR186" i="2"/>
  <c r="AR187" i="2"/>
  <c r="AR188" i="2"/>
  <c r="AR189" i="2"/>
  <c r="AR190" i="2"/>
  <c r="AR191" i="2"/>
  <c r="AR192" i="2"/>
  <c r="AR193" i="2"/>
  <c r="AR194" i="2"/>
  <c r="AR195" i="2"/>
  <c r="AR196" i="2"/>
  <c r="AR197" i="2"/>
  <c r="AR198" i="2"/>
  <c r="AR199" i="2"/>
  <c r="AR200" i="2"/>
  <c r="AR201" i="2"/>
  <c r="AR202" i="2"/>
  <c r="AR203" i="2"/>
  <c r="AR204" i="2"/>
  <c r="AR205" i="2"/>
  <c r="AR206" i="2"/>
  <c r="AR207" i="2"/>
  <c r="AR208" i="2"/>
  <c r="AR209" i="2"/>
  <c r="AR210" i="2"/>
  <c r="AR211" i="2"/>
  <c r="AR212" i="2"/>
  <c r="AR213" i="2"/>
  <c r="AR214" i="2"/>
  <c r="AR215" i="2"/>
  <c r="AR216" i="2"/>
  <c r="AR217" i="2"/>
  <c r="AR218" i="2"/>
  <c r="AR219" i="2"/>
  <c r="AR220" i="2"/>
  <c r="AR221" i="2"/>
  <c r="AR222" i="2"/>
  <c r="AR223" i="2"/>
  <c r="AR224" i="2"/>
  <c r="AR225" i="2"/>
  <c r="AR226" i="2"/>
  <c r="AR227" i="2"/>
  <c r="AR228" i="2"/>
  <c r="AR229" i="2"/>
  <c r="AR230" i="2"/>
  <c r="AR231" i="2"/>
  <c r="AR232" i="2"/>
  <c r="AR233" i="2"/>
  <c r="AR234" i="2"/>
  <c r="AR235" i="2"/>
  <c r="AR236" i="2"/>
  <c r="AR237" i="2"/>
  <c r="AR238" i="2"/>
  <c r="AR239" i="2"/>
  <c r="AR240" i="2"/>
  <c r="AR241" i="2"/>
  <c r="AR242" i="2"/>
  <c r="AR243" i="2"/>
  <c r="AR244" i="2"/>
  <c r="AR245" i="2"/>
  <c r="AR246" i="2"/>
  <c r="AR247" i="2"/>
  <c r="AR248" i="2"/>
  <c r="AR249" i="2"/>
  <c r="AR250" i="2"/>
  <c r="AR251" i="2"/>
  <c r="AR252" i="2"/>
  <c r="AR253" i="2"/>
  <c r="AR254" i="2"/>
  <c r="AR255" i="2"/>
  <c r="AR256" i="2"/>
  <c r="AR257" i="2"/>
  <c r="AR258" i="2"/>
  <c r="AR259" i="2"/>
  <c r="AR260" i="2"/>
  <c r="AR261" i="2"/>
  <c r="AR262" i="2"/>
  <c r="AR263" i="2"/>
  <c r="AR264" i="2"/>
  <c r="AR265" i="2"/>
  <c r="AR266" i="2"/>
  <c r="AR267" i="2"/>
  <c r="AR268" i="2"/>
  <c r="AR269" i="2"/>
  <c r="AR270" i="2"/>
  <c r="AR271" i="2"/>
  <c r="AR272" i="2"/>
  <c r="AR273" i="2"/>
  <c r="AR274" i="2"/>
  <c r="AR275" i="2"/>
  <c r="AR276" i="2"/>
  <c r="AR277" i="2"/>
  <c r="AR278" i="2"/>
  <c r="AR279" i="2"/>
  <c r="AR280" i="2"/>
  <c r="AR281" i="2"/>
  <c r="AR282" i="2"/>
  <c r="AR283" i="2"/>
  <c r="AR284" i="2"/>
  <c r="AR285" i="2"/>
  <c r="AR286" i="2"/>
  <c r="AR287" i="2"/>
  <c r="AR288" i="2"/>
  <c r="AR289" i="2"/>
  <c r="AR290" i="2"/>
  <c r="AR291" i="2"/>
  <c r="AR292" i="2"/>
  <c r="AR293" i="2"/>
  <c r="AR294" i="2"/>
  <c r="AR295" i="2"/>
  <c r="AR296" i="2"/>
  <c r="AR297" i="2"/>
  <c r="AR298" i="2"/>
  <c r="AR299" i="2"/>
  <c r="AR300" i="2"/>
  <c r="AR301" i="2"/>
  <c r="AR302" i="2"/>
  <c r="AR303" i="2"/>
  <c r="AR304" i="2"/>
  <c r="AR305" i="2"/>
  <c r="AR306" i="2"/>
  <c r="AR307" i="2"/>
  <c r="AR308" i="2"/>
  <c r="AR309" i="2"/>
  <c r="AR310" i="2"/>
  <c r="AR311" i="2"/>
  <c r="AR312" i="2"/>
  <c r="AR313" i="2"/>
  <c r="AR314" i="2"/>
  <c r="AR315" i="2"/>
  <c r="AR316" i="2"/>
  <c r="AR317" i="2"/>
  <c r="AR318" i="2"/>
  <c r="AR319" i="2"/>
  <c r="AR320" i="2"/>
  <c r="AR321" i="2"/>
  <c r="AR322" i="2"/>
  <c r="AR323" i="2"/>
  <c r="AR324" i="2"/>
  <c r="AR325" i="2"/>
  <c r="AR326" i="2"/>
  <c r="AR327" i="2"/>
  <c r="AR328" i="2"/>
  <c r="AR329" i="2"/>
  <c r="AR330" i="2"/>
  <c r="AR331" i="2"/>
  <c r="AR332" i="2"/>
  <c r="AR333" i="2"/>
  <c r="AR334" i="2"/>
  <c r="AR335" i="2"/>
  <c r="AR336" i="2"/>
  <c r="AR337" i="2"/>
  <c r="AR338" i="2"/>
  <c r="AR339" i="2"/>
  <c r="AR340" i="2"/>
  <c r="AR341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0" i="2"/>
  <c r="AQ41" i="2"/>
  <c r="AQ42" i="2"/>
  <c r="AQ43" i="2"/>
  <c r="AQ44" i="2"/>
  <c r="AQ45" i="2"/>
  <c r="AQ46" i="2"/>
  <c r="AQ47" i="2"/>
  <c r="AQ48" i="2"/>
  <c r="AQ49" i="2"/>
  <c r="AQ50" i="2"/>
  <c r="AQ51" i="2"/>
  <c r="AQ52" i="2"/>
  <c r="AQ53" i="2"/>
  <c r="AQ54" i="2"/>
  <c r="AQ55" i="2"/>
  <c r="AQ56" i="2"/>
  <c r="AQ57" i="2"/>
  <c r="AQ58" i="2"/>
  <c r="AQ59" i="2"/>
  <c r="AQ60" i="2"/>
  <c r="AQ61" i="2"/>
  <c r="AQ62" i="2"/>
  <c r="AQ63" i="2"/>
  <c r="AQ64" i="2"/>
  <c r="AQ65" i="2"/>
  <c r="AQ66" i="2"/>
  <c r="AQ67" i="2"/>
  <c r="AQ68" i="2"/>
  <c r="AQ69" i="2"/>
  <c r="AQ70" i="2"/>
  <c r="AQ71" i="2"/>
  <c r="AQ72" i="2"/>
  <c r="AQ73" i="2"/>
  <c r="AQ74" i="2"/>
  <c r="AQ75" i="2"/>
  <c r="AQ76" i="2"/>
  <c r="AQ77" i="2"/>
  <c r="AQ78" i="2"/>
  <c r="AQ79" i="2"/>
  <c r="AQ80" i="2"/>
  <c r="AQ81" i="2"/>
  <c r="AQ82" i="2"/>
  <c r="AQ83" i="2"/>
  <c r="AQ84" i="2"/>
  <c r="AQ85" i="2"/>
  <c r="AQ86" i="2"/>
  <c r="AQ87" i="2"/>
  <c r="AQ88" i="2"/>
  <c r="AQ89" i="2"/>
  <c r="AQ90" i="2"/>
  <c r="AQ91" i="2"/>
  <c r="AQ92" i="2"/>
  <c r="AQ93" i="2"/>
  <c r="AQ94" i="2"/>
  <c r="AQ95" i="2"/>
  <c r="AQ96" i="2"/>
  <c r="AQ97" i="2"/>
  <c r="AQ98" i="2"/>
  <c r="AQ99" i="2"/>
  <c r="AQ100" i="2"/>
  <c r="AQ101" i="2"/>
  <c r="AQ102" i="2"/>
  <c r="AQ103" i="2"/>
  <c r="AQ104" i="2"/>
  <c r="AQ105" i="2"/>
  <c r="AQ106" i="2"/>
  <c r="AQ107" i="2"/>
  <c r="AQ108" i="2"/>
  <c r="AQ109" i="2"/>
  <c r="AQ110" i="2"/>
  <c r="AQ111" i="2"/>
  <c r="AQ112" i="2"/>
  <c r="AQ113" i="2"/>
  <c r="AQ114" i="2"/>
  <c r="AQ115" i="2"/>
  <c r="AQ116" i="2"/>
  <c r="AQ117" i="2"/>
  <c r="AQ118" i="2"/>
  <c r="AQ119" i="2"/>
  <c r="AQ120" i="2"/>
  <c r="AQ121" i="2"/>
  <c r="AQ122" i="2"/>
  <c r="AQ123" i="2"/>
  <c r="AQ124" i="2"/>
  <c r="AQ125" i="2"/>
  <c r="AQ126" i="2"/>
  <c r="AQ127" i="2"/>
  <c r="AQ128" i="2"/>
  <c r="AQ129" i="2"/>
  <c r="AQ130" i="2"/>
  <c r="AQ131" i="2"/>
  <c r="AQ132" i="2"/>
  <c r="AQ133" i="2"/>
  <c r="AQ134" i="2"/>
  <c r="AQ135" i="2"/>
  <c r="AQ136" i="2"/>
  <c r="AQ137" i="2"/>
  <c r="AQ138" i="2"/>
  <c r="AQ139" i="2"/>
  <c r="AQ140" i="2"/>
  <c r="AQ141" i="2"/>
  <c r="AQ142" i="2"/>
  <c r="AQ143" i="2"/>
  <c r="AQ144" i="2"/>
  <c r="AQ145" i="2"/>
  <c r="AQ146" i="2"/>
  <c r="AQ147" i="2"/>
  <c r="AQ148" i="2"/>
  <c r="AQ149" i="2"/>
  <c r="AQ150" i="2"/>
  <c r="AQ151" i="2"/>
  <c r="AQ152" i="2"/>
  <c r="AQ153" i="2"/>
  <c r="AQ154" i="2"/>
  <c r="AQ155" i="2"/>
  <c r="AQ156" i="2"/>
  <c r="AQ157" i="2"/>
  <c r="AQ158" i="2"/>
  <c r="AQ159" i="2"/>
  <c r="AQ160" i="2"/>
  <c r="AQ161" i="2"/>
  <c r="AQ162" i="2"/>
  <c r="AQ163" i="2"/>
  <c r="AQ164" i="2"/>
  <c r="AQ165" i="2"/>
  <c r="AQ166" i="2"/>
  <c r="AQ167" i="2"/>
  <c r="AQ168" i="2"/>
  <c r="AQ169" i="2"/>
  <c r="AQ170" i="2"/>
  <c r="AQ171" i="2"/>
  <c r="AQ172" i="2"/>
  <c r="AQ173" i="2"/>
  <c r="AQ174" i="2"/>
  <c r="AQ175" i="2"/>
  <c r="AQ176" i="2"/>
  <c r="AQ177" i="2"/>
  <c r="AQ178" i="2"/>
  <c r="AQ179" i="2"/>
  <c r="AQ180" i="2"/>
  <c r="AQ181" i="2"/>
  <c r="AQ182" i="2"/>
  <c r="AQ183" i="2"/>
  <c r="AQ184" i="2"/>
  <c r="AQ185" i="2"/>
  <c r="AQ186" i="2"/>
  <c r="AQ187" i="2"/>
  <c r="AQ188" i="2"/>
  <c r="AQ189" i="2"/>
  <c r="AQ190" i="2"/>
  <c r="AQ191" i="2"/>
  <c r="AQ192" i="2"/>
  <c r="AQ193" i="2"/>
  <c r="AQ194" i="2"/>
  <c r="AQ195" i="2"/>
  <c r="AQ196" i="2"/>
  <c r="AQ197" i="2"/>
  <c r="AQ198" i="2"/>
  <c r="AQ199" i="2"/>
  <c r="AQ200" i="2"/>
  <c r="AQ201" i="2"/>
  <c r="AQ202" i="2"/>
  <c r="AQ203" i="2"/>
  <c r="AQ204" i="2"/>
  <c r="AQ205" i="2"/>
  <c r="AQ206" i="2"/>
  <c r="AQ207" i="2"/>
  <c r="AQ208" i="2"/>
  <c r="AQ209" i="2"/>
  <c r="AQ210" i="2"/>
  <c r="AQ211" i="2"/>
  <c r="AQ212" i="2"/>
  <c r="AQ213" i="2"/>
  <c r="AQ214" i="2"/>
  <c r="AQ215" i="2"/>
  <c r="AQ216" i="2"/>
  <c r="AQ217" i="2"/>
  <c r="AQ218" i="2"/>
  <c r="AQ219" i="2"/>
  <c r="AQ220" i="2"/>
  <c r="AQ221" i="2"/>
  <c r="AQ222" i="2"/>
  <c r="AQ223" i="2"/>
  <c r="AQ224" i="2"/>
  <c r="AQ225" i="2"/>
  <c r="AQ226" i="2"/>
  <c r="AQ227" i="2"/>
  <c r="AQ228" i="2"/>
  <c r="AQ229" i="2"/>
  <c r="AQ230" i="2"/>
  <c r="AQ231" i="2"/>
  <c r="AQ232" i="2"/>
  <c r="AQ233" i="2"/>
  <c r="AQ234" i="2"/>
  <c r="AQ235" i="2"/>
  <c r="AQ236" i="2"/>
  <c r="AQ237" i="2"/>
  <c r="AQ238" i="2"/>
  <c r="AQ239" i="2"/>
  <c r="AQ240" i="2"/>
  <c r="AQ241" i="2"/>
  <c r="AQ242" i="2"/>
  <c r="AQ243" i="2"/>
  <c r="AQ244" i="2"/>
  <c r="AQ245" i="2"/>
  <c r="AQ246" i="2"/>
  <c r="AQ247" i="2"/>
  <c r="AQ248" i="2"/>
  <c r="AQ249" i="2"/>
  <c r="AQ250" i="2"/>
  <c r="AQ251" i="2"/>
  <c r="AQ252" i="2"/>
  <c r="AQ253" i="2"/>
  <c r="AQ254" i="2"/>
  <c r="AQ255" i="2"/>
  <c r="AQ256" i="2"/>
  <c r="AQ257" i="2"/>
  <c r="AQ258" i="2"/>
  <c r="AQ259" i="2"/>
  <c r="AQ260" i="2"/>
  <c r="AQ261" i="2"/>
  <c r="AQ262" i="2"/>
  <c r="AQ263" i="2"/>
  <c r="AQ264" i="2"/>
  <c r="AQ265" i="2"/>
  <c r="AQ266" i="2"/>
  <c r="AQ267" i="2"/>
  <c r="AQ268" i="2"/>
  <c r="AQ269" i="2"/>
  <c r="AQ270" i="2"/>
  <c r="AQ271" i="2"/>
  <c r="AQ272" i="2"/>
  <c r="AQ273" i="2"/>
  <c r="AQ274" i="2"/>
  <c r="AQ275" i="2"/>
  <c r="AQ276" i="2"/>
  <c r="AQ277" i="2"/>
  <c r="AQ278" i="2"/>
  <c r="AQ279" i="2"/>
  <c r="AQ280" i="2"/>
  <c r="AQ281" i="2"/>
  <c r="AQ282" i="2"/>
  <c r="AQ283" i="2"/>
  <c r="AQ284" i="2"/>
  <c r="AQ285" i="2"/>
  <c r="AQ286" i="2"/>
  <c r="AQ287" i="2"/>
  <c r="AQ288" i="2"/>
  <c r="AQ289" i="2"/>
  <c r="AQ290" i="2"/>
  <c r="AQ291" i="2"/>
  <c r="AQ292" i="2"/>
  <c r="AQ293" i="2"/>
  <c r="AQ294" i="2"/>
  <c r="AQ295" i="2"/>
  <c r="AQ296" i="2"/>
  <c r="AQ297" i="2"/>
  <c r="AQ298" i="2"/>
  <c r="AQ299" i="2"/>
  <c r="AQ300" i="2"/>
  <c r="AQ301" i="2"/>
  <c r="AQ302" i="2"/>
  <c r="AQ303" i="2"/>
  <c r="AQ304" i="2"/>
  <c r="AQ305" i="2"/>
  <c r="AQ306" i="2"/>
  <c r="AQ307" i="2"/>
  <c r="AQ308" i="2"/>
  <c r="AQ309" i="2"/>
  <c r="AQ310" i="2"/>
  <c r="AQ311" i="2"/>
  <c r="AQ312" i="2"/>
  <c r="AQ313" i="2"/>
  <c r="AQ314" i="2"/>
  <c r="AQ315" i="2"/>
  <c r="AQ316" i="2"/>
  <c r="AQ317" i="2"/>
  <c r="AQ318" i="2"/>
  <c r="AQ319" i="2"/>
  <c r="AQ320" i="2"/>
  <c r="AQ321" i="2"/>
  <c r="AQ322" i="2"/>
  <c r="AQ323" i="2"/>
  <c r="AQ324" i="2"/>
  <c r="AQ325" i="2"/>
  <c r="AQ326" i="2"/>
  <c r="AQ327" i="2"/>
  <c r="AQ328" i="2"/>
  <c r="AQ329" i="2"/>
  <c r="AQ330" i="2"/>
  <c r="AQ331" i="2"/>
  <c r="AQ332" i="2"/>
  <c r="AQ333" i="2"/>
  <c r="AQ334" i="2"/>
  <c r="AQ335" i="2"/>
  <c r="AQ336" i="2"/>
  <c r="AQ337" i="2"/>
  <c r="AQ338" i="2"/>
  <c r="AQ339" i="2"/>
  <c r="AQ340" i="2"/>
  <c r="AQ341" i="2"/>
  <c r="AP105" i="2"/>
  <c r="AP106" i="2"/>
  <c r="AP107" i="2"/>
  <c r="AP108" i="2"/>
  <c r="AP109" i="2"/>
  <c r="AP110" i="2"/>
  <c r="AP111" i="2"/>
  <c r="AP112" i="2"/>
  <c r="AP113" i="2"/>
  <c r="AP114" i="2"/>
  <c r="AP115" i="2"/>
  <c r="AP116" i="2"/>
  <c r="AP117" i="2"/>
  <c r="AP118" i="2"/>
  <c r="AP119" i="2"/>
  <c r="AP120" i="2"/>
  <c r="AP121" i="2"/>
  <c r="AP122" i="2"/>
  <c r="AP123" i="2"/>
  <c r="AP124" i="2"/>
  <c r="AP125" i="2"/>
  <c r="AP126" i="2"/>
  <c r="AP127" i="2"/>
  <c r="AP128" i="2"/>
  <c r="AP129" i="2"/>
  <c r="AP130" i="2"/>
  <c r="AP131" i="2"/>
  <c r="AP132" i="2"/>
  <c r="AP133" i="2"/>
  <c r="AP134" i="2"/>
  <c r="AP135" i="2"/>
  <c r="AP136" i="2"/>
  <c r="AP137" i="2"/>
  <c r="AP138" i="2"/>
  <c r="AP139" i="2"/>
  <c r="AP140" i="2"/>
  <c r="AP141" i="2"/>
  <c r="AP142" i="2"/>
  <c r="AP143" i="2"/>
  <c r="AP144" i="2"/>
  <c r="AP145" i="2"/>
  <c r="AP146" i="2"/>
  <c r="AP147" i="2"/>
  <c r="AP148" i="2"/>
  <c r="AP149" i="2"/>
  <c r="AP150" i="2"/>
  <c r="AP151" i="2"/>
  <c r="AP152" i="2"/>
  <c r="AP153" i="2"/>
  <c r="AP154" i="2"/>
  <c r="AP155" i="2"/>
  <c r="AP156" i="2"/>
  <c r="AP157" i="2"/>
  <c r="AP158" i="2"/>
  <c r="AP159" i="2"/>
  <c r="AP160" i="2"/>
  <c r="AP161" i="2"/>
  <c r="AP162" i="2"/>
  <c r="AP163" i="2"/>
  <c r="AP164" i="2"/>
  <c r="AP165" i="2"/>
  <c r="AP166" i="2"/>
  <c r="AP167" i="2"/>
  <c r="AP168" i="2"/>
  <c r="AP169" i="2"/>
  <c r="AP170" i="2"/>
  <c r="AP171" i="2"/>
  <c r="AP172" i="2"/>
  <c r="AP173" i="2"/>
  <c r="AP174" i="2"/>
  <c r="AP175" i="2"/>
  <c r="AP176" i="2"/>
  <c r="AP177" i="2"/>
  <c r="AP178" i="2"/>
  <c r="AP179" i="2"/>
  <c r="AP180" i="2"/>
  <c r="AP181" i="2"/>
  <c r="AP182" i="2"/>
  <c r="AP183" i="2"/>
  <c r="AP184" i="2"/>
  <c r="AP185" i="2"/>
  <c r="AP186" i="2"/>
  <c r="AP187" i="2"/>
  <c r="AP188" i="2"/>
  <c r="AP189" i="2"/>
  <c r="AP190" i="2"/>
  <c r="AP191" i="2"/>
  <c r="AP192" i="2"/>
  <c r="AP193" i="2"/>
  <c r="AP194" i="2"/>
  <c r="AP195" i="2"/>
  <c r="AP196" i="2"/>
  <c r="AP197" i="2"/>
  <c r="AP198" i="2"/>
  <c r="AP199" i="2"/>
  <c r="AP200" i="2"/>
  <c r="AP201" i="2"/>
  <c r="AP202" i="2"/>
  <c r="AP203" i="2"/>
  <c r="AP204" i="2"/>
  <c r="AP205" i="2"/>
  <c r="AP206" i="2"/>
  <c r="AP207" i="2"/>
  <c r="AP208" i="2"/>
  <c r="AP209" i="2"/>
  <c r="AP210" i="2"/>
  <c r="AP211" i="2"/>
  <c r="AP212" i="2"/>
  <c r="AP213" i="2"/>
  <c r="AP214" i="2"/>
  <c r="AP215" i="2"/>
  <c r="AP216" i="2"/>
  <c r="AP217" i="2"/>
  <c r="AP218" i="2"/>
  <c r="AP219" i="2"/>
  <c r="AP220" i="2"/>
  <c r="AP221" i="2"/>
  <c r="AP222" i="2"/>
  <c r="AP223" i="2"/>
  <c r="AP224" i="2"/>
  <c r="AP225" i="2"/>
  <c r="AP226" i="2"/>
  <c r="AP227" i="2"/>
  <c r="AP228" i="2"/>
  <c r="AP229" i="2"/>
  <c r="AP230" i="2"/>
  <c r="AP231" i="2"/>
  <c r="AP232" i="2"/>
  <c r="AP233" i="2"/>
  <c r="AP234" i="2"/>
  <c r="AP235" i="2"/>
  <c r="AP236" i="2"/>
  <c r="AP237" i="2"/>
  <c r="AP238" i="2"/>
  <c r="AP239" i="2"/>
  <c r="AP240" i="2"/>
  <c r="AP241" i="2"/>
  <c r="AP242" i="2"/>
  <c r="AP243" i="2"/>
  <c r="AP244" i="2"/>
  <c r="AP245" i="2"/>
  <c r="AP246" i="2"/>
  <c r="AP247" i="2"/>
  <c r="AP248" i="2"/>
  <c r="AP249" i="2"/>
  <c r="AP250" i="2"/>
  <c r="AP251" i="2"/>
  <c r="AP252" i="2"/>
  <c r="AP253" i="2"/>
  <c r="AP254" i="2"/>
  <c r="AP255" i="2"/>
  <c r="AP256" i="2"/>
  <c r="AP257" i="2"/>
  <c r="AP258" i="2"/>
  <c r="AP259" i="2"/>
  <c r="AP260" i="2"/>
  <c r="AP261" i="2"/>
  <c r="AP262" i="2"/>
  <c r="AP263" i="2"/>
  <c r="AP264" i="2"/>
  <c r="AP265" i="2"/>
  <c r="AP266" i="2"/>
  <c r="AP267" i="2"/>
  <c r="AP268" i="2"/>
  <c r="AP269" i="2"/>
  <c r="AP270" i="2"/>
  <c r="AP271" i="2"/>
  <c r="AP272" i="2"/>
  <c r="AP273" i="2"/>
  <c r="AP274" i="2"/>
  <c r="AP275" i="2"/>
  <c r="AP276" i="2"/>
  <c r="AP277" i="2"/>
  <c r="AP278" i="2"/>
  <c r="AP279" i="2"/>
  <c r="AP280" i="2"/>
  <c r="AP281" i="2"/>
  <c r="AP282" i="2"/>
  <c r="AP283" i="2"/>
  <c r="AP284" i="2"/>
  <c r="AP285" i="2"/>
  <c r="AP286" i="2"/>
  <c r="AP287" i="2"/>
  <c r="AP288" i="2"/>
  <c r="AP289" i="2"/>
  <c r="AP290" i="2"/>
  <c r="AP291" i="2"/>
  <c r="AP292" i="2"/>
  <c r="AP293" i="2"/>
  <c r="AP294" i="2"/>
  <c r="AP295" i="2"/>
  <c r="AP296" i="2"/>
  <c r="AP297" i="2"/>
  <c r="AP298" i="2"/>
  <c r="AP299" i="2"/>
  <c r="AP300" i="2"/>
  <c r="AP301" i="2"/>
  <c r="AP302" i="2"/>
  <c r="AP303" i="2"/>
  <c r="AP304" i="2"/>
  <c r="AP305" i="2"/>
  <c r="AP306" i="2"/>
  <c r="AP307" i="2"/>
  <c r="AP308" i="2"/>
  <c r="AP309" i="2"/>
  <c r="AP310" i="2"/>
  <c r="AP311" i="2"/>
  <c r="AP312" i="2"/>
  <c r="AP313" i="2"/>
  <c r="AP314" i="2"/>
  <c r="AP315" i="2"/>
  <c r="AP316" i="2"/>
  <c r="AP317" i="2"/>
  <c r="AP318" i="2"/>
  <c r="AP319" i="2"/>
  <c r="AP320" i="2"/>
  <c r="AP321" i="2"/>
  <c r="AP322" i="2"/>
  <c r="AP323" i="2"/>
  <c r="AP324" i="2"/>
  <c r="AP325" i="2"/>
  <c r="AP326" i="2"/>
  <c r="AP327" i="2"/>
  <c r="AP328" i="2"/>
  <c r="AP329" i="2"/>
  <c r="AP330" i="2"/>
  <c r="AP331" i="2"/>
  <c r="AP332" i="2"/>
  <c r="AP333" i="2"/>
  <c r="AP334" i="2"/>
  <c r="AP335" i="2"/>
  <c r="AP336" i="2"/>
  <c r="AP337" i="2"/>
  <c r="AP338" i="2"/>
  <c r="AP339" i="2"/>
  <c r="AP340" i="2"/>
  <c r="AP341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52" i="2"/>
  <c r="AP53" i="2"/>
  <c r="AP54" i="2"/>
  <c r="AP55" i="2"/>
  <c r="AP56" i="2"/>
  <c r="AP57" i="2"/>
  <c r="AP58" i="2"/>
  <c r="AP59" i="2"/>
  <c r="AP60" i="2"/>
  <c r="AP61" i="2"/>
  <c r="AP62" i="2"/>
  <c r="AP63" i="2"/>
  <c r="AP64" i="2"/>
  <c r="AP65" i="2"/>
  <c r="AP66" i="2"/>
  <c r="AP67" i="2"/>
  <c r="AP68" i="2"/>
  <c r="AP69" i="2"/>
  <c r="AP70" i="2"/>
  <c r="AP71" i="2"/>
  <c r="AP72" i="2"/>
  <c r="AP73" i="2"/>
  <c r="AP74" i="2"/>
  <c r="AP75" i="2"/>
  <c r="AP76" i="2"/>
  <c r="AP77" i="2"/>
  <c r="AP78" i="2"/>
  <c r="AP79" i="2"/>
  <c r="AP80" i="2"/>
  <c r="AP81" i="2"/>
  <c r="AP82" i="2"/>
  <c r="AP83" i="2"/>
  <c r="AP84" i="2"/>
  <c r="AP85" i="2"/>
  <c r="AP86" i="2"/>
  <c r="AP87" i="2"/>
  <c r="AP88" i="2"/>
  <c r="AP89" i="2"/>
  <c r="AP90" i="2"/>
  <c r="AP91" i="2"/>
  <c r="AP92" i="2"/>
  <c r="AP93" i="2"/>
  <c r="AP94" i="2"/>
  <c r="AP95" i="2"/>
  <c r="AP96" i="2"/>
  <c r="AP97" i="2"/>
  <c r="AP98" i="2"/>
  <c r="AP99" i="2"/>
  <c r="AP100" i="2"/>
  <c r="AP101" i="2"/>
  <c r="AP102" i="2"/>
  <c r="AP103" i="2"/>
  <c r="AP104" i="2"/>
  <c r="AM2" i="8"/>
  <c r="AL3" i="8"/>
  <c r="AL4" i="8"/>
  <c r="AL5" i="8"/>
  <c r="AL6" i="8"/>
  <c r="AL7" i="8"/>
  <c r="AL8" i="8"/>
  <c r="AL9" i="8"/>
  <c r="AL10" i="8"/>
  <c r="AL11" i="8"/>
  <c r="AL12" i="8"/>
  <c r="AL13" i="8"/>
  <c r="AL14" i="8"/>
  <c r="AL15" i="8"/>
  <c r="AL16" i="8"/>
  <c r="AL17" i="8"/>
  <c r="AL18" i="8"/>
  <c r="AL19" i="8"/>
  <c r="AL20" i="8"/>
  <c r="AL21" i="8"/>
  <c r="AL22" i="8"/>
  <c r="AL23" i="8"/>
  <c r="AL24" i="8"/>
  <c r="AL25" i="8"/>
  <c r="AL26" i="8"/>
  <c r="AL27" i="8"/>
  <c r="AL28" i="8"/>
  <c r="AL29" i="8"/>
  <c r="AL30" i="8"/>
  <c r="AL31" i="8"/>
  <c r="AL32" i="8"/>
  <c r="AL33" i="8"/>
  <c r="AL34" i="8"/>
  <c r="AL35" i="8"/>
  <c r="AL36" i="8"/>
  <c r="AL37" i="8"/>
  <c r="AL38" i="8"/>
  <c r="AL39" i="8"/>
  <c r="AL40" i="8"/>
  <c r="AL41" i="8"/>
  <c r="AL42" i="8"/>
  <c r="AL43" i="8"/>
  <c r="AL44" i="8"/>
  <c r="AL45" i="8"/>
  <c r="AL46" i="8"/>
  <c r="AL47" i="8"/>
  <c r="AL48" i="8"/>
  <c r="AL49" i="8"/>
  <c r="AL50" i="8"/>
  <c r="AL51" i="8"/>
  <c r="AL52" i="8"/>
  <c r="AL53" i="8"/>
  <c r="AL54" i="8"/>
  <c r="AL55" i="8"/>
  <c r="AL56" i="8"/>
  <c r="AL57" i="8"/>
  <c r="AL58" i="8"/>
  <c r="AL59" i="8"/>
  <c r="AL60" i="8"/>
  <c r="AL61" i="8"/>
  <c r="AL62" i="8"/>
  <c r="AL63" i="8"/>
  <c r="AL64" i="8"/>
  <c r="AL65" i="8"/>
  <c r="AL66" i="8"/>
  <c r="AL67" i="8"/>
  <c r="AL68" i="8"/>
  <c r="AL69" i="8"/>
  <c r="AL70" i="8"/>
  <c r="AL71" i="8"/>
  <c r="AL72" i="8"/>
  <c r="AL73" i="8"/>
  <c r="AL74" i="8"/>
  <c r="AL75" i="8"/>
  <c r="AL76" i="8"/>
  <c r="AL77" i="8"/>
  <c r="AL78" i="8"/>
  <c r="AL79" i="8"/>
  <c r="AL80" i="8"/>
  <c r="AL81" i="8"/>
  <c r="AL82" i="8"/>
  <c r="AL83" i="8"/>
  <c r="AL84" i="8"/>
  <c r="AL85" i="8"/>
  <c r="AL86" i="8"/>
  <c r="AL87" i="8"/>
  <c r="AL88" i="8"/>
  <c r="AL89" i="8"/>
  <c r="AL90" i="8"/>
  <c r="AL91" i="8"/>
  <c r="AL92" i="8"/>
  <c r="AL93" i="8"/>
  <c r="AL94" i="8"/>
  <c r="AL95" i="8"/>
  <c r="AL96" i="8"/>
  <c r="AL97" i="8"/>
  <c r="AL98" i="8"/>
  <c r="AL99" i="8"/>
  <c r="AL100" i="8"/>
  <c r="AL101" i="8"/>
  <c r="AL102" i="8"/>
  <c r="AL103" i="8"/>
  <c r="AL104" i="8"/>
  <c r="AL105" i="8"/>
  <c r="AL106" i="8"/>
  <c r="AL107" i="8"/>
  <c r="AL108" i="8"/>
  <c r="AL109" i="8"/>
  <c r="AL110" i="8"/>
  <c r="AL111" i="8"/>
  <c r="AL112" i="8"/>
  <c r="AL113" i="8"/>
  <c r="AL114" i="8"/>
  <c r="AL115" i="8"/>
  <c r="AL116" i="8"/>
  <c r="AL117" i="8"/>
  <c r="AL118" i="8"/>
  <c r="AL119" i="8"/>
  <c r="AL120" i="8"/>
  <c r="AL121" i="8"/>
  <c r="AL122" i="8"/>
  <c r="AL123" i="8"/>
  <c r="AL124" i="8"/>
  <c r="AL125" i="8"/>
  <c r="AL126" i="8"/>
  <c r="AL127" i="8"/>
  <c r="AL128" i="8"/>
  <c r="AL129" i="8"/>
  <c r="AL130" i="8"/>
  <c r="AL131" i="8"/>
  <c r="AL132" i="8"/>
  <c r="AL133" i="8"/>
  <c r="AL134" i="8"/>
  <c r="AL135" i="8"/>
  <c r="AL136" i="8"/>
  <c r="AL137" i="8"/>
  <c r="AL138" i="8"/>
  <c r="AL139" i="8"/>
  <c r="AL140" i="8"/>
  <c r="AL141" i="8"/>
  <c r="AL142" i="8"/>
  <c r="AL143" i="8"/>
  <c r="AL144" i="8"/>
  <c r="AL145" i="8"/>
  <c r="AL146" i="8"/>
  <c r="AL147" i="8"/>
  <c r="AL148" i="8"/>
  <c r="AL149" i="8"/>
  <c r="AL150" i="8"/>
  <c r="AL151" i="8"/>
  <c r="AL152" i="8"/>
  <c r="AL153" i="8"/>
  <c r="AL154" i="8"/>
  <c r="AL155" i="8"/>
  <c r="AL156" i="8"/>
  <c r="AL157" i="8"/>
  <c r="AL158" i="8"/>
  <c r="AL159" i="8"/>
  <c r="AL160" i="8"/>
  <c r="AL161" i="8"/>
  <c r="AL162" i="8"/>
  <c r="AL163" i="8"/>
  <c r="AL164" i="8"/>
  <c r="AL165" i="8"/>
  <c r="AL166" i="8"/>
  <c r="AL167" i="8"/>
  <c r="AL168" i="8"/>
  <c r="AL169" i="8"/>
  <c r="AL170" i="8"/>
  <c r="AL171" i="8"/>
  <c r="AL172" i="8"/>
  <c r="AL173" i="8"/>
  <c r="AL174" i="8"/>
  <c r="AL175" i="8"/>
  <c r="AL176" i="8"/>
  <c r="AL177" i="8"/>
  <c r="AL178" i="8"/>
  <c r="AL179" i="8"/>
  <c r="AL180" i="8"/>
  <c r="AL181" i="8"/>
  <c r="AL182" i="8"/>
  <c r="AL183" i="8"/>
  <c r="AL184" i="8"/>
  <c r="AL185" i="8"/>
  <c r="AL186" i="8"/>
  <c r="AL187" i="8"/>
  <c r="AL188" i="8"/>
  <c r="AL189" i="8"/>
  <c r="AL190" i="8"/>
  <c r="AL191" i="8"/>
  <c r="AL192" i="8"/>
  <c r="AL193" i="8"/>
  <c r="AL194" i="8"/>
  <c r="AL195" i="8"/>
  <c r="AL196" i="8"/>
  <c r="AL197" i="8"/>
  <c r="AL198" i="8"/>
  <c r="AL199" i="8"/>
  <c r="AL200" i="8"/>
  <c r="AL201" i="8"/>
  <c r="AL202" i="8"/>
  <c r="AL203" i="8"/>
  <c r="AL204" i="8"/>
  <c r="AL205" i="8"/>
  <c r="AL206" i="8"/>
  <c r="AL207" i="8"/>
  <c r="AL208" i="8"/>
  <c r="AL209" i="8"/>
  <c r="AL210" i="8"/>
  <c r="AL211" i="8"/>
  <c r="AL212" i="8"/>
  <c r="AL213" i="8"/>
  <c r="AL214" i="8"/>
  <c r="AL215" i="8"/>
  <c r="AL216" i="8"/>
  <c r="AL217" i="8"/>
  <c r="AL218" i="8"/>
  <c r="AL219" i="8"/>
  <c r="AL220" i="8"/>
  <c r="AL221" i="8"/>
  <c r="AL222" i="8"/>
  <c r="AL223" i="8"/>
  <c r="AL224" i="8"/>
  <c r="AL225" i="8"/>
  <c r="AL226" i="8"/>
  <c r="AL227" i="8"/>
  <c r="AL228" i="8"/>
  <c r="AL229" i="8"/>
  <c r="AL230" i="8"/>
  <c r="AL231" i="8"/>
  <c r="AL232" i="8"/>
  <c r="AL233" i="8"/>
  <c r="AL234" i="8"/>
  <c r="AL235" i="8"/>
  <c r="AL236" i="8"/>
  <c r="AL237" i="8"/>
  <c r="AL238" i="8"/>
  <c r="AL239" i="8"/>
  <c r="AL240" i="8"/>
  <c r="AL241" i="8"/>
  <c r="AL242" i="8"/>
  <c r="AL243" i="8"/>
  <c r="AL244" i="8"/>
  <c r="AL245" i="8"/>
  <c r="AL246" i="8"/>
  <c r="AL247" i="8"/>
  <c r="AL248" i="8"/>
  <c r="AL249" i="8"/>
  <c r="AL250" i="8"/>
  <c r="AL251" i="8"/>
  <c r="AL252" i="8"/>
  <c r="AL253" i="8"/>
  <c r="AL254" i="8"/>
  <c r="AL255" i="8"/>
  <c r="AL256" i="8"/>
  <c r="AL257" i="8"/>
  <c r="AL258" i="8"/>
  <c r="AL259" i="8"/>
  <c r="AL260" i="8"/>
  <c r="AL261" i="8"/>
  <c r="AL262" i="8"/>
  <c r="AL263" i="8"/>
  <c r="AL264" i="8"/>
  <c r="AL265" i="8"/>
  <c r="AL266" i="8"/>
  <c r="AL267" i="8"/>
  <c r="AL268" i="8"/>
  <c r="AL269" i="8"/>
  <c r="AL270" i="8"/>
  <c r="AL271" i="8"/>
  <c r="AL272" i="8"/>
  <c r="AL273" i="8"/>
  <c r="AL274" i="8"/>
  <c r="AL275" i="8"/>
  <c r="AL276" i="8"/>
  <c r="AL277" i="8"/>
  <c r="AL278" i="8"/>
  <c r="AL279" i="8"/>
  <c r="AL280" i="8"/>
  <c r="AL281" i="8"/>
  <c r="AL282" i="8"/>
  <c r="AL283" i="8"/>
  <c r="AL284" i="8"/>
  <c r="AL285" i="8"/>
  <c r="AL286" i="8"/>
  <c r="AL287" i="8"/>
  <c r="AL288" i="8"/>
  <c r="AL289" i="8"/>
  <c r="AL290" i="8"/>
  <c r="AL291" i="8"/>
  <c r="AL292" i="8"/>
  <c r="AL293" i="8"/>
  <c r="AL294" i="8"/>
  <c r="AL295" i="8"/>
  <c r="AL296" i="8"/>
  <c r="AL297" i="8"/>
  <c r="AL298" i="8"/>
  <c r="AL299" i="8"/>
  <c r="AL300" i="8"/>
  <c r="AL301" i="8"/>
  <c r="AL302" i="8"/>
  <c r="AL303" i="8"/>
  <c r="AL304" i="8"/>
  <c r="AL305" i="8"/>
  <c r="AL306" i="8"/>
  <c r="AL307" i="8"/>
  <c r="AL308" i="8"/>
  <c r="AL309" i="8"/>
  <c r="AL310" i="8"/>
  <c r="AL311" i="8"/>
  <c r="AL312" i="8"/>
  <c r="AL313" i="8"/>
  <c r="AL314" i="8"/>
  <c r="AL315" i="8"/>
  <c r="AL316" i="8"/>
  <c r="AL317" i="8"/>
  <c r="AL318" i="8"/>
  <c r="AL319" i="8"/>
  <c r="AL320" i="8"/>
  <c r="AL321" i="8"/>
  <c r="AL322" i="8"/>
  <c r="AL323" i="8"/>
  <c r="AL324" i="8"/>
  <c r="AL325" i="8"/>
  <c r="AL326" i="8"/>
  <c r="AL327" i="8"/>
  <c r="AL328" i="8"/>
  <c r="AL329" i="8"/>
  <c r="AL330" i="8"/>
  <c r="AL331" i="8"/>
  <c r="AL332" i="8"/>
  <c r="AL333" i="8"/>
  <c r="AL334" i="8"/>
  <c r="AL335" i="8"/>
  <c r="AL336" i="8"/>
  <c r="AL337" i="8"/>
  <c r="AL338" i="8"/>
  <c r="AL339" i="8"/>
  <c r="AL340" i="8"/>
  <c r="AL341" i="8"/>
  <c r="AL342" i="8"/>
  <c r="AL343" i="8"/>
  <c r="AL344" i="8"/>
  <c r="AL345" i="8"/>
  <c r="AL346" i="8"/>
  <c r="AL347" i="8"/>
  <c r="AL348" i="8"/>
  <c r="AL349" i="8"/>
  <c r="AL350" i="8"/>
  <c r="AL351" i="8"/>
  <c r="AL352" i="8"/>
  <c r="AL353" i="8"/>
  <c r="AL354" i="8"/>
  <c r="AL355" i="8"/>
  <c r="AL356" i="8"/>
  <c r="AL357" i="8"/>
  <c r="AL358" i="8"/>
  <c r="AL359" i="8"/>
  <c r="AL360" i="8"/>
  <c r="AL361" i="8"/>
  <c r="AL362" i="8"/>
  <c r="AL363" i="8"/>
  <c r="AL364" i="8"/>
  <c r="AL365" i="8"/>
  <c r="AL366" i="8"/>
  <c r="AL367" i="8"/>
  <c r="AL368" i="8"/>
  <c r="AL369" i="8"/>
  <c r="AL370" i="8"/>
  <c r="AL371" i="8"/>
  <c r="AL372" i="8"/>
  <c r="AL373" i="8"/>
  <c r="AL374" i="8"/>
  <c r="AL375" i="8"/>
  <c r="AL376" i="8"/>
  <c r="AL377" i="8"/>
  <c r="AL378" i="8"/>
  <c r="AL379" i="8"/>
  <c r="AL380" i="8"/>
  <c r="AL381" i="8"/>
  <c r="AL382" i="8"/>
  <c r="AL383" i="8"/>
  <c r="AL384" i="8"/>
  <c r="AL385" i="8"/>
  <c r="AL386" i="8"/>
  <c r="AL387" i="8"/>
  <c r="AL388" i="8"/>
  <c r="AL389" i="8"/>
  <c r="AL390" i="8"/>
  <c r="AL391" i="8"/>
  <c r="AL392" i="8"/>
  <c r="AL393" i="8"/>
  <c r="AL394" i="8"/>
  <c r="AL395" i="8"/>
  <c r="AL396" i="8"/>
  <c r="AL397" i="8"/>
  <c r="AL398" i="8"/>
  <c r="AL399" i="8"/>
  <c r="AL400" i="8"/>
  <c r="AL401" i="8"/>
  <c r="AL402" i="8"/>
  <c r="AL403" i="8"/>
  <c r="AL404" i="8"/>
  <c r="AL405" i="8"/>
  <c r="AL406" i="8"/>
  <c r="AL407" i="8"/>
  <c r="AL408" i="8"/>
  <c r="AL409" i="8"/>
  <c r="AL410" i="8"/>
  <c r="AL411" i="8"/>
  <c r="AL412" i="8"/>
  <c r="AL413" i="8"/>
  <c r="AL414" i="8"/>
  <c r="AL415" i="8"/>
  <c r="AL416" i="8"/>
  <c r="AL417" i="8"/>
  <c r="AL418" i="8"/>
  <c r="AL419" i="8"/>
  <c r="AL420" i="8"/>
  <c r="AL421" i="8"/>
  <c r="AL422" i="8"/>
  <c r="AL423" i="8"/>
  <c r="AL424" i="8"/>
  <c r="AL425" i="8"/>
  <c r="AL426" i="8"/>
  <c r="AL427" i="8"/>
  <c r="AL428" i="8"/>
  <c r="AL429" i="8"/>
  <c r="AL430" i="8"/>
  <c r="AL431" i="8"/>
  <c r="AL432" i="8"/>
  <c r="AL433" i="8"/>
  <c r="AL434" i="8"/>
  <c r="AL435" i="8"/>
  <c r="AL436" i="8"/>
  <c r="AL437" i="8"/>
  <c r="AL438" i="8"/>
  <c r="AL439" i="8"/>
  <c r="AL440" i="8"/>
  <c r="AL441" i="8"/>
  <c r="AL442" i="8"/>
  <c r="AL443" i="8"/>
  <c r="AL444" i="8"/>
  <c r="AL445" i="8"/>
  <c r="AL446" i="8"/>
  <c r="AL447" i="8"/>
  <c r="AL448" i="8"/>
  <c r="AL449" i="8"/>
  <c r="AL450" i="8"/>
  <c r="AL451" i="8"/>
  <c r="AL452" i="8"/>
  <c r="AL453" i="8"/>
  <c r="AL454" i="8"/>
  <c r="AL455" i="8"/>
  <c r="AL456" i="8"/>
  <c r="AL457" i="8"/>
  <c r="AL458" i="8"/>
  <c r="AL459" i="8"/>
  <c r="AL460" i="8"/>
  <c r="AL461" i="8"/>
  <c r="AL462" i="8"/>
  <c r="AL463" i="8"/>
  <c r="AL464" i="8"/>
  <c r="AL465" i="8"/>
  <c r="AL466" i="8"/>
  <c r="AL467" i="8"/>
  <c r="AL468" i="8"/>
  <c r="AL469" i="8"/>
  <c r="AL470" i="8"/>
  <c r="AL471" i="8"/>
  <c r="AL472" i="8"/>
  <c r="AL473" i="8"/>
  <c r="AL474" i="8"/>
  <c r="AL475" i="8"/>
  <c r="AL476" i="8"/>
  <c r="AL477" i="8"/>
  <c r="AL478" i="8"/>
  <c r="AL479" i="8"/>
  <c r="AL480" i="8"/>
  <c r="AL481" i="8"/>
  <c r="AL482" i="8"/>
  <c r="AL483" i="8"/>
  <c r="AL484" i="8"/>
  <c r="AL485" i="8"/>
  <c r="AL486" i="8"/>
  <c r="AL487" i="8"/>
  <c r="AL488" i="8"/>
  <c r="AL489" i="8"/>
  <c r="AL490" i="8"/>
  <c r="AL491" i="8"/>
  <c r="AL492" i="8"/>
  <c r="AL493" i="8"/>
  <c r="AL494" i="8"/>
  <c r="AL495" i="8"/>
  <c r="AL496" i="8"/>
  <c r="AL497" i="8"/>
  <c r="AL498" i="8"/>
  <c r="AL499" i="8"/>
  <c r="AL500" i="8"/>
  <c r="AL501" i="8"/>
  <c r="AL502" i="8"/>
  <c r="AL503" i="8"/>
  <c r="AL504" i="8"/>
  <c r="AL505" i="8"/>
  <c r="AL506" i="8"/>
  <c r="AL507" i="8"/>
  <c r="AL508" i="8"/>
  <c r="AL509" i="8"/>
  <c r="AL510" i="8"/>
  <c r="AL511" i="8"/>
  <c r="AL512" i="8"/>
  <c r="AL513" i="8"/>
  <c r="AL514" i="8"/>
  <c r="AL515" i="8"/>
  <c r="AL516" i="8"/>
  <c r="AL517" i="8"/>
  <c r="AL518" i="8"/>
  <c r="AL519" i="8"/>
  <c r="AL520" i="8"/>
  <c r="AL521" i="8"/>
  <c r="AL522" i="8"/>
  <c r="AL523" i="8"/>
  <c r="AL524" i="8"/>
  <c r="AL525" i="8"/>
  <c r="AL526" i="8"/>
  <c r="AL527" i="8"/>
  <c r="AL528" i="8"/>
  <c r="AL529" i="8"/>
  <c r="AL530" i="8"/>
  <c r="AL531" i="8"/>
  <c r="AL532" i="8"/>
  <c r="AL533" i="8"/>
  <c r="AL534" i="8"/>
  <c r="AL535" i="8"/>
  <c r="AL536" i="8"/>
  <c r="AL537" i="8"/>
  <c r="AL538" i="8"/>
  <c r="AL539" i="8"/>
  <c r="AL540" i="8"/>
  <c r="AL541" i="8"/>
  <c r="AL542" i="8"/>
  <c r="AL543" i="8"/>
  <c r="AL544" i="8"/>
  <c r="AL545" i="8"/>
  <c r="AL546" i="8"/>
  <c r="AL547" i="8"/>
  <c r="AL548" i="8"/>
  <c r="AL549" i="8"/>
  <c r="AL550" i="8"/>
  <c r="AL551" i="8"/>
  <c r="AL552" i="8"/>
  <c r="AL553" i="8"/>
  <c r="AL554" i="8"/>
  <c r="AL555" i="8"/>
  <c r="AL556" i="8"/>
  <c r="AL557" i="8"/>
  <c r="AL558" i="8"/>
  <c r="AL559" i="8"/>
  <c r="AL560" i="8"/>
  <c r="AL561" i="8"/>
  <c r="AL562" i="8"/>
  <c r="AL563" i="8"/>
  <c r="AL564" i="8"/>
  <c r="AL565" i="8"/>
  <c r="AL566" i="8"/>
  <c r="AL567" i="8"/>
  <c r="AL568" i="8"/>
  <c r="AL569" i="8"/>
  <c r="AL570" i="8"/>
  <c r="AL571" i="8"/>
  <c r="AL572" i="8"/>
  <c r="AL573" i="8"/>
  <c r="AL574" i="8"/>
  <c r="AL575" i="8"/>
  <c r="AL576" i="8"/>
  <c r="AL577" i="8"/>
  <c r="AL578" i="8"/>
  <c r="AL579" i="8"/>
  <c r="AL580" i="8"/>
  <c r="AL581" i="8"/>
  <c r="AL582" i="8"/>
  <c r="AL583" i="8"/>
  <c r="AL584" i="8"/>
  <c r="AL585" i="8"/>
  <c r="AL586" i="8"/>
  <c r="AL587" i="8"/>
  <c r="AL588" i="8"/>
  <c r="AL589" i="8"/>
  <c r="AL590" i="8"/>
  <c r="AL591" i="8"/>
  <c r="AL592" i="8"/>
  <c r="AL593" i="8"/>
  <c r="AL594" i="8"/>
  <c r="AL595" i="8"/>
  <c r="AL596" i="8"/>
  <c r="AL597" i="8"/>
  <c r="AL598" i="8"/>
  <c r="AL599" i="8"/>
  <c r="AL600" i="8"/>
  <c r="AL601" i="8"/>
  <c r="AL602" i="8"/>
  <c r="AL603" i="8"/>
  <c r="AL604" i="8"/>
  <c r="AL605" i="8"/>
  <c r="AL606" i="8"/>
  <c r="AL607" i="8"/>
  <c r="AL608" i="8"/>
  <c r="AL609" i="8"/>
  <c r="AL610" i="8"/>
  <c r="AL611" i="8"/>
  <c r="AL612" i="8"/>
  <c r="AL613" i="8"/>
  <c r="AL614" i="8"/>
  <c r="AL615" i="8"/>
  <c r="AL616" i="8"/>
  <c r="AL617" i="8"/>
  <c r="AL618" i="8"/>
  <c r="AL619" i="8"/>
  <c r="AL620" i="8"/>
  <c r="AL621" i="8"/>
  <c r="AL622" i="8"/>
  <c r="AL623" i="8"/>
  <c r="AL624" i="8"/>
  <c r="AL625" i="8"/>
  <c r="AL626" i="8"/>
  <c r="AL627" i="8"/>
  <c r="AL628" i="8"/>
  <c r="AL629" i="8"/>
  <c r="AL630" i="8"/>
  <c r="AL631" i="8"/>
  <c r="AL632" i="8"/>
  <c r="AL633" i="8"/>
  <c r="AL634" i="8"/>
  <c r="AL635" i="8"/>
  <c r="AL636" i="8"/>
  <c r="AL637" i="8"/>
  <c r="AL638" i="8"/>
  <c r="AL639" i="8"/>
  <c r="AL640" i="8"/>
  <c r="AL641" i="8"/>
  <c r="AL642" i="8"/>
  <c r="AL643" i="8"/>
  <c r="AL644" i="8"/>
  <c r="AL645" i="8"/>
  <c r="AL646" i="8"/>
  <c r="AL647" i="8"/>
  <c r="AL648" i="8"/>
  <c r="AL649" i="8"/>
  <c r="AL650" i="8"/>
  <c r="AL651" i="8"/>
  <c r="AL652" i="8"/>
  <c r="AL653" i="8"/>
  <c r="AL654" i="8"/>
  <c r="AL655" i="8"/>
  <c r="AL656" i="8"/>
  <c r="AL657" i="8"/>
  <c r="AL658" i="8"/>
  <c r="AL659" i="8"/>
  <c r="AL660" i="8"/>
  <c r="AL661" i="8"/>
  <c r="AL662" i="8"/>
  <c r="AL663" i="8"/>
  <c r="AL664" i="8"/>
  <c r="AL665" i="8"/>
  <c r="AL666" i="8"/>
  <c r="AL667" i="8"/>
  <c r="AL668" i="8"/>
  <c r="AL669" i="8"/>
  <c r="AL670" i="8"/>
  <c r="AL671" i="8"/>
  <c r="AL672" i="8"/>
  <c r="AL673" i="8"/>
  <c r="AL674" i="8"/>
  <c r="AL675" i="8"/>
  <c r="AL676" i="8"/>
  <c r="AL677" i="8"/>
  <c r="AL678" i="8"/>
  <c r="AL679" i="8"/>
  <c r="AL680" i="8"/>
  <c r="AL681" i="8"/>
  <c r="AL682" i="8"/>
  <c r="AL683" i="8"/>
  <c r="AL684" i="8"/>
  <c r="AL685" i="8"/>
  <c r="AL686" i="8"/>
  <c r="AL687" i="8"/>
  <c r="AL688" i="8"/>
  <c r="AL689" i="8"/>
  <c r="AL690" i="8"/>
  <c r="AL691" i="8"/>
  <c r="AL692" i="8"/>
  <c r="AL693" i="8"/>
  <c r="AL694" i="8"/>
  <c r="AL695" i="8"/>
  <c r="AL696" i="8"/>
  <c r="AL697" i="8"/>
  <c r="AL698" i="8"/>
  <c r="AL699" i="8"/>
  <c r="AL700" i="8"/>
  <c r="AL701" i="8"/>
  <c r="AL702" i="8"/>
  <c r="AL703" i="8"/>
  <c r="AL704" i="8"/>
  <c r="AL705" i="8"/>
  <c r="AL706" i="8"/>
  <c r="AL707" i="8"/>
  <c r="AL708" i="8"/>
  <c r="AL709" i="8"/>
  <c r="AL710" i="8"/>
  <c r="AL711" i="8"/>
  <c r="AL712" i="8"/>
  <c r="AL713" i="8"/>
  <c r="AL714" i="8"/>
  <c r="AL715" i="8"/>
  <c r="AL716" i="8"/>
  <c r="AL717" i="8"/>
  <c r="AL718" i="8"/>
  <c r="AL719" i="8"/>
  <c r="AL720" i="8"/>
  <c r="AL721" i="8"/>
  <c r="AL722" i="8"/>
  <c r="AL723" i="8"/>
  <c r="AL724" i="8"/>
  <c r="AL725" i="8"/>
  <c r="AL726" i="8"/>
  <c r="AL727" i="8"/>
  <c r="AL728" i="8"/>
  <c r="AL729" i="8"/>
  <c r="AL730" i="8"/>
  <c r="AL731" i="8"/>
  <c r="AL732" i="8"/>
  <c r="AL733" i="8"/>
  <c r="AL734" i="8"/>
  <c r="AL735" i="8"/>
  <c r="AL736" i="8"/>
  <c r="AL737" i="8"/>
  <c r="AL738" i="8"/>
  <c r="AL739" i="8"/>
  <c r="AL740" i="8"/>
  <c r="AL741" i="8"/>
  <c r="AL742" i="8"/>
  <c r="AL743" i="8"/>
  <c r="AL744" i="8"/>
  <c r="AL745" i="8"/>
  <c r="AL746" i="8"/>
  <c r="AL747" i="8"/>
  <c r="AL748" i="8"/>
  <c r="AL749" i="8"/>
  <c r="AL750" i="8"/>
  <c r="AL751" i="8"/>
  <c r="AL752" i="8"/>
  <c r="AL753" i="8"/>
  <c r="AL754" i="8"/>
  <c r="AL755" i="8"/>
  <c r="AL756" i="8"/>
  <c r="AL757" i="8"/>
  <c r="AL758" i="8"/>
  <c r="AL759" i="8"/>
  <c r="AL760" i="8"/>
  <c r="AL761" i="8"/>
  <c r="AL762" i="8"/>
  <c r="AL763" i="8"/>
  <c r="AL764" i="8"/>
  <c r="AL765" i="8"/>
  <c r="AL766" i="8"/>
  <c r="AL767" i="8"/>
  <c r="AL768" i="8"/>
  <c r="AL769" i="8"/>
  <c r="AL770" i="8"/>
  <c r="AL771" i="8"/>
  <c r="AL772" i="8"/>
  <c r="AL773" i="8"/>
  <c r="AL774" i="8"/>
  <c r="AL775" i="8"/>
  <c r="AL776" i="8"/>
  <c r="AL777" i="8"/>
  <c r="AL778" i="8"/>
  <c r="AL779" i="8"/>
  <c r="AL780" i="8"/>
  <c r="AL781" i="8"/>
  <c r="AL782" i="8"/>
  <c r="AL783" i="8"/>
  <c r="AL784" i="8"/>
  <c r="AL785" i="8"/>
  <c r="AL786" i="8"/>
  <c r="AL787" i="8"/>
  <c r="AL788" i="8"/>
  <c r="AL789" i="8"/>
  <c r="AL790" i="8"/>
  <c r="AL791" i="8"/>
  <c r="AL792" i="8"/>
  <c r="AL793" i="8"/>
  <c r="AL794" i="8"/>
  <c r="AL795" i="8"/>
  <c r="AL796" i="8"/>
  <c r="AL797" i="8"/>
  <c r="AL798" i="8"/>
  <c r="AL799" i="8"/>
  <c r="AL800" i="8"/>
  <c r="AL801" i="8"/>
  <c r="AL802" i="8"/>
  <c r="AL803" i="8"/>
  <c r="AL804" i="8"/>
  <c r="AL805" i="8"/>
  <c r="AL806" i="8"/>
  <c r="AL807" i="8"/>
  <c r="AL808" i="8"/>
  <c r="AL809" i="8"/>
  <c r="AL810" i="8"/>
  <c r="AL811" i="8"/>
  <c r="AL812" i="8"/>
  <c r="AL813" i="8"/>
  <c r="AL814" i="8"/>
  <c r="AL815" i="8"/>
  <c r="AL816" i="8"/>
  <c r="AL817" i="8"/>
  <c r="AL818" i="8"/>
  <c r="AL819" i="8"/>
  <c r="AL820" i="8"/>
  <c r="AL821" i="8"/>
  <c r="AL822" i="8"/>
  <c r="AL823" i="8"/>
  <c r="AL824" i="8"/>
  <c r="AL825" i="8"/>
  <c r="AL826" i="8"/>
  <c r="AL827" i="8"/>
  <c r="AL828" i="8"/>
  <c r="AL829" i="8"/>
  <c r="AL830" i="8"/>
  <c r="AL831" i="8"/>
  <c r="AL832" i="8"/>
  <c r="AL833" i="8"/>
  <c r="AL834" i="8"/>
  <c r="AL835" i="8"/>
  <c r="AL836" i="8"/>
  <c r="AL837" i="8"/>
  <c r="AL838" i="8"/>
  <c r="AL839" i="8"/>
  <c r="AL840" i="8"/>
  <c r="AL841" i="8"/>
  <c r="AL842" i="8"/>
  <c r="AL843" i="8"/>
  <c r="AL844" i="8"/>
  <c r="AL845" i="8"/>
  <c r="AL846" i="8"/>
  <c r="AL2" i="8"/>
  <c r="AK2" i="4"/>
  <c r="AM3" i="8"/>
  <c r="AM4" i="8"/>
  <c r="AM5" i="8"/>
  <c r="AM6" i="8"/>
  <c r="AM7" i="8"/>
  <c r="AM8" i="8"/>
  <c r="AM9" i="8"/>
  <c r="AM10" i="8"/>
  <c r="AM11" i="8"/>
  <c r="AM12" i="8"/>
  <c r="AM13" i="8"/>
  <c r="AM14" i="8"/>
  <c r="AM15" i="8"/>
  <c r="AM16" i="8"/>
  <c r="AM17" i="8"/>
  <c r="AM18" i="8"/>
  <c r="AM19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59" i="8"/>
  <c r="AM60" i="8"/>
  <c r="AM61" i="8"/>
  <c r="AM62" i="8"/>
  <c r="AM63" i="8"/>
  <c r="AM64" i="8"/>
  <c r="AM65" i="8"/>
  <c r="AM66" i="8"/>
  <c r="AM67" i="8"/>
  <c r="AM68" i="8"/>
  <c r="AM69" i="8"/>
  <c r="AM70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M103" i="8"/>
  <c r="AM104" i="8"/>
  <c r="AM105" i="8"/>
  <c r="AM106" i="8"/>
  <c r="AM107" i="8"/>
  <c r="AM108" i="8"/>
  <c r="AM109" i="8"/>
  <c r="AM110" i="8"/>
  <c r="AM111" i="8"/>
  <c r="AM112" i="8"/>
  <c r="AM113" i="8"/>
  <c r="AM114" i="8"/>
  <c r="AM115" i="8"/>
  <c r="AM116" i="8"/>
  <c r="AM117" i="8"/>
  <c r="AM118" i="8"/>
  <c r="AM119" i="8"/>
  <c r="AM120" i="8"/>
  <c r="AM121" i="8"/>
  <c r="AM122" i="8"/>
  <c r="AM123" i="8"/>
  <c r="AM124" i="8"/>
  <c r="AM125" i="8"/>
  <c r="AM126" i="8"/>
  <c r="AM127" i="8"/>
  <c r="AM128" i="8"/>
  <c r="AM129" i="8"/>
  <c r="AM130" i="8"/>
  <c r="AM131" i="8"/>
  <c r="AM132" i="8"/>
  <c r="AM133" i="8"/>
  <c r="AM134" i="8"/>
  <c r="AM135" i="8"/>
  <c r="AM136" i="8"/>
  <c r="AM137" i="8"/>
  <c r="AM138" i="8"/>
  <c r="AM139" i="8"/>
  <c r="AM140" i="8"/>
  <c r="AM141" i="8"/>
  <c r="AM142" i="8"/>
  <c r="AM143" i="8"/>
  <c r="AM144" i="8"/>
  <c r="AM145" i="8"/>
  <c r="AM146" i="8"/>
  <c r="AM147" i="8"/>
  <c r="AM148" i="8"/>
  <c r="AM149" i="8"/>
  <c r="AM150" i="8"/>
  <c r="AM151" i="8"/>
  <c r="AM152" i="8"/>
  <c r="AM153" i="8"/>
  <c r="AM154" i="8"/>
  <c r="AM155" i="8"/>
  <c r="AM156" i="8"/>
  <c r="AM157" i="8"/>
  <c r="AM158" i="8"/>
  <c r="AM159" i="8"/>
  <c r="AM160" i="8"/>
  <c r="AM161" i="8"/>
  <c r="AM162" i="8"/>
  <c r="AM163" i="8"/>
  <c r="AM164" i="8"/>
  <c r="AM165" i="8"/>
  <c r="AM166" i="8"/>
  <c r="AM167" i="8"/>
  <c r="AM168" i="8"/>
  <c r="AM169" i="8"/>
  <c r="AM170" i="8"/>
  <c r="AM171" i="8"/>
  <c r="AM172" i="8"/>
  <c r="AM173" i="8"/>
  <c r="AM174" i="8"/>
  <c r="AM175" i="8"/>
  <c r="AM176" i="8"/>
  <c r="AM177" i="8"/>
  <c r="AM178" i="8"/>
  <c r="AM179" i="8"/>
  <c r="AM180" i="8"/>
  <c r="AM181" i="8"/>
  <c r="AM182" i="8"/>
  <c r="AM183" i="8"/>
  <c r="AM184" i="8"/>
  <c r="AM185" i="8"/>
  <c r="AM186" i="8"/>
  <c r="AM187" i="8"/>
  <c r="AM188" i="8"/>
  <c r="AM189" i="8"/>
  <c r="AM190" i="8"/>
  <c r="AM191" i="8"/>
  <c r="AM192" i="8"/>
  <c r="AM193" i="8"/>
  <c r="AM194" i="8"/>
  <c r="AM195" i="8"/>
  <c r="AM196" i="8"/>
  <c r="AM197" i="8"/>
  <c r="AM198" i="8"/>
  <c r="AM199" i="8"/>
  <c r="AM200" i="8"/>
  <c r="AM201" i="8"/>
  <c r="AM202" i="8"/>
  <c r="AM203" i="8"/>
  <c r="AM204" i="8"/>
  <c r="AM205" i="8"/>
  <c r="AM206" i="8"/>
  <c r="AM207" i="8"/>
  <c r="AM208" i="8"/>
  <c r="AM209" i="8"/>
  <c r="AM210" i="8"/>
  <c r="AM211" i="8"/>
  <c r="AM212" i="8"/>
  <c r="AM213" i="8"/>
  <c r="AM214" i="8"/>
  <c r="AM215" i="8"/>
  <c r="AM216" i="8"/>
  <c r="AM217" i="8"/>
  <c r="AM218" i="8"/>
  <c r="AM219" i="8"/>
  <c r="AM220" i="8"/>
  <c r="AM221" i="8"/>
  <c r="AM222" i="8"/>
  <c r="AM223" i="8"/>
  <c r="AM224" i="8"/>
  <c r="AM225" i="8"/>
  <c r="AM226" i="8"/>
  <c r="AM227" i="8"/>
  <c r="AM228" i="8"/>
  <c r="AM229" i="8"/>
  <c r="AM230" i="8"/>
  <c r="AM231" i="8"/>
  <c r="AM232" i="8"/>
  <c r="AM233" i="8"/>
  <c r="AM234" i="8"/>
  <c r="AM235" i="8"/>
  <c r="AM236" i="8"/>
  <c r="AM237" i="8"/>
  <c r="AM238" i="8"/>
  <c r="AM239" i="8"/>
  <c r="AM240" i="8"/>
  <c r="AM241" i="8"/>
  <c r="AM242" i="8"/>
  <c r="AM243" i="8"/>
  <c r="AM244" i="8"/>
  <c r="AM245" i="8"/>
  <c r="AM246" i="8"/>
  <c r="AM247" i="8"/>
  <c r="AM248" i="8"/>
  <c r="AM249" i="8"/>
  <c r="AM250" i="8"/>
  <c r="AM251" i="8"/>
  <c r="AM252" i="8"/>
  <c r="AM253" i="8"/>
  <c r="AM254" i="8"/>
  <c r="AM255" i="8"/>
  <c r="AM256" i="8"/>
  <c r="AM257" i="8"/>
  <c r="AM258" i="8"/>
  <c r="AM259" i="8"/>
  <c r="AM260" i="8"/>
  <c r="AM261" i="8"/>
  <c r="AM262" i="8"/>
  <c r="AM263" i="8"/>
  <c r="AM264" i="8"/>
  <c r="AM265" i="8"/>
  <c r="AM266" i="8"/>
  <c r="AM267" i="8"/>
  <c r="AM268" i="8"/>
  <c r="AM269" i="8"/>
  <c r="AM270" i="8"/>
  <c r="AM271" i="8"/>
  <c r="AM272" i="8"/>
  <c r="AM273" i="8"/>
  <c r="AM274" i="8"/>
  <c r="AM275" i="8"/>
  <c r="AM276" i="8"/>
  <c r="AM277" i="8"/>
  <c r="AM278" i="8"/>
  <c r="AM279" i="8"/>
  <c r="AM280" i="8"/>
  <c r="AM281" i="8"/>
  <c r="AM282" i="8"/>
  <c r="AM283" i="8"/>
  <c r="AM284" i="8"/>
  <c r="AM285" i="8"/>
  <c r="AM286" i="8"/>
  <c r="AM287" i="8"/>
  <c r="AM288" i="8"/>
  <c r="AM289" i="8"/>
  <c r="AM290" i="8"/>
  <c r="AM291" i="8"/>
  <c r="AM292" i="8"/>
  <c r="AM293" i="8"/>
  <c r="AM294" i="8"/>
  <c r="AM295" i="8"/>
  <c r="AM296" i="8"/>
  <c r="AM297" i="8"/>
  <c r="AM298" i="8"/>
  <c r="AM299" i="8"/>
  <c r="AM300" i="8"/>
  <c r="AM301" i="8"/>
  <c r="AM302" i="8"/>
  <c r="AM303" i="8"/>
  <c r="AM304" i="8"/>
  <c r="AM305" i="8"/>
  <c r="AM306" i="8"/>
  <c r="AM307" i="8"/>
  <c r="AM308" i="8"/>
  <c r="AM309" i="8"/>
  <c r="AM310" i="8"/>
  <c r="AM311" i="8"/>
  <c r="AM312" i="8"/>
  <c r="AM313" i="8"/>
  <c r="AM314" i="8"/>
  <c r="AM315" i="8"/>
  <c r="AM316" i="8"/>
  <c r="AM317" i="8"/>
  <c r="AM318" i="8"/>
  <c r="AM319" i="8"/>
  <c r="AM320" i="8"/>
  <c r="AM321" i="8"/>
  <c r="AM322" i="8"/>
  <c r="AM323" i="8"/>
  <c r="AM324" i="8"/>
  <c r="AM325" i="8"/>
  <c r="AM326" i="8"/>
  <c r="AM327" i="8"/>
  <c r="AM328" i="8"/>
  <c r="AM329" i="8"/>
  <c r="AM330" i="8"/>
  <c r="AM331" i="8"/>
  <c r="AM332" i="8"/>
  <c r="AM333" i="8"/>
  <c r="AM334" i="8"/>
  <c r="AM335" i="8"/>
  <c r="AM336" i="8"/>
  <c r="AM337" i="8"/>
  <c r="AM338" i="8"/>
  <c r="AM339" i="8"/>
  <c r="AM340" i="8"/>
  <c r="AM341" i="8"/>
  <c r="AM342" i="8"/>
  <c r="AM343" i="8"/>
  <c r="AM344" i="8"/>
  <c r="AM345" i="8"/>
  <c r="AM346" i="8"/>
  <c r="AM347" i="8"/>
  <c r="AM348" i="8"/>
  <c r="AM349" i="8"/>
  <c r="AM350" i="8"/>
  <c r="AM351" i="8"/>
  <c r="AM352" i="8"/>
  <c r="AM353" i="8"/>
  <c r="AM354" i="8"/>
  <c r="AM355" i="8"/>
  <c r="AM356" i="8"/>
  <c r="AM357" i="8"/>
  <c r="AM358" i="8"/>
  <c r="AM359" i="8"/>
  <c r="AM360" i="8"/>
  <c r="AM361" i="8"/>
  <c r="AM362" i="8"/>
  <c r="AM363" i="8"/>
  <c r="AM364" i="8"/>
  <c r="AM365" i="8"/>
  <c r="AM366" i="8"/>
  <c r="AM367" i="8"/>
  <c r="AM368" i="8"/>
  <c r="AM369" i="8"/>
  <c r="AM370" i="8"/>
  <c r="AM371" i="8"/>
  <c r="AM372" i="8"/>
  <c r="AM373" i="8"/>
  <c r="AM374" i="8"/>
  <c r="AM375" i="8"/>
  <c r="AM376" i="8"/>
  <c r="AM377" i="8"/>
  <c r="AM378" i="8"/>
  <c r="AM379" i="8"/>
  <c r="AM380" i="8"/>
  <c r="AM381" i="8"/>
  <c r="AM382" i="8"/>
  <c r="AM383" i="8"/>
  <c r="AM384" i="8"/>
  <c r="AM385" i="8"/>
  <c r="AM386" i="8"/>
  <c r="AM387" i="8"/>
  <c r="AM388" i="8"/>
  <c r="AM389" i="8"/>
  <c r="AM390" i="8"/>
  <c r="AM391" i="8"/>
  <c r="AM392" i="8"/>
  <c r="AM393" i="8"/>
  <c r="AM394" i="8"/>
  <c r="AM395" i="8"/>
  <c r="AM396" i="8"/>
  <c r="AM397" i="8"/>
  <c r="AM398" i="8"/>
  <c r="AM399" i="8"/>
  <c r="AM400" i="8"/>
  <c r="AM401" i="8"/>
  <c r="AM402" i="8"/>
  <c r="AM403" i="8"/>
  <c r="AM404" i="8"/>
  <c r="AM405" i="8"/>
  <c r="AM406" i="8"/>
  <c r="AM407" i="8"/>
  <c r="AM408" i="8"/>
  <c r="AM409" i="8"/>
  <c r="AM410" i="8"/>
  <c r="AM411" i="8"/>
  <c r="AM412" i="8"/>
  <c r="AM413" i="8"/>
  <c r="AM414" i="8"/>
  <c r="AM415" i="8"/>
  <c r="AM416" i="8"/>
  <c r="AM417" i="8"/>
  <c r="AM418" i="8"/>
  <c r="AM419" i="8"/>
  <c r="AM420" i="8"/>
  <c r="AM421" i="8"/>
  <c r="AM422" i="8"/>
  <c r="AM423" i="8"/>
  <c r="AM424" i="8"/>
  <c r="AM425" i="8"/>
  <c r="AM426" i="8"/>
  <c r="AM427" i="8"/>
  <c r="AM428" i="8"/>
  <c r="AM429" i="8"/>
  <c r="AM430" i="8"/>
  <c r="AM431" i="8"/>
  <c r="AM432" i="8"/>
  <c r="AM433" i="8"/>
  <c r="AM434" i="8"/>
  <c r="AM435" i="8"/>
  <c r="AM436" i="8"/>
  <c r="AM437" i="8"/>
  <c r="AM438" i="8"/>
  <c r="AM439" i="8"/>
  <c r="AM440" i="8"/>
  <c r="AM441" i="8"/>
  <c r="AM442" i="8"/>
  <c r="AM443" i="8"/>
  <c r="AM444" i="8"/>
  <c r="AM445" i="8"/>
  <c r="AM446" i="8"/>
  <c r="AM447" i="8"/>
  <c r="AM448" i="8"/>
  <c r="AM449" i="8"/>
  <c r="AM450" i="8"/>
  <c r="AM451" i="8"/>
  <c r="AM452" i="8"/>
  <c r="AM453" i="8"/>
  <c r="AM454" i="8"/>
  <c r="AM455" i="8"/>
  <c r="AM456" i="8"/>
  <c r="AM457" i="8"/>
  <c r="AM458" i="8"/>
  <c r="AM459" i="8"/>
  <c r="AM460" i="8"/>
  <c r="AM461" i="8"/>
  <c r="AM462" i="8"/>
  <c r="AM463" i="8"/>
  <c r="AM464" i="8"/>
  <c r="AM465" i="8"/>
  <c r="AM466" i="8"/>
  <c r="AM467" i="8"/>
  <c r="AM468" i="8"/>
  <c r="AM469" i="8"/>
  <c r="AM470" i="8"/>
  <c r="AM471" i="8"/>
  <c r="AM472" i="8"/>
  <c r="AM473" i="8"/>
  <c r="AM474" i="8"/>
  <c r="AM475" i="8"/>
  <c r="AM476" i="8"/>
  <c r="AM477" i="8"/>
  <c r="AM478" i="8"/>
  <c r="AM479" i="8"/>
  <c r="AM480" i="8"/>
  <c r="AM481" i="8"/>
  <c r="AM482" i="8"/>
  <c r="AM483" i="8"/>
  <c r="AM484" i="8"/>
  <c r="AM485" i="8"/>
  <c r="AM486" i="8"/>
  <c r="AM487" i="8"/>
  <c r="AM488" i="8"/>
  <c r="AM489" i="8"/>
  <c r="AM490" i="8"/>
  <c r="AM491" i="8"/>
  <c r="AM492" i="8"/>
  <c r="AM493" i="8"/>
  <c r="AM494" i="8"/>
  <c r="AM495" i="8"/>
  <c r="AM496" i="8"/>
  <c r="AM497" i="8"/>
  <c r="AM498" i="8"/>
  <c r="AM499" i="8"/>
  <c r="AM500" i="8"/>
  <c r="AM501" i="8"/>
  <c r="AM502" i="8"/>
  <c r="AM503" i="8"/>
  <c r="AM504" i="8"/>
  <c r="AM505" i="8"/>
  <c r="AM506" i="8"/>
  <c r="AM507" i="8"/>
  <c r="AM508" i="8"/>
  <c r="AM509" i="8"/>
  <c r="AM510" i="8"/>
  <c r="AM511" i="8"/>
  <c r="AM512" i="8"/>
  <c r="AM513" i="8"/>
  <c r="AM514" i="8"/>
  <c r="AM515" i="8"/>
  <c r="AM516" i="8"/>
  <c r="AM517" i="8"/>
  <c r="AM518" i="8"/>
  <c r="AM519" i="8"/>
  <c r="AM520" i="8"/>
  <c r="AM521" i="8"/>
  <c r="AM522" i="8"/>
  <c r="AM523" i="8"/>
  <c r="AM524" i="8"/>
  <c r="AM525" i="8"/>
  <c r="AM526" i="8"/>
  <c r="AM527" i="8"/>
  <c r="AM528" i="8"/>
  <c r="AM529" i="8"/>
  <c r="AM530" i="8"/>
  <c r="AM531" i="8"/>
  <c r="AM532" i="8"/>
  <c r="AM533" i="8"/>
  <c r="AM534" i="8"/>
  <c r="AM535" i="8"/>
  <c r="AM536" i="8"/>
  <c r="AM537" i="8"/>
  <c r="AM538" i="8"/>
  <c r="AM539" i="8"/>
  <c r="AM540" i="8"/>
  <c r="AM541" i="8"/>
  <c r="AM542" i="8"/>
  <c r="AM543" i="8"/>
  <c r="AM544" i="8"/>
  <c r="AM545" i="8"/>
  <c r="AM546" i="8"/>
  <c r="AM547" i="8"/>
  <c r="AM548" i="8"/>
  <c r="AM549" i="8"/>
  <c r="AM550" i="8"/>
  <c r="AM551" i="8"/>
  <c r="AM552" i="8"/>
  <c r="AM553" i="8"/>
  <c r="AM554" i="8"/>
  <c r="AM555" i="8"/>
  <c r="AM556" i="8"/>
  <c r="AM557" i="8"/>
  <c r="AM558" i="8"/>
  <c r="AM559" i="8"/>
  <c r="AM560" i="8"/>
  <c r="AM561" i="8"/>
  <c r="AM562" i="8"/>
  <c r="AM563" i="8"/>
  <c r="AM564" i="8"/>
  <c r="AM565" i="8"/>
  <c r="AM566" i="8"/>
  <c r="AM567" i="8"/>
  <c r="AM568" i="8"/>
  <c r="AM569" i="8"/>
  <c r="AM570" i="8"/>
  <c r="AM571" i="8"/>
  <c r="AM572" i="8"/>
  <c r="AM573" i="8"/>
  <c r="AM574" i="8"/>
  <c r="AM575" i="8"/>
  <c r="AM576" i="8"/>
  <c r="AM577" i="8"/>
  <c r="AM578" i="8"/>
  <c r="AM579" i="8"/>
  <c r="AM580" i="8"/>
  <c r="AM581" i="8"/>
  <c r="AM582" i="8"/>
  <c r="AM583" i="8"/>
  <c r="AM584" i="8"/>
  <c r="AM585" i="8"/>
  <c r="AM586" i="8"/>
  <c r="AM587" i="8"/>
  <c r="AM588" i="8"/>
  <c r="AM589" i="8"/>
  <c r="AM590" i="8"/>
  <c r="AM591" i="8"/>
  <c r="AM592" i="8"/>
  <c r="AM593" i="8"/>
  <c r="AM594" i="8"/>
  <c r="AM595" i="8"/>
  <c r="AM596" i="8"/>
  <c r="AM597" i="8"/>
  <c r="AM598" i="8"/>
  <c r="AM599" i="8"/>
  <c r="AM600" i="8"/>
  <c r="AM601" i="8"/>
  <c r="AM602" i="8"/>
  <c r="AM603" i="8"/>
  <c r="AM604" i="8"/>
  <c r="AM605" i="8"/>
  <c r="AM606" i="8"/>
  <c r="AM607" i="8"/>
  <c r="AM608" i="8"/>
  <c r="AM609" i="8"/>
  <c r="AM610" i="8"/>
  <c r="AM611" i="8"/>
  <c r="AM612" i="8"/>
  <c r="AM613" i="8"/>
  <c r="AM614" i="8"/>
  <c r="AM615" i="8"/>
  <c r="AM616" i="8"/>
  <c r="AM617" i="8"/>
  <c r="AM618" i="8"/>
  <c r="AM619" i="8"/>
  <c r="AM620" i="8"/>
  <c r="AM621" i="8"/>
  <c r="AM622" i="8"/>
  <c r="AM623" i="8"/>
  <c r="AM624" i="8"/>
  <c r="AM625" i="8"/>
  <c r="AM626" i="8"/>
  <c r="AM627" i="8"/>
  <c r="AM628" i="8"/>
  <c r="AM629" i="8"/>
  <c r="AM630" i="8"/>
  <c r="AM631" i="8"/>
  <c r="AM632" i="8"/>
  <c r="AM633" i="8"/>
  <c r="AM634" i="8"/>
  <c r="AM635" i="8"/>
  <c r="AM636" i="8"/>
  <c r="AM637" i="8"/>
  <c r="AM638" i="8"/>
  <c r="AM639" i="8"/>
  <c r="AM640" i="8"/>
  <c r="AM641" i="8"/>
  <c r="AM642" i="8"/>
  <c r="AM643" i="8"/>
  <c r="AM644" i="8"/>
  <c r="AM645" i="8"/>
  <c r="AM646" i="8"/>
  <c r="AM647" i="8"/>
  <c r="AM648" i="8"/>
  <c r="AM649" i="8"/>
  <c r="AM650" i="8"/>
  <c r="AM651" i="8"/>
  <c r="AM652" i="8"/>
  <c r="AM653" i="8"/>
  <c r="AM654" i="8"/>
  <c r="AM655" i="8"/>
  <c r="AM656" i="8"/>
  <c r="AM657" i="8"/>
  <c r="AM658" i="8"/>
  <c r="AM659" i="8"/>
  <c r="AM660" i="8"/>
  <c r="AM661" i="8"/>
  <c r="AM662" i="8"/>
  <c r="AM663" i="8"/>
  <c r="AM664" i="8"/>
  <c r="AM665" i="8"/>
  <c r="AM666" i="8"/>
  <c r="AM667" i="8"/>
  <c r="AM668" i="8"/>
  <c r="AM669" i="8"/>
  <c r="AM670" i="8"/>
  <c r="AM671" i="8"/>
  <c r="AM672" i="8"/>
  <c r="AM673" i="8"/>
  <c r="AM674" i="8"/>
  <c r="AM675" i="8"/>
  <c r="AM676" i="8"/>
  <c r="AM677" i="8"/>
  <c r="AM678" i="8"/>
  <c r="AM679" i="8"/>
  <c r="AM680" i="8"/>
  <c r="AM681" i="8"/>
  <c r="AM682" i="8"/>
  <c r="AM683" i="8"/>
  <c r="AM684" i="8"/>
  <c r="AM685" i="8"/>
  <c r="AM686" i="8"/>
  <c r="AM687" i="8"/>
  <c r="AM688" i="8"/>
  <c r="AM689" i="8"/>
  <c r="AM690" i="8"/>
  <c r="AM691" i="8"/>
  <c r="AM692" i="8"/>
  <c r="AM693" i="8"/>
  <c r="AM694" i="8"/>
  <c r="AM695" i="8"/>
  <c r="AM696" i="8"/>
  <c r="AM697" i="8"/>
  <c r="AM698" i="8"/>
  <c r="AM699" i="8"/>
  <c r="AM700" i="8"/>
  <c r="AM701" i="8"/>
  <c r="AM702" i="8"/>
  <c r="AM703" i="8"/>
  <c r="AM704" i="8"/>
  <c r="AM705" i="8"/>
  <c r="AM706" i="8"/>
  <c r="AM707" i="8"/>
  <c r="AM708" i="8"/>
  <c r="AM709" i="8"/>
  <c r="AM710" i="8"/>
  <c r="AM711" i="8"/>
  <c r="AM712" i="8"/>
  <c r="AM713" i="8"/>
  <c r="AM714" i="8"/>
  <c r="AM715" i="8"/>
  <c r="AM716" i="8"/>
  <c r="AM717" i="8"/>
  <c r="AM718" i="8"/>
  <c r="AM719" i="8"/>
  <c r="AM720" i="8"/>
  <c r="AM721" i="8"/>
  <c r="AM722" i="8"/>
  <c r="AM723" i="8"/>
  <c r="AM724" i="8"/>
  <c r="AM725" i="8"/>
  <c r="AM726" i="8"/>
  <c r="AM727" i="8"/>
  <c r="AM728" i="8"/>
  <c r="AM729" i="8"/>
  <c r="AM730" i="8"/>
  <c r="AM731" i="8"/>
  <c r="AM732" i="8"/>
  <c r="AM733" i="8"/>
  <c r="AM734" i="8"/>
  <c r="AM735" i="8"/>
  <c r="AM736" i="8"/>
  <c r="AM737" i="8"/>
  <c r="AM738" i="8"/>
  <c r="AM739" i="8"/>
  <c r="AM740" i="8"/>
  <c r="AM741" i="8"/>
  <c r="AM742" i="8"/>
  <c r="AM743" i="8"/>
  <c r="AM744" i="8"/>
  <c r="AM745" i="8"/>
  <c r="AM746" i="8"/>
  <c r="AM747" i="8"/>
  <c r="AM748" i="8"/>
  <c r="AM749" i="8"/>
  <c r="AM750" i="8"/>
  <c r="AM751" i="8"/>
  <c r="AM752" i="8"/>
  <c r="AM753" i="8"/>
  <c r="AM754" i="8"/>
  <c r="AM755" i="8"/>
  <c r="AM756" i="8"/>
  <c r="AM757" i="8"/>
  <c r="AM758" i="8"/>
  <c r="AM759" i="8"/>
  <c r="AM760" i="8"/>
  <c r="AM761" i="8"/>
  <c r="AM762" i="8"/>
  <c r="AM763" i="8"/>
  <c r="AM764" i="8"/>
  <c r="AM765" i="8"/>
  <c r="AM766" i="8"/>
  <c r="AM767" i="8"/>
  <c r="AM768" i="8"/>
  <c r="AM769" i="8"/>
  <c r="AM770" i="8"/>
  <c r="AM771" i="8"/>
  <c r="AM772" i="8"/>
  <c r="AM773" i="8"/>
  <c r="AM774" i="8"/>
  <c r="AM775" i="8"/>
  <c r="AM776" i="8"/>
  <c r="AM777" i="8"/>
  <c r="AM778" i="8"/>
  <c r="AM779" i="8"/>
  <c r="AM780" i="8"/>
  <c r="AM781" i="8"/>
  <c r="AM782" i="8"/>
  <c r="AM783" i="8"/>
  <c r="AM784" i="8"/>
  <c r="AM785" i="8"/>
  <c r="AM786" i="8"/>
  <c r="AM787" i="8"/>
  <c r="AM788" i="8"/>
  <c r="AM789" i="8"/>
  <c r="AM790" i="8"/>
  <c r="AM791" i="8"/>
  <c r="AM792" i="8"/>
  <c r="AM793" i="8"/>
  <c r="AM794" i="8"/>
  <c r="AM795" i="8"/>
  <c r="AM796" i="8"/>
  <c r="AM797" i="8"/>
  <c r="AM798" i="8"/>
  <c r="AM799" i="8"/>
  <c r="AM800" i="8"/>
  <c r="AM801" i="8"/>
  <c r="AM802" i="8"/>
  <c r="AM803" i="8"/>
  <c r="AM804" i="8"/>
  <c r="AM805" i="8"/>
  <c r="AM806" i="8"/>
  <c r="AM807" i="8"/>
  <c r="AM808" i="8"/>
  <c r="AM809" i="8"/>
  <c r="AM810" i="8"/>
  <c r="AM811" i="8"/>
  <c r="AM812" i="8"/>
  <c r="AM813" i="8"/>
  <c r="AM814" i="8"/>
  <c r="AM815" i="8"/>
  <c r="AM816" i="8"/>
  <c r="AM817" i="8"/>
  <c r="AM818" i="8"/>
  <c r="AM819" i="8"/>
  <c r="AM820" i="8"/>
  <c r="AM821" i="8"/>
  <c r="AM822" i="8"/>
  <c r="AM823" i="8"/>
  <c r="AM824" i="8"/>
  <c r="AM825" i="8"/>
  <c r="AM826" i="8"/>
  <c r="AM827" i="8"/>
  <c r="AM828" i="8"/>
  <c r="AM829" i="8"/>
  <c r="AM830" i="8"/>
  <c r="AM831" i="8"/>
  <c r="AM832" i="8"/>
  <c r="AM833" i="8"/>
  <c r="AM834" i="8"/>
  <c r="AM835" i="8"/>
  <c r="AM836" i="8"/>
  <c r="AM837" i="8"/>
  <c r="AM838" i="8"/>
  <c r="AM839" i="8"/>
  <c r="AM840" i="8"/>
  <c r="AM841" i="8"/>
  <c r="AM842" i="8"/>
  <c r="AM843" i="8"/>
  <c r="AM844" i="8"/>
  <c r="AM845" i="8"/>
  <c r="AM846" i="8"/>
  <c r="AL2" i="4"/>
  <c r="AK3" i="4"/>
  <c r="AK4" i="4"/>
  <c r="AK5" i="4"/>
  <c r="AK6" i="4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K20" i="4"/>
  <c r="AK21" i="4"/>
  <c r="AK22" i="4"/>
  <c r="AK23" i="4"/>
  <c r="AK24" i="4"/>
  <c r="AK25" i="4"/>
  <c r="AK26" i="4"/>
  <c r="AK27" i="4"/>
  <c r="AK28" i="4"/>
  <c r="AK29" i="4"/>
  <c r="AK30" i="4"/>
  <c r="AK31" i="4"/>
  <c r="AK32" i="4"/>
  <c r="AK33" i="4"/>
  <c r="AK34" i="4"/>
  <c r="AK35" i="4"/>
  <c r="AK36" i="4"/>
  <c r="AK37" i="4"/>
  <c r="AK38" i="4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K80" i="4"/>
  <c r="AK81" i="4"/>
  <c r="AK82" i="4"/>
  <c r="AK83" i="4"/>
  <c r="AK2" i="3"/>
  <c r="AL3" i="4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2" i="3"/>
  <c r="AK33" i="3"/>
  <c r="AK34" i="3"/>
  <c r="AK35" i="3"/>
  <c r="AK36" i="3"/>
  <c r="AK37" i="3"/>
  <c r="AK38" i="3"/>
  <c r="AK39" i="3"/>
  <c r="AK40" i="3"/>
  <c r="AK41" i="3"/>
  <c r="AK42" i="3"/>
  <c r="AK43" i="3"/>
  <c r="AK44" i="3"/>
  <c r="AK45" i="3"/>
  <c r="AK46" i="3"/>
  <c r="AK47" i="3"/>
  <c r="AK48" i="3"/>
  <c r="AK49" i="3"/>
  <c r="AK50" i="3"/>
  <c r="AK51" i="3"/>
  <c r="AK52" i="3"/>
  <c r="AK53" i="3"/>
  <c r="AK54" i="3"/>
  <c r="AK55" i="3"/>
  <c r="AK56" i="3"/>
  <c r="AK57" i="3"/>
  <c r="AK58" i="3"/>
  <c r="AK59" i="3"/>
  <c r="AK60" i="3"/>
  <c r="AK61" i="3"/>
  <c r="AK62" i="3"/>
  <c r="AK63" i="3"/>
  <c r="AK64" i="3"/>
  <c r="AK65" i="3"/>
  <c r="AK66" i="3"/>
  <c r="AK67" i="3"/>
  <c r="AK68" i="3"/>
  <c r="AK69" i="3"/>
  <c r="AK70" i="3"/>
  <c r="AK71" i="3"/>
  <c r="AK72" i="3"/>
  <c r="AK73" i="3"/>
  <c r="AK74" i="3"/>
  <c r="AK75" i="3"/>
  <c r="AK76" i="3"/>
  <c r="AK77" i="3"/>
  <c r="AK78" i="3"/>
  <c r="AK79" i="3"/>
  <c r="AK80" i="3"/>
  <c r="AK81" i="3"/>
  <c r="AK82" i="3"/>
  <c r="AK83" i="3"/>
  <c r="AK84" i="3"/>
  <c r="AK85" i="3"/>
  <c r="AK86" i="3"/>
  <c r="AK87" i="3"/>
  <c r="AK88" i="3"/>
  <c r="AK89" i="3"/>
  <c r="AK90" i="3"/>
  <c r="AK91" i="3"/>
  <c r="AK92" i="3"/>
  <c r="AK93" i="3"/>
  <c r="AK94" i="3"/>
  <c r="AK95" i="3"/>
  <c r="AK96" i="3"/>
  <c r="AK97" i="3"/>
  <c r="AK98" i="3"/>
  <c r="AK99" i="3"/>
  <c r="AK100" i="3"/>
  <c r="AK101" i="3"/>
  <c r="AK102" i="3"/>
  <c r="AK103" i="3"/>
  <c r="AK104" i="3"/>
  <c r="AK105" i="3"/>
  <c r="AK106" i="3"/>
  <c r="AK107" i="3"/>
  <c r="AK108" i="3"/>
  <c r="AK109" i="3"/>
  <c r="AK110" i="3"/>
  <c r="AK111" i="3"/>
  <c r="AK112" i="3"/>
  <c r="AK113" i="3"/>
  <c r="AK114" i="3"/>
  <c r="AK115" i="3"/>
  <c r="AK116" i="3"/>
  <c r="AK117" i="3"/>
  <c r="AK118" i="3"/>
  <c r="AK119" i="3"/>
  <c r="AK120" i="3"/>
  <c r="AK121" i="3"/>
  <c r="AK122" i="3"/>
  <c r="AK123" i="3"/>
  <c r="AK124" i="3"/>
  <c r="AK125" i="3"/>
  <c r="AK126" i="3"/>
  <c r="AK127" i="3"/>
  <c r="AK128" i="3"/>
  <c r="AK129" i="3"/>
  <c r="AK130" i="3"/>
  <c r="AK131" i="3"/>
  <c r="AK132" i="3"/>
  <c r="AK133" i="3"/>
  <c r="AK134" i="3"/>
  <c r="AK135" i="3"/>
  <c r="AK136" i="3"/>
  <c r="AK137" i="3"/>
  <c r="AK138" i="3"/>
  <c r="AK139" i="3"/>
  <c r="AK140" i="3"/>
  <c r="AK141" i="3"/>
  <c r="AK142" i="3"/>
  <c r="AK143" i="3"/>
  <c r="AK144" i="3"/>
  <c r="AK145" i="3"/>
  <c r="AK146" i="3"/>
  <c r="AK147" i="3"/>
  <c r="AK148" i="3"/>
  <c r="AK149" i="3"/>
  <c r="AK150" i="3"/>
  <c r="AK151" i="3"/>
  <c r="AK152" i="3"/>
  <c r="AK153" i="3"/>
  <c r="AK154" i="3"/>
  <c r="AK155" i="3"/>
  <c r="AK156" i="3"/>
  <c r="AK157" i="3"/>
  <c r="AK158" i="3"/>
  <c r="AK159" i="3"/>
  <c r="AK160" i="3"/>
  <c r="AK161" i="3"/>
  <c r="AK162" i="3"/>
  <c r="AK163" i="3"/>
  <c r="AK164" i="3"/>
  <c r="AK165" i="3"/>
  <c r="AK166" i="3"/>
  <c r="AK167" i="3"/>
  <c r="AK168" i="3"/>
  <c r="AK169" i="3"/>
  <c r="AK170" i="3"/>
  <c r="AK171" i="3"/>
  <c r="AK172" i="3"/>
  <c r="AK173" i="3"/>
  <c r="AK174" i="3"/>
  <c r="AK175" i="3"/>
  <c r="AK176" i="3"/>
  <c r="AK177" i="3"/>
  <c r="AK178" i="3"/>
  <c r="AK179" i="3"/>
  <c r="AK180" i="3"/>
  <c r="AK181" i="3"/>
  <c r="AK182" i="3"/>
  <c r="AK183" i="3"/>
  <c r="AK184" i="3"/>
  <c r="AK185" i="3"/>
  <c r="AK186" i="3"/>
  <c r="AK187" i="3"/>
  <c r="AK188" i="3"/>
  <c r="AK189" i="3"/>
  <c r="AK190" i="3"/>
  <c r="AK191" i="3"/>
  <c r="AK192" i="3"/>
  <c r="AK193" i="3"/>
  <c r="AK194" i="3"/>
  <c r="AK195" i="3"/>
  <c r="AK196" i="3"/>
  <c r="AK197" i="3"/>
  <c r="AK198" i="3"/>
  <c r="AK199" i="3"/>
  <c r="AK200" i="3"/>
  <c r="AK201" i="3"/>
  <c r="AK202" i="3"/>
  <c r="AK203" i="3"/>
  <c r="AK204" i="3"/>
  <c r="AK205" i="3"/>
  <c r="AK206" i="3"/>
  <c r="AK207" i="3"/>
  <c r="AK208" i="3"/>
  <c r="AK209" i="3"/>
  <c r="AK210" i="3"/>
  <c r="AK211" i="3"/>
  <c r="AK212" i="3"/>
  <c r="AK213" i="3"/>
  <c r="AK214" i="3"/>
  <c r="AK215" i="3"/>
  <c r="AK216" i="3"/>
  <c r="AK217" i="3"/>
  <c r="AK218" i="3"/>
  <c r="AK219" i="3"/>
  <c r="AK220" i="3"/>
  <c r="AK221" i="3"/>
  <c r="AK222" i="3"/>
  <c r="AK223" i="3"/>
  <c r="AK224" i="3"/>
  <c r="AK3" i="3"/>
  <c r="AK4" i="3"/>
  <c r="AK5" i="3"/>
  <c r="AK6" i="3"/>
  <c r="AK7" i="3"/>
  <c r="AK8" i="3"/>
  <c r="AK9" i="3"/>
  <c r="AK10" i="3"/>
  <c r="AK11" i="3"/>
  <c r="AK12" i="3"/>
  <c r="AK13" i="3"/>
  <c r="AK14" i="3"/>
  <c r="AK15" i="3"/>
  <c r="AK16" i="3"/>
  <c r="AK17" i="3"/>
  <c r="AK18" i="3"/>
  <c r="AK19" i="3"/>
  <c r="AK20" i="3"/>
  <c r="AK21" i="3"/>
  <c r="AK22" i="3"/>
  <c r="AK23" i="3"/>
  <c r="AK24" i="3"/>
  <c r="AK25" i="3"/>
  <c r="AK26" i="3"/>
  <c r="AK27" i="3"/>
  <c r="AK28" i="3"/>
  <c r="AK29" i="3"/>
  <c r="AK30" i="3"/>
  <c r="AK31" i="3"/>
  <c r="AK32" i="3"/>
  <c r="AK2" i="2"/>
  <c r="AL23" i="3"/>
  <c r="AL24" i="3"/>
  <c r="AL25" i="3"/>
  <c r="AL26" i="3"/>
  <c r="AL27" i="3"/>
  <c r="AL28" i="3"/>
  <c r="AL29" i="3"/>
  <c r="AL30" i="3"/>
  <c r="AL31" i="3"/>
  <c r="AL32" i="3"/>
  <c r="AL33" i="3"/>
  <c r="AL34" i="3"/>
  <c r="AL35" i="3"/>
  <c r="AL36" i="3"/>
  <c r="AL37" i="3"/>
  <c r="AL38" i="3"/>
  <c r="AL39" i="3"/>
  <c r="AL40" i="3"/>
  <c r="AL41" i="3"/>
  <c r="AL42" i="3"/>
  <c r="AL43" i="3"/>
  <c r="AL44" i="3"/>
  <c r="AL45" i="3"/>
  <c r="AL46" i="3"/>
  <c r="AL47" i="3"/>
  <c r="AL48" i="3"/>
  <c r="AL49" i="3"/>
  <c r="AL50" i="3"/>
  <c r="AL51" i="3"/>
  <c r="AL52" i="3"/>
  <c r="AL53" i="3"/>
  <c r="AL54" i="3"/>
  <c r="AL55" i="3"/>
  <c r="AL56" i="3"/>
  <c r="AL57" i="3"/>
  <c r="AL58" i="3"/>
  <c r="AL59" i="3"/>
  <c r="AL60" i="3"/>
  <c r="AL61" i="3"/>
  <c r="AL62" i="3"/>
  <c r="AL63" i="3"/>
  <c r="AL64" i="3"/>
  <c r="AL65" i="3"/>
  <c r="AL66" i="3"/>
  <c r="AL67" i="3"/>
  <c r="AL68" i="3"/>
  <c r="AL69" i="3"/>
  <c r="AL70" i="3"/>
  <c r="AL71" i="3"/>
  <c r="AL72" i="3"/>
  <c r="AL73" i="3"/>
  <c r="AL74" i="3"/>
  <c r="AL75" i="3"/>
  <c r="AL76" i="3"/>
  <c r="AL77" i="3"/>
  <c r="AL78" i="3"/>
  <c r="AL79" i="3"/>
  <c r="AL80" i="3"/>
  <c r="AL81" i="3"/>
  <c r="AL82" i="3"/>
  <c r="AL83" i="3"/>
  <c r="AL84" i="3"/>
  <c r="AL85" i="3"/>
  <c r="AL86" i="3"/>
  <c r="AL87" i="3"/>
  <c r="AL88" i="3"/>
  <c r="AL89" i="3"/>
  <c r="AL90" i="3"/>
  <c r="AL91" i="3"/>
  <c r="AL92" i="3"/>
  <c r="AL93" i="3"/>
  <c r="AL94" i="3"/>
  <c r="AL95" i="3"/>
  <c r="AL96" i="3"/>
  <c r="AL97" i="3"/>
  <c r="AL98" i="3"/>
  <c r="AL99" i="3"/>
  <c r="AL100" i="3"/>
  <c r="AL101" i="3"/>
  <c r="AL102" i="3"/>
  <c r="AL103" i="3"/>
  <c r="AL104" i="3"/>
  <c r="AL105" i="3"/>
  <c r="AL106" i="3"/>
  <c r="AL107" i="3"/>
  <c r="AL108" i="3"/>
  <c r="AL109" i="3"/>
  <c r="AL110" i="3"/>
  <c r="AL111" i="3"/>
  <c r="AL112" i="3"/>
  <c r="AL113" i="3"/>
  <c r="AL114" i="3"/>
  <c r="AL115" i="3"/>
  <c r="AL116" i="3"/>
  <c r="AL117" i="3"/>
  <c r="AL118" i="3"/>
  <c r="AL119" i="3"/>
  <c r="AL120" i="3"/>
  <c r="AL121" i="3"/>
  <c r="AL122" i="3"/>
  <c r="AL123" i="3"/>
  <c r="AL124" i="3"/>
  <c r="AL125" i="3"/>
  <c r="AL126" i="3"/>
  <c r="AL127" i="3"/>
  <c r="AL128" i="3"/>
  <c r="AL129" i="3"/>
  <c r="AL130" i="3"/>
  <c r="AL131" i="3"/>
  <c r="AL132" i="3"/>
  <c r="AL133" i="3"/>
  <c r="AL134" i="3"/>
  <c r="AL135" i="3"/>
  <c r="AL136" i="3"/>
  <c r="AL137" i="3"/>
  <c r="AL138" i="3"/>
  <c r="AL139" i="3"/>
  <c r="AL140" i="3"/>
  <c r="AL141" i="3"/>
  <c r="AL142" i="3"/>
  <c r="AL143" i="3"/>
  <c r="AL144" i="3"/>
  <c r="AL145" i="3"/>
  <c r="AL146" i="3"/>
  <c r="AL147" i="3"/>
  <c r="AL148" i="3"/>
  <c r="AL149" i="3"/>
  <c r="AL150" i="3"/>
  <c r="AL151" i="3"/>
  <c r="AL152" i="3"/>
  <c r="AL153" i="3"/>
  <c r="AL154" i="3"/>
  <c r="AL155" i="3"/>
  <c r="AL156" i="3"/>
  <c r="AL157" i="3"/>
  <c r="AL158" i="3"/>
  <c r="AL159" i="3"/>
  <c r="AL160" i="3"/>
  <c r="AL161" i="3"/>
  <c r="AL162" i="3"/>
  <c r="AL163" i="3"/>
  <c r="AL164" i="3"/>
  <c r="AL165" i="3"/>
  <c r="AL166" i="3"/>
  <c r="AL167" i="3"/>
  <c r="AL168" i="3"/>
  <c r="AL169" i="3"/>
  <c r="AL170" i="3"/>
  <c r="AL171" i="3"/>
  <c r="AL172" i="3"/>
  <c r="AL173" i="3"/>
  <c r="AL174" i="3"/>
  <c r="AL175" i="3"/>
  <c r="AL176" i="3"/>
  <c r="AL177" i="3"/>
  <c r="AL178" i="3"/>
  <c r="AL179" i="3"/>
  <c r="AL180" i="3"/>
  <c r="AL181" i="3"/>
  <c r="AL182" i="3"/>
  <c r="AL183" i="3"/>
  <c r="AL184" i="3"/>
  <c r="AL185" i="3"/>
  <c r="AL186" i="3"/>
  <c r="AL187" i="3"/>
  <c r="AL188" i="3"/>
  <c r="AL189" i="3"/>
  <c r="AL190" i="3"/>
  <c r="AL191" i="3"/>
  <c r="AL192" i="3"/>
  <c r="AL193" i="3"/>
  <c r="AL194" i="3"/>
  <c r="AL195" i="3"/>
  <c r="AL196" i="3"/>
  <c r="AL197" i="3"/>
  <c r="AL198" i="3"/>
  <c r="AL199" i="3"/>
  <c r="AL200" i="3"/>
  <c r="AL201" i="3"/>
  <c r="AL202" i="3"/>
  <c r="AL203" i="3"/>
  <c r="AL204" i="3"/>
  <c r="AL205" i="3"/>
  <c r="AL206" i="3"/>
  <c r="AL207" i="3"/>
  <c r="AL208" i="3"/>
  <c r="AL209" i="3"/>
  <c r="AL210" i="3"/>
  <c r="AL211" i="3"/>
  <c r="AL212" i="3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3" i="3"/>
  <c r="AL4" i="3"/>
  <c r="AL5" i="3"/>
  <c r="AL6" i="3"/>
  <c r="AL7" i="3"/>
  <c r="AL8" i="3"/>
  <c r="AL9" i="3"/>
  <c r="AL10" i="3"/>
  <c r="AL11" i="3"/>
  <c r="AL12" i="3"/>
  <c r="AL13" i="3"/>
  <c r="AL14" i="3"/>
  <c r="AL15" i="3"/>
  <c r="AL16" i="3"/>
  <c r="AL17" i="3"/>
  <c r="AL18" i="3"/>
  <c r="AL19" i="3"/>
  <c r="AL20" i="3"/>
  <c r="AL21" i="3"/>
  <c r="AL22" i="3"/>
  <c r="AL2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5" i="2"/>
  <c r="AK66" i="2"/>
  <c r="AK67" i="2"/>
  <c r="AK68" i="2"/>
  <c r="AK69" i="2"/>
  <c r="AK70" i="2"/>
  <c r="AK71" i="2"/>
  <c r="AK72" i="2"/>
  <c r="AK73" i="2"/>
  <c r="AK74" i="2"/>
  <c r="AK75" i="2"/>
  <c r="AK76" i="2"/>
  <c r="AK77" i="2"/>
  <c r="AK78" i="2"/>
  <c r="AK79" i="2"/>
  <c r="AK80" i="2"/>
  <c r="AK81" i="2"/>
  <c r="AK82" i="2"/>
  <c r="AK83" i="2"/>
  <c r="AK84" i="2"/>
  <c r="AK85" i="2"/>
  <c r="AK86" i="2"/>
  <c r="AK87" i="2"/>
  <c r="AK88" i="2"/>
  <c r="AK89" i="2"/>
  <c r="AK90" i="2"/>
  <c r="AK91" i="2"/>
  <c r="AK92" i="2"/>
  <c r="AK93" i="2"/>
  <c r="AK94" i="2"/>
  <c r="AK95" i="2"/>
  <c r="AK96" i="2"/>
  <c r="AK97" i="2"/>
  <c r="AK98" i="2"/>
  <c r="AK99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AK195" i="2"/>
  <c r="AK196" i="2"/>
  <c r="AK197" i="2"/>
  <c r="AK198" i="2"/>
  <c r="AK199" i="2"/>
  <c r="AK200" i="2"/>
  <c r="AK201" i="2"/>
  <c r="AK202" i="2"/>
  <c r="AK203" i="2"/>
  <c r="AK204" i="2"/>
  <c r="AK205" i="2"/>
  <c r="AK206" i="2"/>
  <c r="AK207" i="2"/>
  <c r="AK208" i="2"/>
  <c r="AK209" i="2"/>
  <c r="AK210" i="2"/>
  <c r="AK211" i="2"/>
  <c r="AK212" i="2"/>
  <c r="AK213" i="2"/>
  <c r="AK214" i="2"/>
  <c r="AK215" i="2"/>
  <c r="AK216" i="2"/>
  <c r="AK217" i="2"/>
  <c r="AK218" i="2"/>
  <c r="AK219" i="2"/>
  <c r="AK220" i="2"/>
  <c r="AK221" i="2"/>
  <c r="AK222" i="2"/>
  <c r="AK223" i="2"/>
  <c r="AK224" i="2"/>
  <c r="AK225" i="2"/>
  <c r="AK226" i="2"/>
  <c r="AK227" i="2"/>
  <c r="AK228" i="2"/>
  <c r="AK229" i="2"/>
  <c r="AK230" i="2"/>
  <c r="AK231" i="2"/>
  <c r="AK232" i="2"/>
  <c r="AK233" i="2"/>
  <c r="AK234" i="2"/>
  <c r="AK235" i="2"/>
  <c r="AK236" i="2"/>
  <c r="AK237" i="2"/>
  <c r="AK238" i="2"/>
  <c r="AK239" i="2"/>
  <c r="AK240" i="2"/>
  <c r="AK241" i="2"/>
  <c r="AK242" i="2"/>
  <c r="AK243" i="2"/>
  <c r="AK244" i="2"/>
  <c r="AK245" i="2"/>
  <c r="AK246" i="2"/>
  <c r="AK247" i="2"/>
  <c r="AK248" i="2"/>
  <c r="AK249" i="2"/>
  <c r="AK250" i="2"/>
  <c r="AK251" i="2"/>
  <c r="AK252" i="2"/>
  <c r="AK253" i="2"/>
  <c r="AK254" i="2"/>
  <c r="AK255" i="2"/>
  <c r="AK256" i="2"/>
  <c r="AK257" i="2"/>
  <c r="AK258" i="2"/>
  <c r="AK259" i="2"/>
  <c r="AK260" i="2"/>
  <c r="AK261" i="2"/>
  <c r="AK262" i="2"/>
  <c r="AK263" i="2"/>
  <c r="AK264" i="2"/>
  <c r="AK265" i="2"/>
  <c r="AK266" i="2"/>
  <c r="AK267" i="2"/>
  <c r="AK268" i="2"/>
  <c r="AK269" i="2"/>
  <c r="AK270" i="2"/>
  <c r="AK271" i="2"/>
  <c r="AK272" i="2"/>
  <c r="AK273" i="2"/>
  <c r="AK274" i="2"/>
  <c r="AK275" i="2"/>
  <c r="AK276" i="2"/>
  <c r="AK277" i="2"/>
  <c r="AK278" i="2"/>
  <c r="AK279" i="2"/>
  <c r="AK280" i="2"/>
  <c r="AK281" i="2"/>
  <c r="AK282" i="2"/>
  <c r="AK283" i="2"/>
  <c r="AK284" i="2"/>
  <c r="AK285" i="2"/>
  <c r="AK286" i="2"/>
  <c r="AK287" i="2"/>
  <c r="AK288" i="2"/>
  <c r="AK289" i="2"/>
  <c r="AK290" i="2"/>
  <c r="AK291" i="2"/>
  <c r="AK292" i="2"/>
  <c r="AK293" i="2"/>
  <c r="AK294" i="2"/>
  <c r="AK295" i="2"/>
  <c r="AK296" i="2"/>
  <c r="AK297" i="2"/>
  <c r="AK298" i="2"/>
  <c r="AK299" i="2"/>
  <c r="AK300" i="2"/>
  <c r="AK301" i="2"/>
  <c r="AK302" i="2"/>
  <c r="AK303" i="2"/>
  <c r="AK304" i="2"/>
  <c r="AK305" i="2"/>
  <c r="AK306" i="2"/>
  <c r="AK307" i="2"/>
  <c r="AK308" i="2"/>
  <c r="AK309" i="2"/>
  <c r="AK310" i="2"/>
  <c r="AK311" i="2"/>
  <c r="AK312" i="2"/>
  <c r="AK313" i="2"/>
  <c r="AK314" i="2"/>
  <c r="AK315" i="2"/>
  <c r="AK316" i="2"/>
  <c r="AK317" i="2"/>
  <c r="AK318" i="2"/>
  <c r="AK319" i="2"/>
  <c r="AK320" i="2"/>
  <c r="AK321" i="2"/>
  <c r="AK322" i="2"/>
  <c r="AK323" i="2"/>
  <c r="AK324" i="2"/>
  <c r="AK325" i="2"/>
  <c r="AK326" i="2"/>
  <c r="AK327" i="2"/>
  <c r="AK328" i="2"/>
  <c r="AK329" i="2"/>
  <c r="AK330" i="2"/>
  <c r="AK331" i="2"/>
  <c r="AK332" i="2"/>
  <c r="AK333" i="2"/>
  <c r="AK334" i="2"/>
  <c r="AK335" i="2"/>
  <c r="AK336" i="2"/>
  <c r="AK337" i="2"/>
  <c r="AK338" i="2"/>
  <c r="AK339" i="2"/>
  <c r="AK340" i="2"/>
  <c r="AK341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49" i="2"/>
  <c r="AL250" i="2"/>
  <c r="AL251" i="2"/>
  <c r="AL252" i="2"/>
  <c r="AL253" i="2"/>
  <c r="AL254" i="2"/>
  <c r="AL255" i="2"/>
  <c r="AL256" i="2"/>
  <c r="AL257" i="2"/>
  <c r="AL258" i="2"/>
  <c r="AL259" i="2"/>
  <c r="AL260" i="2"/>
  <c r="AL261" i="2"/>
  <c r="AL262" i="2"/>
  <c r="AL263" i="2"/>
  <c r="AL264" i="2"/>
  <c r="AL265" i="2"/>
  <c r="AL266" i="2"/>
  <c r="AL267" i="2"/>
  <c r="AL268" i="2"/>
  <c r="AL269" i="2"/>
  <c r="AL270" i="2"/>
  <c r="AL271" i="2"/>
  <c r="AL272" i="2"/>
  <c r="AL273" i="2"/>
  <c r="AL274" i="2"/>
  <c r="AL275" i="2"/>
  <c r="AL276" i="2"/>
  <c r="AL277" i="2"/>
  <c r="AL278" i="2"/>
  <c r="AL279" i="2"/>
  <c r="AL280" i="2"/>
  <c r="AL281" i="2"/>
  <c r="AL282" i="2"/>
  <c r="AL283" i="2"/>
  <c r="AL284" i="2"/>
  <c r="AL285" i="2"/>
  <c r="AL286" i="2"/>
  <c r="AL287" i="2"/>
  <c r="AL288" i="2"/>
  <c r="AL289" i="2"/>
  <c r="AL290" i="2"/>
  <c r="AL291" i="2"/>
  <c r="AL292" i="2"/>
  <c r="AL293" i="2"/>
  <c r="AL294" i="2"/>
  <c r="AL295" i="2"/>
  <c r="AL296" i="2"/>
  <c r="AL297" i="2"/>
  <c r="AL298" i="2"/>
  <c r="AL299" i="2"/>
  <c r="AL300" i="2"/>
  <c r="AL301" i="2"/>
  <c r="AL302" i="2"/>
  <c r="AL303" i="2"/>
  <c r="AL304" i="2"/>
  <c r="AL305" i="2"/>
  <c r="AL306" i="2"/>
  <c r="AL307" i="2"/>
  <c r="AL308" i="2"/>
  <c r="AL309" i="2"/>
  <c r="AL310" i="2"/>
  <c r="AL311" i="2"/>
  <c r="AL312" i="2"/>
  <c r="AL313" i="2"/>
  <c r="AL314" i="2"/>
  <c r="AL315" i="2"/>
  <c r="AL316" i="2"/>
  <c r="AL317" i="2"/>
  <c r="AL318" i="2"/>
  <c r="AL319" i="2"/>
  <c r="AL320" i="2"/>
  <c r="AL321" i="2"/>
  <c r="AL322" i="2"/>
  <c r="AL323" i="2"/>
  <c r="AL324" i="2"/>
  <c r="AL325" i="2"/>
  <c r="AL326" i="2"/>
  <c r="AL327" i="2"/>
  <c r="AL328" i="2"/>
  <c r="AL329" i="2"/>
  <c r="AL330" i="2"/>
  <c r="AL331" i="2"/>
  <c r="AL332" i="2"/>
  <c r="AL333" i="2"/>
  <c r="AL334" i="2"/>
  <c r="AL335" i="2"/>
  <c r="AL336" i="2"/>
  <c r="AL337" i="2"/>
  <c r="AL338" i="2"/>
  <c r="AL339" i="2"/>
  <c r="AL340" i="2"/>
  <c r="AL341" i="2"/>
  <c r="AL2" i="1"/>
  <c r="AK234" i="1"/>
  <c r="AK262" i="1"/>
  <c r="AK32" i="1"/>
  <c r="AK33" i="1"/>
  <c r="AK34" i="1"/>
  <c r="AK35" i="1"/>
  <c r="AK87" i="1"/>
  <c r="AK88" i="1"/>
  <c r="AK131" i="1"/>
  <c r="AK132" i="1"/>
  <c r="AK133" i="1"/>
  <c r="AK134" i="1"/>
  <c r="AK89" i="1"/>
  <c r="AK90" i="1"/>
  <c r="AK235" i="1"/>
  <c r="AK135" i="1"/>
  <c r="AK36" i="1"/>
  <c r="AK37" i="1"/>
  <c r="AK38" i="1"/>
  <c r="AK91" i="1"/>
  <c r="AK39" i="1"/>
  <c r="AK40" i="1"/>
  <c r="AK41" i="1"/>
  <c r="AK42" i="1"/>
  <c r="AK43" i="1"/>
  <c r="AK44" i="1"/>
  <c r="AK45" i="1"/>
  <c r="AK46" i="1"/>
  <c r="AK136" i="1"/>
  <c r="AK263" i="1"/>
  <c r="AK264" i="1"/>
  <c r="AK265" i="1"/>
  <c r="AK266" i="1"/>
  <c r="AK137" i="1"/>
  <c r="AK47" i="1"/>
  <c r="AK92" i="1"/>
  <c r="AK93" i="1"/>
  <c r="AK192" i="1"/>
  <c r="AK193" i="1"/>
  <c r="AK138" i="1"/>
  <c r="AK139" i="1"/>
  <c r="AK140" i="1"/>
  <c r="AK141" i="1"/>
  <c r="AK142" i="1"/>
  <c r="AK143" i="1"/>
  <c r="AK144" i="1"/>
  <c r="AK145" i="1"/>
  <c r="AK236" i="1"/>
  <c r="AK146" i="1"/>
  <c r="AK267" i="1"/>
  <c r="AK268" i="1"/>
  <c r="AK269" i="1"/>
  <c r="AK270" i="1"/>
  <c r="AK147" i="1"/>
  <c r="AK271" i="1"/>
  <c r="AK272" i="1"/>
  <c r="AK48" i="1"/>
  <c r="AK148" i="1"/>
  <c r="AK237" i="1"/>
  <c r="AK238" i="1"/>
  <c r="AK239" i="1"/>
  <c r="AK149" i="1"/>
  <c r="AK150" i="1"/>
  <c r="AK151" i="1"/>
  <c r="AK273" i="1"/>
  <c r="AK274" i="1"/>
  <c r="AK275" i="1"/>
  <c r="AK276" i="1"/>
  <c r="AK277" i="1"/>
  <c r="AK278" i="1"/>
  <c r="AK279" i="1"/>
  <c r="AK280" i="1"/>
  <c r="AK240" i="1"/>
  <c r="AK194" i="1"/>
  <c r="AK49" i="1"/>
  <c r="AK50" i="1"/>
  <c r="AK195" i="1"/>
  <c r="AK196" i="1"/>
  <c r="AK152" i="1"/>
  <c r="AK153" i="1"/>
  <c r="AK154" i="1"/>
  <c r="AK155" i="1"/>
  <c r="AK156" i="1"/>
  <c r="AK94" i="1"/>
  <c r="AK157" i="1"/>
  <c r="AK158" i="1"/>
  <c r="AK281" i="1"/>
  <c r="AK282" i="1"/>
  <c r="AK159" i="1"/>
  <c r="AK160" i="1"/>
  <c r="AK241" i="1"/>
  <c r="AK161" i="1"/>
  <c r="AK283" i="1"/>
  <c r="AK51" i="1"/>
  <c r="AK95" i="1"/>
  <c r="AK162" i="1"/>
  <c r="AK163" i="1"/>
  <c r="AK164" i="1"/>
  <c r="AK6" i="1"/>
  <c r="AK101" i="1"/>
  <c r="AK165" i="1"/>
  <c r="AK166" i="1"/>
  <c r="AK167" i="1"/>
  <c r="AK168" i="1"/>
  <c r="AK169" i="1"/>
  <c r="AK170" i="1"/>
  <c r="AK102" i="1"/>
  <c r="AK205" i="1"/>
  <c r="AK206" i="1"/>
  <c r="AK207" i="1"/>
  <c r="AK7" i="1"/>
  <c r="AK208" i="1"/>
  <c r="AK52" i="1"/>
  <c r="AK171" i="1"/>
  <c r="AK172" i="1"/>
  <c r="AK209" i="1"/>
  <c r="AK210" i="1"/>
  <c r="AK8" i="1"/>
  <c r="AK9" i="1"/>
  <c r="AK53" i="1"/>
  <c r="AK173" i="1"/>
  <c r="AK211" i="1"/>
  <c r="AK103" i="1"/>
  <c r="AK104" i="1"/>
  <c r="AK105" i="1"/>
  <c r="AK174" i="1"/>
  <c r="AK54" i="1"/>
  <c r="AK55" i="1"/>
  <c r="AK106" i="1"/>
  <c r="AK242" i="1"/>
  <c r="AK10" i="1"/>
  <c r="AK175" i="1"/>
  <c r="AK176" i="1"/>
  <c r="AK212" i="1"/>
  <c r="AK107" i="1"/>
  <c r="AK108" i="1"/>
  <c r="AK213" i="1"/>
  <c r="AK11" i="1"/>
  <c r="AK12" i="1"/>
  <c r="AK13" i="1"/>
  <c r="AK56" i="1"/>
  <c r="AK57" i="1"/>
  <c r="AK58" i="1"/>
  <c r="AK214" i="1"/>
  <c r="AK109" i="1"/>
  <c r="AK110" i="1"/>
  <c r="AK111" i="1"/>
  <c r="AK112" i="1"/>
  <c r="AK59" i="1"/>
  <c r="AK243" i="1"/>
  <c r="AK244" i="1"/>
  <c r="AK245" i="1"/>
  <c r="AK113" i="1"/>
  <c r="AK215" i="1"/>
  <c r="AK177" i="1"/>
  <c r="AK114" i="1"/>
  <c r="AK178" i="1"/>
  <c r="AK179" i="1"/>
  <c r="AK60" i="1"/>
  <c r="AK61" i="1"/>
  <c r="AK62" i="1"/>
  <c r="AK63" i="1"/>
  <c r="AK216" i="1"/>
  <c r="AK217" i="1"/>
  <c r="AK218" i="1"/>
  <c r="AK180" i="1"/>
  <c r="AK181" i="1"/>
  <c r="AK246" i="1"/>
  <c r="AK219" i="1"/>
  <c r="AK220" i="1"/>
  <c r="AK221" i="1"/>
  <c r="AK222" i="1"/>
  <c r="AK223" i="1"/>
  <c r="AK64" i="1"/>
  <c r="AK65" i="1"/>
  <c r="AK66" i="1"/>
  <c r="AK67" i="1"/>
  <c r="AK182" i="1"/>
  <c r="AK14" i="1"/>
  <c r="AK15" i="1"/>
  <c r="AK16" i="1"/>
  <c r="AK17" i="1"/>
  <c r="AK183" i="1"/>
  <c r="AK224" i="1"/>
  <c r="AK225" i="1"/>
  <c r="AK226" i="1"/>
  <c r="AK227" i="1"/>
  <c r="AK247" i="1"/>
  <c r="AK115" i="1"/>
  <c r="AK68" i="1"/>
  <c r="AK69" i="1"/>
  <c r="AK70" i="1"/>
  <c r="AK71" i="1"/>
  <c r="AK72" i="1"/>
  <c r="AK73" i="1"/>
  <c r="AK74" i="1"/>
  <c r="AK18" i="1"/>
  <c r="AK248" i="1"/>
  <c r="AK184" i="1"/>
  <c r="AK185" i="1"/>
  <c r="AK228" i="1"/>
  <c r="AK249" i="1"/>
  <c r="AK250" i="1"/>
  <c r="AK116" i="1"/>
  <c r="AK229" i="1"/>
  <c r="AK186" i="1"/>
  <c r="AK251" i="1"/>
  <c r="AK19" i="1"/>
  <c r="AK75" i="1"/>
  <c r="AK76" i="1"/>
  <c r="AK77" i="1"/>
  <c r="AK78" i="1"/>
  <c r="AK187" i="1"/>
  <c r="AK117" i="1"/>
  <c r="AK252" i="1"/>
  <c r="AK230" i="1"/>
  <c r="AK188" i="1"/>
  <c r="AK79" i="1"/>
  <c r="AK118" i="1"/>
  <c r="AK253" i="1"/>
  <c r="AK254" i="1"/>
  <c r="AK255" i="1"/>
  <c r="AK119" i="1"/>
  <c r="AK120" i="1"/>
  <c r="AK20" i="1"/>
  <c r="AK21" i="1"/>
  <c r="AK22" i="1"/>
  <c r="AK23" i="1"/>
  <c r="AK24" i="1"/>
  <c r="AK25" i="1"/>
  <c r="AK80" i="1"/>
  <c r="AK231" i="1"/>
  <c r="AK256" i="1"/>
  <c r="AK26" i="1"/>
  <c r="AK189" i="1"/>
  <c r="AK190" i="1"/>
  <c r="AK257" i="1"/>
  <c r="AK27" i="1"/>
  <c r="AK28" i="1"/>
  <c r="AK81" i="1"/>
  <c r="AK29" i="1"/>
  <c r="AK121" i="1"/>
  <c r="AK82" i="1"/>
  <c r="AK83" i="1"/>
  <c r="AK191" i="1"/>
  <c r="AK258" i="1"/>
  <c r="AK122" i="1"/>
  <c r="AK84" i="1"/>
  <c r="AK123" i="1"/>
  <c r="AK85" i="1"/>
  <c r="AK30" i="1"/>
  <c r="AK86" i="1"/>
  <c r="AK232" i="1"/>
  <c r="AK124" i="1"/>
  <c r="AK259" i="1"/>
  <c r="AK260" i="1"/>
  <c r="AK261" i="1"/>
  <c r="AK125" i="1"/>
  <c r="AK126" i="1"/>
  <c r="AK31" i="1"/>
  <c r="AK127" i="1"/>
  <c r="AK128" i="1"/>
  <c r="AK129" i="1"/>
  <c r="AK130" i="1"/>
  <c r="AK233" i="1"/>
  <c r="AK3" i="1"/>
  <c r="AK96" i="1"/>
  <c r="AK197" i="1"/>
  <c r="AK198" i="1"/>
  <c r="AK199" i="1"/>
  <c r="AK200" i="1"/>
  <c r="AK201" i="1"/>
  <c r="AK97" i="1"/>
  <c r="AK202" i="1"/>
  <c r="AK203" i="1"/>
  <c r="AK4" i="1"/>
  <c r="AK98" i="1"/>
  <c r="AK99" i="1"/>
  <c r="AK100" i="1"/>
  <c r="AK204" i="1"/>
  <c r="AK5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A3" i="8"/>
  <c r="AA4" i="8"/>
  <c r="AA5" i="8"/>
  <c r="AB5" i="8" s="1"/>
  <c r="AP5" i="8" s="1"/>
  <c r="AA6" i="8"/>
  <c r="AB6" i="8" s="1"/>
  <c r="AP6" i="8" s="1"/>
  <c r="AA7" i="8"/>
  <c r="AA8" i="8"/>
  <c r="AB8" i="8" s="1"/>
  <c r="AP8" i="8" s="1"/>
  <c r="AA9" i="8"/>
  <c r="AB9" i="8" s="1"/>
  <c r="AP9" i="8" s="1"/>
  <c r="AA10" i="8"/>
  <c r="AB10" i="8" s="1"/>
  <c r="AP10" i="8" s="1"/>
  <c r="AA11" i="8"/>
  <c r="AA12" i="8"/>
  <c r="AB12" i="8" s="1"/>
  <c r="AP12" i="8" s="1"/>
  <c r="AA13" i="8"/>
  <c r="AB13" i="8" s="1"/>
  <c r="AP13" i="8" s="1"/>
  <c r="AA14" i="8"/>
  <c r="AB14" i="8" s="1"/>
  <c r="AP14" i="8" s="1"/>
  <c r="AA15" i="8"/>
  <c r="AA16" i="8"/>
  <c r="AB16" i="8" s="1"/>
  <c r="AP16" i="8" s="1"/>
  <c r="AA17" i="8"/>
  <c r="AA18" i="8"/>
  <c r="AB18" i="8" s="1"/>
  <c r="AP18" i="8" s="1"/>
  <c r="AA19" i="8"/>
  <c r="AA20" i="8"/>
  <c r="AB20" i="8" s="1"/>
  <c r="AP20" i="8" s="1"/>
  <c r="AA21" i="8"/>
  <c r="AB21" i="8" s="1"/>
  <c r="AP21" i="8" s="1"/>
  <c r="AA22" i="8"/>
  <c r="AB22" i="8" s="1"/>
  <c r="AP22" i="8" s="1"/>
  <c r="AA23" i="8"/>
  <c r="AA24" i="8"/>
  <c r="AA25" i="8"/>
  <c r="AB25" i="8" s="1"/>
  <c r="AP25" i="8" s="1"/>
  <c r="AA26" i="8"/>
  <c r="AB26" i="8" s="1"/>
  <c r="AP26" i="8" s="1"/>
  <c r="AA27" i="8"/>
  <c r="AA28" i="8"/>
  <c r="AB28" i="8" s="1"/>
  <c r="AP28" i="8" s="1"/>
  <c r="AA29" i="8"/>
  <c r="AB29" i="8" s="1"/>
  <c r="AP29" i="8" s="1"/>
  <c r="AA30" i="8"/>
  <c r="AB30" i="8" s="1"/>
  <c r="AP30" i="8" s="1"/>
  <c r="AA31" i="8"/>
  <c r="AA32" i="8"/>
  <c r="AA33" i="8"/>
  <c r="AB33" i="8" s="1"/>
  <c r="AP33" i="8" s="1"/>
  <c r="AA34" i="8"/>
  <c r="AB34" i="8" s="1"/>
  <c r="AP34" i="8" s="1"/>
  <c r="AA35" i="8"/>
  <c r="AA36" i="8"/>
  <c r="AB36" i="8" s="1"/>
  <c r="AP36" i="8" s="1"/>
  <c r="AA37" i="8"/>
  <c r="AB37" i="8" s="1"/>
  <c r="AP37" i="8" s="1"/>
  <c r="AA38" i="8"/>
  <c r="AA39" i="8"/>
  <c r="AA40" i="8"/>
  <c r="AB40" i="8" s="1"/>
  <c r="AP40" i="8" s="1"/>
  <c r="AA41" i="8"/>
  <c r="AA42" i="8"/>
  <c r="AB42" i="8" s="1"/>
  <c r="AP42" i="8" s="1"/>
  <c r="AA43" i="8"/>
  <c r="AA44" i="8"/>
  <c r="AB44" i="8" s="1"/>
  <c r="AP44" i="8" s="1"/>
  <c r="AA45" i="8"/>
  <c r="AA46" i="8"/>
  <c r="AB46" i="8" s="1"/>
  <c r="AP46" i="8" s="1"/>
  <c r="AA47" i="8"/>
  <c r="AA48" i="8"/>
  <c r="AB48" i="8" s="1"/>
  <c r="AP48" i="8" s="1"/>
  <c r="AA49" i="8"/>
  <c r="AB49" i="8" s="1"/>
  <c r="AP49" i="8" s="1"/>
  <c r="AA50" i="8"/>
  <c r="AB50" i="8" s="1"/>
  <c r="AP50" i="8" s="1"/>
  <c r="AA51" i="8"/>
  <c r="AA52" i="8"/>
  <c r="AA53" i="8"/>
  <c r="AB53" i="8" s="1"/>
  <c r="AP53" i="8" s="1"/>
  <c r="AA54" i="8"/>
  <c r="AB54" i="8" s="1"/>
  <c r="AP54" i="8" s="1"/>
  <c r="AA55" i="8"/>
  <c r="AA56" i="8"/>
  <c r="AA57" i="8"/>
  <c r="AB57" i="8" s="1"/>
  <c r="AP57" i="8" s="1"/>
  <c r="AA58" i="8"/>
  <c r="AB58" i="8" s="1"/>
  <c r="AP58" i="8" s="1"/>
  <c r="AA59" i="8"/>
  <c r="AA60" i="8"/>
  <c r="AB60" i="8" s="1"/>
  <c r="AP60" i="8" s="1"/>
  <c r="AA61" i="8"/>
  <c r="AA62" i="8"/>
  <c r="AB62" i="8" s="1"/>
  <c r="AP62" i="8" s="1"/>
  <c r="AA63" i="8"/>
  <c r="AA64" i="8"/>
  <c r="AB64" i="8" s="1"/>
  <c r="AP64" i="8" s="1"/>
  <c r="AA65" i="8"/>
  <c r="AB65" i="8" s="1"/>
  <c r="AP65" i="8" s="1"/>
  <c r="AA66" i="8"/>
  <c r="AB66" i="8" s="1"/>
  <c r="AP66" i="8" s="1"/>
  <c r="AA67" i="8"/>
  <c r="AA68" i="8"/>
  <c r="AB68" i="8" s="1"/>
  <c r="AP68" i="8" s="1"/>
  <c r="AA69" i="8"/>
  <c r="AB69" i="8" s="1"/>
  <c r="AP69" i="8" s="1"/>
  <c r="AA70" i="8"/>
  <c r="AB70" i="8" s="1"/>
  <c r="AP70" i="8" s="1"/>
  <c r="AA71" i="8"/>
  <c r="AA72" i="8"/>
  <c r="AA73" i="8"/>
  <c r="AB73" i="8" s="1"/>
  <c r="AP73" i="8" s="1"/>
  <c r="AA74" i="8"/>
  <c r="AB74" i="8" s="1"/>
  <c r="AP74" i="8" s="1"/>
  <c r="AA75" i="8"/>
  <c r="AA76" i="8"/>
  <c r="AB76" i="8" s="1"/>
  <c r="AP76" i="8" s="1"/>
  <c r="AA77" i="8"/>
  <c r="AB77" i="8" s="1"/>
  <c r="AP77" i="8" s="1"/>
  <c r="AA78" i="8"/>
  <c r="AB78" i="8" s="1"/>
  <c r="AP78" i="8" s="1"/>
  <c r="AA79" i="8"/>
  <c r="AA80" i="8"/>
  <c r="AA81" i="8"/>
  <c r="AB81" i="8" s="1"/>
  <c r="AP81" i="8" s="1"/>
  <c r="AA82" i="8"/>
  <c r="AA83" i="8"/>
  <c r="AA84" i="8"/>
  <c r="AA85" i="8"/>
  <c r="AB85" i="8" s="1"/>
  <c r="AP85" i="8" s="1"/>
  <c r="AA86" i="8"/>
  <c r="AB86" i="8" s="1"/>
  <c r="AP86" i="8" s="1"/>
  <c r="AA87" i="8"/>
  <c r="AA88" i="8"/>
  <c r="AB88" i="8" s="1"/>
  <c r="AP88" i="8" s="1"/>
  <c r="AA89" i="8"/>
  <c r="AB89" i="8" s="1"/>
  <c r="AP89" i="8" s="1"/>
  <c r="AA90" i="8"/>
  <c r="AB90" i="8" s="1"/>
  <c r="AP90" i="8" s="1"/>
  <c r="AA91" i="8"/>
  <c r="AA92" i="8"/>
  <c r="AB92" i="8" s="1"/>
  <c r="AP92" i="8" s="1"/>
  <c r="AA93" i="8"/>
  <c r="AB93" i="8" s="1"/>
  <c r="AP93" i="8" s="1"/>
  <c r="AA94" i="8"/>
  <c r="AB94" i="8" s="1"/>
  <c r="AP94" i="8" s="1"/>
  <c r="AA95" i="8"/>
  <c r="AA96" i="8"/>
  <c r="AB96" i="8" s="1"/>
  <c r="AP96" i="8" s="1"/>
  <c r="AA97" i="8"/>
  <c r="AA98" i="8"/>
  <c r="AB98" i="8" s="1"/>
  <c r="AP98" i="8" s="1"/>
  <c r="AA99" i="8"/>
  <c r="AA100" i="8"/>
  <c r="AB100" i="8" s="1"/>
  <c r="AP100" i="8" s="1"/>
  <c r="AA101" i="8"/>
  <c r="AB101" i="8" s="1"/>
  <c r="AP101" i="8" s="1"/>
  <c r="AA102" i="8"/>
  <c r="AB102" i="8" s="1"/>
  <c r="AP102" i="8" s="1"/>
  <c r="AA103" i="8"/>
  <c r="AA104" i="8"/>
  <c r="AB104" i="8" s="1"/>
  <c r="AP104" i="8" s="1"/>
  <c r="AA105" i="8"/>
  <c r="AB105" i="8" s="1"/>
  <c r="AP105" i="8" s="1"/>
  <c r="AA106" i="8"/>
  <c r="AB106" i="8" s="1"/>
  <c r="AP106" i="8" s="1"/>
  <c r="AA107" i="8"/>
  <c r="AA108" i="8"/>
  <c r="AA109" i="8"/>
  <c r="AB109" i="8" s="1"/>
  <c r="AP109" i="8" s="1"/>
  <c r="AA110" i="8"/>
  <c r="AB110" i="8" s="1"/>
  <c r="AP110" i="8" s="1"/>
  <c r="AA111" i="8"/>
  <c r="AA112" i="8"/>
  <c r="AB112" i="8" s="1"/>
  <c r="AP112" i="8" s="1"/>
  <c r="AA113" i="8"/>
  <c r="AB113" i="8" s="1"/>
  <c r="AP113" i="8" s="1"/>
  <c r="AA114" i="8"/>
  <c r="AB114" i="8" s="1"/>
  <c r="AP114" i="8" s="1"/>
  <c r="AA115" i="8"/>
  <c r="AA116" i="8"/>
  <c r="AB116" i="8" s="1"/>
  <c r="AP116" i="8" s="1"/>
  <c r="AA117" i="8"/>
  <c r="AA118" i="8"/>
  <c r="AB118" i="8" s="1"/>
  <c r="AP118" i="8" s="1"/>
  <c r="AA119" i="8"/>
  <c r="AA120" i="8"/>
  <c r="AA121" i="8"/>
  <c r="AB121" i="8" s="1"/>
  <c r="AP121" i="8" s="1"/>
  <c r="AA122" i="8"/>
  <c r="AB122" i="8" s="1"/>
  <c r="AP122" i="8" s="1"/>
  <c r="AA123" i="8"/>
  <c r="AA124" i="8"/>
  <c r="AB124" i="8" s="1"/>
  <c r="AP124" i="8" s="1"/>
  <c r="AA125" i="8"/>
  <c r="AA126" i="8"/>
  <c r="AB126" i="8" s="1"/>
  <c r="AP126" i="8" s="1"/>
  <c r="AA127" i="8"/>
  <c r="AA128" i="8"/>
  <c r="AB128" i="8" s="1"/>
  <c r="AP128" i="8" s="1"/>
  <c r="AA129" i="8"/>
  <c r="AB129" i="8" s="1"/>
  <c r="AP129" i="8" s="1"/>
  <c r="AA130" i="8"/>
  <c r="AB130" i="8" s="1"/>
  <c r="AP130" i="8" s="1"/>
  <c r="AA131" i="8"/>
  <c r="AA132" i="8"/>
  <c r="AA133" i="8"/>
  <c r="AB133" i="8" s="1"/>
  <c r="AP133" i="8" s="1"/>
  <c r="AA134" i="8"/>
  <c r="AB134" i="8" s="1"/>
  <c r="AP134" i="8" s="1"/>
  <c r="AA135" i="8"/>
  <c r="AA136" i="8"/>
  <c r="AA137" i="8"/>
  <c r="AB137" i="8" s="1"/>
  <c r="AP137" i="8" s="1"/>
  <c r="AA138" i="8"/>
  <c r="AB138" i="8" s="1"/>
  <c r="AP138" i="8" s="1"/>
  <c r="AA139" i="8"/>
  <c r="AA140" i="8"/>
  <c r="AB140" i="8" s="1"/>
  <c r="AP140" i="8" s="1"/>
  <c r="AA141" i="8"/>
  <c r="AB141" i="8" s="1"/>
  <c r="AP141" i="8" s="1"/>
  <c r="AA142" i="8"/>
  <c r="AA143" i="8"/>
  <c r="AA144" i="8"/>
  <c r="AB144" i="8" s="1"/>
  <c r="AP144" i="8" s="1"/>
  <c r="AA145" i="8"/>
  <c r="AB145" i="8" s="1"/>
  <c r="AP145" i="8" s="1"/>
  <c r="AA146" i="8"/>
  <c r="AB146" i="8" s="1"/>
  <c r="AP146" i="8" s="1"/>
  <c r="AA147" i="8"/>
  <c r="AA148" i="8"/>
  <c r="AB148" i="8" s="1"/>
  <c r="AP148" i="8" s="1"/>
  <c r="AA149" i="8"/>
  <c r="AB149" i="8" s="1"/>
  <c r="AP149" i="8" s="1"/>
  <c r="AA150" i="8"/>
  <c r="AB150" i="8" s="1"/>
  <c r="AP150" i="8" s="1"/>
  <c r="AA151" i="8"/>
  <c r="AA152" i="8"/>
  <c r="AB152" i="8" s="1"/>
  <c r="AP152" i="8" s="1"/>
  <c r="AA153" i="8"/>
  <c r="AB153" i="8" s="1"/>
  <c r="AP153" i="8" s="1"/>
  <c r="AA154" i="8"/>
  <c r="AB154" i="8" s="1"/>
  <c r="AP154" i="8" s="1"/>
  <c r="AA155" i="8"/>
  <c r="AA156" i="8"/>
  <c r="AA157" i="8"/>
  <c r="AB157" i="8" s="1"/>
  <c r="AP157" i="8" s="1"/>
  <c r="AA158" i="8"/>
  <c r="AB158" i="8" s="1"/>
  <c r="AP158" i="8" s="1"/>
  <c r="AA159" i="8"/>
  <c r="AA160" i="8"/>
  <c r="AB160" i="8" s="1"/>
  <c r="AP160" i="8" s="1"/>
  <c r="AA161" i="8"/>
  <c r="AB161" i="8" s="1"/>
  <c r="AP161" i="8" s="1"/>
  <c r="AA162" i="8"/>
  <c r="AB162" i="8" s="1"/>
  <c r="AP162" i="8" s="1"/>
  <c r="AA163" i="8"/>
  <c r="AA164" i="8"/>
  <c r="AB164" i="8" s="1"/>
  <c r="AP164" i="8" s="1"/>
  <c r="AA165" i="8"/>
  <c r="AB165" i="8" s="1"/>
  <c r="AP165" i="8" s="1"/>
  <c r="AA166" i="8"/>
  <c r="AB166" i="8" s="1"/>
  <c r="AP166" i="8" s="1"/>
  <c r="AA167" i="8"/>
  <c r="AA168" i="8"/>
  <c r="AB168" i="8" s="1"/>
  <c r="AP168" i="8" s="1"/>
  <c r="AA169" i="8"/>
  <c r="AA170" i="8"/>
  <c r="AB170" i="8" s="1"/>
  <c r="AP170" i="8" s="1"/>
  <c r="AA171" i="8"/>
  <c r="AA172" i="8"/>
  <c r="AB172" i="8" s="1"/>
  <c r="AP172" i="8" s="1"/>
  <c r="AA173" i="8"/>
  <c r="AB173" i="8" s="1"/>
  <c r="AP173" i="8" s="1"/>
  <c r="AA174" i="8"/>
  <c r="AB174" i="8" s="1"/>
  <c r="AP174" i="8" s="1"/>
  <c r="AA175" i="8"/>
  <c r="AA176" i="8"/>
  <c r="AB176" i="8" s="1"/>
  <c r="AP176" i="8" s="1"/>
  <c r="AA177" i="8"/>
  <c r="AA178" i="8"/>
  <c r="AB178" i="8" s="1"/>
  <c r="AP178" i="8" s="1"/>
  <c r="AA179" i="8"/>
  <c r="AA180" i="8"/>
  <c r="AA181" i="8"/>
  <c r="AB181" i="8" s="1"/>
  <c r="AP181" i="8" s="1"/>
  <c r="AA182" i="8"/>
  <c r="AB182" i="8" s="1"/>
  <c r="AP182" i="8" s="1"/>
  <c r="AA183" i="8"/>
  <c r="AA184" i="8"/>
  <c r="AA185" i="8"/>
  <c r="AB185" i="8" s="1"/>
  <c r="AP185" i="8" s="1"/>
  <c r="AA186" i="8"/>
  <c r="AA187" i="8"/>
  <c r="AA188" i="8"/>
  <c r="AB188" i="8" s="1"/>
  <c r="AP188" i="8" s="1"/>
  <c r="AA189" i="8"/>
  <c r="AB189" i="8" s="1"/>
  <c r="AP189" i="8" s="1"/>
  <c r="AA190" i="8"/>
  <c r="AB190" i="8" s="1"/>
  <c r="AP190" i="8" s="1"/>
  <c r="AA191" i="8"/>
  <c r="AA192" i="8"/>
  <c r="AB192" i="8" s="1"/>
  <c r="AP192" i="8" s="1"/>
  <c r="AA193" i="8"/>
  <c r="AB193" i="8" s="1"/>
  <c r="AP193" i="8" s="1"/>
  <c r="AA194" i="8"/>
  <c r="AB194" i="8" s="1"/>
  <c r="AP194" i="8" s="1"/>
  <c r="AA195" i="8"/>
  <c r="AA196" i="8"/>
  <c r="AB196" i="8" s="1"/>
  <c r="AP196" i="8" s="1"/>
  <c r="AA197" i="8"/>
  <c r="AB197" i="8" s="1"/>
  <c r="AP197" i="8" s="1"/>
  <c r="AA198" i="8"/>
  <c r="AB198" i="8" s="1"/>
  <c r="AP198" i="8" s="1"/>
  <c r="AA199" i="8"/>
  <c r="AA200" i="8"/>
  <c r="AB200" i="8" s="1"/>
  <c r="AP200" i="8" s="1"/>
  <c r="AA201" i="8"/>
  <c r="AB201" i="8" s="1"/>
  <c r="AP201" i="8" s="1"/>
  <c r="AA202" i="8"/>
  <c r="AB202" i="8" s="1"/>
  <c r="AP202" i="8" s="1"/>
  <c r="AA203" i="8"/>
  <c r="AA204" i="8"/>
  <c r="AB204" i="8" s="1"/>
  <c r="AP204" i="8" s="1"/>
  <c r="AA205" i="8"/>
  <c r="AB205" i="8" s="1"/>
  <c r="AP205" i="8" s="1"/>
  <c r="AA206" i="8"/>
  <c r="AB206" i="8" s="1"/>
  <c r="AP206" i="8" s="1"/>
  <c r="AA207" i="8"/>
  <c r="AA208" i="8"/>
  <c r="AA209" i="8"/>
  <c r="AB209" i="8" s="1"/>
  <c r="AP209" i="8" s="1"/>
  <c r="AA210" i="8"/>
  <c r="AB210" i="8" s="1"/>
  <c r="AP210" i="8" s="1"/>
  <c r="AA211" i="8"/>
  <c r="AA212" i="8"/>
  <c r="AB212" i="8" s="1"/>
  <c r="AP212" i="8" s="1"/>
  <c r="AA213" i="8"/>
  <c r="AB213" i="8" s="1"/>
  <c r="AP213" i="8" s="1"/>
  <c r="AA214" i="8"/>
  <c r="AB214" i="8" s="1"/>
  <c r="AP214" i="8" s="1"/>
  <c r="AA215" i="8"/>
  <c r="AA216" i="8"/>
  <c r="AB216" i="8" s="1"/>
  <c r="AP216" i="8" s="1"/>
  <c r="AA217" i="8"/>
  <c r="AB217" i="8" s="1"/>
  <c r="AP217" i="8" s="1"/>
  <c r="AA218" i="8"/>
  <c r="AB218" i="8" s="1"/>
  <c r="AP218" i="8" s="1"/>
  <c r="AA219" i="8"/>
  <c r="AA220" i="8"/>
  <c r="AB220" i="8" s="1"/>
  <c r="AP220" i="8" s="1"/>
  <c r="AA221" i="8"/>
  <c r="AB221" i="8" s="1"/>
  <c r="AP221" i="8" s="1"/>
  <c r="AA222" i="8"/>
  <c r="AB222" i="8" s="1"/>
  <c r="AP222" i="8" s="1"/>
  <c r="AA223" i="8"/>
  <c r="AA224" i="8"/>
  <c r="AB224" i="8" s="1"/>
  <c r="AP224" i="8" s="1"/>
  <c r="AA225" i="8"/>
  <c r="AB225" i="8" s="1"/>
  <c r="AP225" i="8" s="1"/>
  <c r="AA226" i="8"/>
  <c r="AB226" i="8" s="1"/>
  <c r="AP226" i="8" s="1"/>
  <c r="AA227" i="8"/>
  <c r="AA228" i="8"/>
  <c r="AB228" i="8" s="1"/>
  <c r="AP228" i="8" s="1"/>
  <c r="AA229" i="8"/>
  <c r="AB229" i="8" s="1"/>
  <c r="AP229" i="8" s="1"/>
  <c r="AA230" i="8"/>
  <c r="AB230" i="8" s="1"/>
  <c r="AP230" i="8" s="1"/>
  <c r="AA231" i="8"/>
  <c r="AA232" i="8"/>
  <c r="AB232" i="8" s="1"/>
  <c r="AP232" i="8" s="1"/>
  <c r="AA233" i="8"/>
  <c r="AB233" i="8" s="1"/>
  <c r="AP233" i="8" s="1"/>
  <c r="AA234" i="8"/>
  <c r="AB234" i="8" s="1"/>
  <c r="AP234" i="8" s="1"/>
  <c r="AA235" i="8"/>
  <c r="AA236" i="8"/>
  <c r="AA237" i="8"/>
  <c r="AB237" i="8" s="1"/>
  <c r="AP237" i="8" s="1"/>
  <c r="AA238" i="8"/>
  <c r="AB238" i="8" s="1"/>
  <c r="AP238" i="8" s="1"/>
  <c r="AA239" i="8"/>
  <c r="AA240" i="8"/>
  <c r="AB240" i="8" s="1"/>
  <c r="AP240" i="8" s="1"/>
  <c r="AA241" i="8"/>
  <c r="AB241" i="8" s="1"/>
  <c r="AP241" i="8" s="1"/>
  <c r="AA242" i="8"/>
  <c r="AB242" i="8" s="1"/>
  <c r="AP242" i="8" s="1"/>
  <c r="AA243" i="8"/>
  <c r="AA244" i="8"/>
  <c r="AB244" i="8" s="1"/>
  <c r="AP244" i="8" s="1"/>
  <c r="AA245" i="8"/>
  <c r="AB245" i="8" s="1"/>
  <c r="AP245" i="8" s="1"/>
  <c r="AA246" i="8"/>
  <c r="AB246" i="8" s="1"/>
  <c r="AP246" i="8" s="1"/>
  <c r="AA247" i="8"/>
  <c r="AA248" i="8"/>
  <c r="AB248" i="8" s="1"/>
  <c r="AP248" i="8" s="1"/>
  <c r="AA249" i="8"/>
  <c r="AB249" i="8" s="1"/>
  <c r="AP249" i="8" s="1"/>
  <c r="AA250" i="8"/>
  <c r="AB250" i="8" s="1"/>
  <c r="AP250" i="8" s="1"/>
  <c r="AA251" i="8"/>
  <c r="AA252" i="8"/>
  <c r="AB252" i="8" s="1"/>
  <c r="AP252" i="8" s="1"/>
  <c r="AA253" i="8"/>
  <c r="AB253" i="8" s="1"/>
  <c r="AP253" i="8" s="1"/>
  <c r="AA254" i="8"/>
  <c r="AA255" i="8"/>
  <c r="AA256" i="8"/>
  <c r="AB256" i="8" s="1"/>
  <c r="AP256" i="8" s="1"/>
  <c r="AA257" i="8"/>
  <c r="AB257" i="8" s="1"/>
  <c r="AP257" i="8" s="1"/>
  <c r="AA258" i="8"/>
  <c r="AB258" i="8" s="1"/>
  <c r="AP258" i="8" s="1"/>
  <c r="AA259" i="8"/>
  <c r="AA260" i="8"/>
  <c r="AA261" i="8"/>
  <c r="AB261" i="8" s="1"/>
  <c r="AP261" i="8" s="1"/>
  <c r="AA262" i="8"/>
  <c r="AB262" i="8" s="1"/>
  <c r="AP262" i="8" s="1"/>
  <c r="AA263" i="8"/>
  <c r="AA264" i="8"/>
  <c r="AB264" i="8" s="1"/>
  <c r="AP264" i="8" s="1"/>
  <c r="AA265" i="8"/>
  <c r="AB265" i="8" s="1"/>
  <c r="AP265" i="8" s="1"/>
  <c r="AA266" i="8"/>
  <c r="AB266" i="8" s="1"/>
  <c r="AP266" i="8" s="1"/>
  <c r="AA267" i="8"/>
  <c r="AA268" i="8"/>
  <c r="AB268" i="8" s="1"/>
  <c r="AP268" i="8" s="1"/>
  <c r="AA269" i="8"/>
  <c r="AA270" i="8"/>
  <c r="AB270" i="8" s="1"/>
  <c r="AP270" i="8" s="1"/>
  <c r="AA271" i="8"/>
  <c r="AA272" i="8"/>
  <c r="AB272" i="8" s="1"/>
  <c r="AP272" i="8" s="1"/>
  <c r="AA273" i="8"/>
  <c r="AB273" i="8" s="1"/>
  <c r="AP273" i="8" s="1"/>
  <c r="AA274" i="8"/>
  <c r="AB274" i="8" s="1"/>
  <c r="AP274" i="8" s="1"/>
  <c r="AA275" i="8"/>
  <c r="AA276" i="8"/>
  <c r="AB276" i="8" s="1"/>
  <c r="AP276" i="8" s="1"/>
  <c r="AA277" i="8"/>
  <c r="AB277" i="8" s="1"/>
  <c r="AP277" i="8" s="1"/>
  <c r="AA278" i="8"/>
  <c r="AB278" i="8" s="1"/>
  <c r="AP278" i="8" s="1"/>
  <c r="AA279" i="8"/>
  <c r="AA280" i="8"/>
  <c r="AA281" i="8"/>
  <c r="AB281" i="8" s="1"/>
  <c r="AP281" i="8" s="1"/>
  <c r="AA282" i="8"/>
  <c r="AB282" i="8" s="1"/>
  <c r="AP282" i="8" s="1"/>
  <c r="AA283" i="8"/>
  <c r="AA284" i="8"/>
  <c r="AB284" i="8" s="1"/>
  <c r="AP284" i="8" s="1"/>
  <c r="AA285" i="8"/>
  <c r="AB285" i="8" s="1"/>
  <c r="AP285" i="8" s="1"/>
  <c r="AA286" i="8"/>
  <c r="AB286" i="8" s="1"/>
  <c r="AP286" i="8" s="1"/>
  <c r="AA287" i="8"/>
  <c r="AB287" i="8" s="1"/>
  <c r="AP287" i="8" s="1"/>
  <c r="AA288" i="8"/>
  <c r="AB288" i="8" s="1"/>
  <c r="AP288" i="8" s="1"/>
  <c r="AA289" i="8"/>
  <c r="AB289" i="8" s="1"/>
  <c r="AP289" i="8" s="1"/>
  <c r="AA290" i="8"/>
  <c r="AB290" i="8" s="1"/>
  <c r="AP290" i="8" s="1"/>
  <c r="AA291" i="8"/>
  <c r="AA292" i="8"/>
  <c r="AB292" i="8" s="1"/>
  <c r="AP292" i="8" s="1"/>
  <c r="AA293" i="8"/>
  <c r="AB293" i="8" s="1"/>
  <c r="AP293" i="8" s="1"/>
  <c r="AA294" i="8"/>
  <c r="AB294" i="8" s="1"/>
  <c r="AP294" i="8" s="1"/>
  <c r="AA295" i="8"/>
  <c r="AA296" i="8"/>
  <c r="AB296" i="8" s="1"/>
  <c r="AP296" i="8" s="1"/>
  <c r="AA297" i="8"/>
  <c r="AB297" i="8" s="1"/>
  <c r="AP297" i="8" s="1"/>
  <c r="AA298" i="8"/>
  <c r="AB298" i="8" s="1"/>
  <c r="AP298" i="8" s="1"/>
  <c r="AA299" i="8"/>
  <c r="AA300" i="8"/>
  <c r="AB300" i="8" s="1"/>
  <c r="AP300" i="8" s="1"/>
  <c r="AA301" i="8"/>
  <c r="AA302" i="8"/>
  <c r="AB302" i="8" s="1"/>
  <c r="AP302" i="8" s="1"/>
  <c r="AA303" i="8"/>
  <c r="AA304" i="8"/>
  <c r="AB304" i="8" s="1"/>
  <c r="AP304" i="8" s="1"/>
  <c r="AA305" i="8"/>
  <c r="AB305" i="8" s="1"/>
  <c r="AP305" i="8" s="1"/>
  <c r="AA306" i="8"/>
  <c r="AB306" i="8" s="1"/>
  <c r="AP306" i="8" s="1"/>
  <c r="AA307" i="8"/>
  <c r="AB307" i="8" s="1"/>
  <c r="AP307" i="8" s="1"/>
  <c r="AA308" i="8"/>
  <c r="AA309" i="8"/>
  <c r="AB309" i="8" s="1"/>
  <c r="AP309" i="8" s="1"/>
  <c r="AA310" i="8"/>
  <c r="AB310" i="8" s="1"/>
  <c r="AP310" i="8" s="1"/>
  <c r="AA311" i="8"/>
  <c r="AA312" i="8"/>
  <c r="AB312" i="8" s="1"/>
  <c r="AP312" i="8" s="1"/>
  <c r="AA313" i="8"/>
  <c r="AB313" i="8" s="1"/>
  <c r="AP313" i="8" s="1"/>
  <c r="AA314" i="8"/>
  <c r="AA315" i="8"/>
  <c r="AA316" i="8"/>
  <c r="AB316" i="8" s="1"/>
  <c r="AP316" i="8" s="1"/>
  <c r="AA317" i="8"/>
  <c r="AB317" i="8" s="1"/>
  <c r="AP317" i="8" s="1"/>
  <c r="AA318" i="8"/>
  <c r="AB318" i="8" s="1"/>
  <c r="AP318" i="8" s="1"/>
  <c r="AA319" i="8"/>
  <c r="AA320" i="8"/>
  <c r="AB320" i="8" s="1"/>
  <c r="AP320" i="8" s="1"/>
  <c r="AA321" i="8"/>
  <c r="AB321" i="8" s="1"/>
  <c r="AP321" i="8" s="1"/>
  <c r="AA322" i="8"/>
  <c r="AB322" i="8" s="1"/>
  <c r="AP322" i="8" s="1"/>
  <c r="AA323" i="8"/>
  <c r="AA324" i="8"/>
  <c r="AB324" i="8" s="1"/>
  <c r="AP324" i="8" s="1"/>
  <c r="AA325" i="8"/>
  <c r="AB325" i="8" s="1"/>
  <c r="AP325" i="8" s="1"/>
  <c r="AA326" i="8"/>
  <c r="AB326" i="8" s="1"/>
  <c r="AP326" i="8" s="1"/>
  <c r="AA327" i="8"/>
  <c r="AA328" i="8"/>
  <c r="AB328" i="8" s="1"/>
  <c r="AP328" i="8" s="1"/>
  <c r="AA329" i="8"/>
  <c r="AB329" i="8" s="1"/>
  <c r="AP329" i="8" s="1"/>
  <c r="AA330" i="8"/>
  <c r="AB330" i="8" s="1"/>
  <c r="AP330" i="8" s="1"/>
  <c r="AA331" i="8"/>
  <c r="AB331" i="8" s="1"/>
  <c r="AP331" i="8" s="1"/>
  <c r="AA332" i="8"/>
  <c r="AA333" i="8"/>
  <c r="AA334" i="8"/>
  <c r="AB334" i="8" s="1"/>
  <c r="AP334" i="8" s="1"/>
  <c r="AA335" i="8"/>
  <c r="AA336" i="8"/>
  <c r="AB336" i="8" s="1"/>
  <c r="AP336" i="8" s="1"/>
  <c r="AA337" i="8"/>
  <c r="AB337" i="8" s="1"/>
  <c r="AP337" i="8" s="1"/>
  <c r="AA338" i="8"/>
  <c r="AB338" i="8" s="1"/>
  <c r="AP338" i="8" s="1"/>
  <c r="AA339" i="8"/>
  <c r="AA340" i="8"/>
  <c r="AB340" i="8" s="1"/>
  <c r="AP340" i="8" s="1"/>
  <c r="AA341" i="8"/>
  <c r="AB341" i="8" s="1"/>
  <c r="AP341" i="8" s="1"/>
  <c r="AA342" i="8"/>
  <c r="AB342" i="8" s="1"/>
  <c r="AP342" i="8" s="1"/>
  <c r="AA343" i="8"/>
  <c r="AB343" i="8" s="1"/>
  <c r="AP343" i="8" s="1"/>
  <c r="AA344" i="8"/>
  <c r="AB344" i="8" s="1"/>
  <c r="AP344" i="8" s="1"/>
  <c r="AA345" i="8"/>
  <c r="AB345" i="8" s="1"/>
  <c r="AP345" i="8" s="1"/>
  <c r="AA346" i="8"/>
  <c r="AB346" i="8" s="1"/>
  <c r="AP346" i="8" s="1"/>
  <c r="AA347" i="8"/>
  <c r="AA348" i="8"/>
  <c r="AB348" i="8" s="1"/>
  <c r="AP348" i="8" s="1"/>
  <c r="AA349" i="8"/>
  <c r="AB349" i="8" s="1"/>
  <c r="AP349" i="8" s="1"/>
  <c r="AA350" i="8"/>
  <c r="AB350" i="8" s="1"/>
  <c r="AP350" i="8" s="1"/>
  <c r="AA351" i="8"/>
  <c r="AA352" i="8"/>
  <c r="AB352" i="8" s="1"/>
  <c r="AP352" i="8" s="1"/>
  <c r="AA353" i="8"/>
  <c r="AB353" i="8" s="1"/>
  <c r="AP353" i="8" s="1"/>
  <c r="AA354" i="8"/>
  <c r="AB354" i="8" s="1"/>
  <c r="AP354" i="8" s="1"/>
  <c r="AA355" i="8"/>
  <c r="AB355" i="8" s="1"/>
  <c r="AP355" i="8" s="1"/>
  <c r="AA356" i="8"/>
  <c r="AA357" i="8"/>
  <c r="AB357" i="8" s="1"/>
  <c r="AP357" i="8" s="1"/>
  <c r="AA358" i="8"/>
  <c r="AB358" i="8" s="1"/>
  <c r="AP358" i="8" s="1"/>
  <c r="AA359" i="8"/>
  <c r="AA360" i="8"/>
  <c r="AA361" i="8"/>
  <c r="AB361" i="8" s="1"/>
  <c r="AP361" i="8" s="1"/>
  <c r="AA362" i="8"/>
  <c r="AB362" i="8" s="1"/>
  <c r="AP362" i="8" s="1"/>
  <c r="AA363" i="8"/>
  <c r="AB363" i="8" s="1"/>
  <c r="AP363" i="8" s="1"/>
  <c r="AA364" i="8"/>
  <c r="AB364" i="8" s="1"/>
  <c r="AP364" i="8" s="1"/>
  <c r="AA365" i="8"/>
  <c r="AA366" i="8"/>
  <c r="AB366" i="8" s="1"/>
  <c r="AP366" i="8" s="1"/>
  <c r="AA367" i="8"/>
  <c r="AA368" i="8"/>
  <c r="AB368" i="8" s="1"/>
  <c r="AP368" i="8" s="1"/>
  <c r="AA369" i="8"/>
  <c r="AB369" i="8" s="1"/>
  <c r="AP369" i="8" s="1"/>
  <c r="AA370" i="8"/>
  <c r="AB370" i="8" s="1"/>
  <c r="AP370" i="8" s="1"/>
  <c r="AA371" i="8"/>
  <c r="AA372" i="8"/>
  <c r="AB372" i="8" s="1"/>
  <c r="AP372" i="8" s="1"/>
  <c r="AA373" i="8"/>
  <c r="AB373" i="8" s="1"/>
  <c r="AP373" i="8" s="1"/>
  <c r="AA374" i="8"/>
  <c r="AA375" i="8"/>
  <c r="AA376" i="8"/>
  <c r="AB376" i="8" s="1"/>
  <c r="AP376" i="8" s="1"/>
  <c r="AA377" i="8"/>
  <c r="AB377" i="8" s="1"/>
  <c r="AP377" i="8" s="1"/>
  <c r="AA378" i="8"/>
  <c r="AB378" i="8" s="1"/>
  <c r="AP378" i="8" s="1"/>
  <c r="AA379" i="8"/>
  <c r="AB379" i="8" s="1"/>
  <c r="AP379" i="8" s="1"/>
  <c r="AA380" i="8"/>
  <c r="AB380" i="8" s="1"/>
  <c r="AP380" i="8" s="1"/>
  <c r="AA381" i="8"/>
  <c r="AB381" i="8" s="1"/>
  <c r="AP381" i="8" s="1"/>
  <c r="AA382" i="8"/>
  <c r="AB382" i="8" s="1"/>
  <c r="AP382" i="8" s="1"/>
  <c r="AA383" i="8"/>
  <c r="AA384" i="8"/>
  <c r="AA385" i="8"/>
  <c r="AB385" i="8" s="1"/>
  <c r="AP385" i="8" s="1"/>
  <c r="AA386" i="8"/>
  <c r="AB386" i="8" s="1"/>
  <c r="AP386" i="8" s="1"/>
  <c r="AA387" i="8"/>
  <c r="AA388" i="8"/>
  <c r="AB388" i="8" s="1"/>
  <c r="AP388" i="8" s="1"/>
  <c r="AA389" i="8"/>
  <c r="AB389" i="8" s="1"/>
  <c r="AP389" i="8" s="1"/>
  <c r="AA390" i="8"/>
  <c r="AB390" i="8" s="1"/>
  <c r="AP390" i="8" s="1"/>
  <c r="AA391" i="8"/>
  <c r="AB391" i="8" s="1"/>
  <c r="AP391" i="8" s="1"/>
  <c r="AA392" i="8"/>
  <c r="AB392" i="8" s="1"/>
  <c r="AP392" i="8" s="1"/>
  <c r="AA393" i="8"/>
  <c r="AB393" i="8" s="1"/>
  <c r="AP393" i="8" s="1"/>
  <c r="AA394" i="8"/>
  <c r="AB394" i="8" s="1"/>
  <c r="AP394" i="8" s="1"/>
  <c r="AA395" i="8"/>
  <c r="AA396" i="8"/>
  <c r="AB396" i="8" s="1"/>
  <c r="AP396" i="8" s="1"/>
  <c r="AA397" i="8"/>
  <c r="AA398" i="8"/>
  <c r="AB398" i="8" s="1"/>
  <c r="AP398" i="8" s="1"/>
  <c r="AA399" i="8"/>
  <c r="AB399" i="8" s="1"/>
  <c r="AP399" i="8" s="1"/>
  <c r="AA400" i="8"/>
  <c r="AB400" i="8" s="1"/>
  <c r="AP400" i="8" s="1"/>
  <c r="AA401" i="8"/>
  <c r="AB401" i="8" s="1"/>
  <c r="AP401" i="8" s="1"/>
  <c r="AA402" i="8"/>
  <c r="AB402" i="8" s="1"/>
  <c r="AP402" i="8" s="1"/>
  <c r="AA403" i="8"/>
  <c r="AA404" i="8"/>
  <c r="AB404" i="8" s="1"/>
  <c r="AP404" i="8" s="1"/>
  <c r="AA405" i="8"/>
  <c r="AB405" i="8" s="1"/>
  <c r="AP405" i="8" s="1"/>
  <c r="AA406" i="8"/>
  <c r="AB406" i="8" s="1"/>
  <c r="AP406" i="8" s="1"/>
  <c r="AA407" i="8"/>
  <c r="AB407" i="8" s="1"/>
  <c r="AP407" i="8" s="1"/>
  <c r="AA408" i="8"/>
  <c r="AB408" i="8" s="1"/>
  <c r="AP408" i="8" s="1"/>
  <c r="AA409" i="8"/>
  <c r="AB409" i="8" s="1"/>
  <c r="AP409" i="8" s="1"/>
  <c r="AA410" i="8"/>
  <c r="AB410" i="8" s="1"/>
  <c r="AP410" i="8" s="1"/>
  <c r="AA411" i="8"/>
  <c r="AA412" i="8"/>
  <c r="AB412" i="8" s="1"/>
  <c r="AP412" i="8" s="1"/>
  <c r="AA413" i="8"/>
  <c r="AB413" i="8" s="1"/>
  <c r="AP413" i="8" s="1"/>
  <c r="AA414" i="8"/>
  <c r="AB414" i="8" s="1"/>
  <c r="AP414" i="8" s="1"/>
  <c r="AA415" i="8"/>
  <c r="AA416" i="8"/>
  <c r="AA417" i="8"/>
  <c r="AB417" i="8" s="1"/>
  <c r="AP417" i="8" s="1"/>
  <c r="AA418" i="8"/>
  <c r="AB418" i="8" s="1"/>
  <c r="AP418" i="8" s="1"/>
  <c r="AA419" i="8"/>
  <c r="AA420" i="8"/>
  <c r="AB420" i="8" s="1"/>
  <c r="AP420" i="8" s="1"/>
  <c r="AA421" i="8"/>
  <c r="AB421" i="8" s="1"/>
  <c r="AP421" i="8" s="1"/>
  <c r="AA422" i="8"/>
  <c r="AB422" i="8" s="1"/>
  <c r="AP422" i="8" s="1"/>
  <c r="AA423" i="8"/>
  <c r="AB423" i="8" s="1"/>
  <c r="AP423" i="8" s="1"/>
  <c r="AA424" i="8"/>
  <c r="AB424" i="8" s="1"/>
  <c r="AP424" i="8" s="1"/>
  <c r="AA425" i="8"/>
  <c r="AB425" i="8" s="1"/>
  <c r="AP425" i="8" s="1"/>
  <c r="AA426" i="8"/>
  <c r="AA427" i="8"/>
  <c r="AA428" i="8"/>
  <c r="AB428" i="8" s="1"/>
  <c r="AP428" i="8" s="1"/>
  <c r="AA429" i="8"/>
  <c r="AB429" i="8" s="1"/>
  <c r="AP429" i="8" s="1"/>
  <c r="AA430" i="8"/>
  <c r="AB430" i="8" s="1"/>
  <c r="AP430" i="8" s="1"/>
  <c r="AA431" i="8"/>
  <c r="AA432" i="8"/>
  <c r="AA433" i="8"/>
  <c r="AB433" i="8" s="1"/>
  <c r="AP433" i="8" s="1"/>
  <c r="AA434" i="8"/>
  <c r="AB434" i="8" s="1"/>
  <c r="AP434" i="8" s="1"/>
  <c r="AA435" i="8"/>
  <c r="AB435" i="8" s="1"/>
  <c r="AP435" i="8" s="1"/>
  <c r="AA436" i="8"/>
  <c r="AB436" i="8" s="1"/>
  <c r="AP436" i="8" s="1"/>
  <c r="AA437" i="8"/>
  <c r="AB437" i="8" s="1"/>
  <c r="AP437" i="8" s="1"/>
  <c r="AA438" i="8"/>
  <c r="AB438" i="8" s="1"/>
  <c r="AP438" i="8" s="1"/>
  <c r="AA439" i="8"/>
  <c r="AA440" i="8"/>
  <c r="AB440" i="8" s="1"/>
  <c r="AP440" i="8" s="1"/>
  <c r="AA441" i="8"/>
  <c r="AB441" i="8" s="1"/>
  <c r="AP441" i="8" s="1"/>
  <c r="AA442" i="8"/>
  <c r="AB442" i="8" s="1"/>
  <c r="AP442" i="8" s="1"/>
  <c r="AA443" i="8"/>
  <c r="AB443" i="8" s="1"/>
  <c r="AP443" i="8" s="1"/>
  <c r="AA444" i="8"/>
  <c r="AB444" i="8" s="1"/>
  <c r="AP444" i="8" s="1"/>
  <c r="AA445" i="8"/>
  <c r="AA446" i="8"/>
  <c r="AB446" i="8" s="1"/>
  <c r="AP446" i="8" s="1"/>
  <c r="AA447" i="8"/>
  <c r="AA448" i="8"/>
  <c r="AA449" i="8"/>
  <c r="AB449" i="8" s="1"/>
  <c r="AP449" i="8" s="1"/>
  <c r="AA450" i="8"/>
  <c r="AB450" i="8" s="1"/>
  <c r="AP450" i="8" s="1"/>
  <c r="AA451" i="8"/>
  <c r="AB451" i="8" s="1"/>
  <c r="AP451" i="8" s="1"/>
  <c r="AA452" i="8"/>
  <c r="AB452" i="8" s="1"/>
  <c r="AP452" i="8" s="1"/>
  <c r="AA453" i="8"/>
  <c r="AB453" i="8" s="1"/>
  <c r="AP453" i="8" s="1"/>
  <c r="AA454" i="8"/>
  <c r="AB454" i="8" s="1"/>
  <c r="AP454" i="8" s="1"/>
  <c r="AA455" i="8"/>
  <c r="AA456" i="8"/>
  <c r="AB456" i="8" s="1"/>
  <c r="AP456" i="8" s="1"/>
  <c r="AA457" i="8"/>
  <c r="AB457" i="8" s="1"/>
  <c r="AP457" i="8" s="1"/>
  <c r="AA458" i="8"/>
  <c r="AB458" i="8" s="1"/>
  <c r="AP458" i="8" s="1"/>
  <c r="AA459" i="8"/>
  <c r="AA460" i="8"/>
  <c r="AB460" i="8" s="1"/>
  <c r="AP460" i="8" s="1"/>
  <c r="AA461" i="8"/>
  <c r="AB461" i="8" s="1"/>
  <c r="AP461" i="8" s="1"/>
  <c r="AA462" i="8"/>
  <c r="AB462" i="8" s="1"/>
  <c r="AP462" i="8" s="1"/>
  <c r="AA463" i="8"/>
  <c r="AB463" i="8" s="1"/>
  <c r="AP463" i="8" s="1"/>
  <c r="AA464" i="8"/>
  <c r="AB464" i="8" s="1"/>
  <c r="AP464" i="8" s="1"/>
  <c r="AA465" i="8"/>
  <c r="AB465" i="8" s="1"/>
  <c r="AP465" i="8" s="1"/>
  <c r="AA466" i="8"/>
  <c r="AB466" i="8" s="1"/>
  <c r="AP466" i="8" s="1"/>
  <c r="AA467" i="8"/>
  <c r="AA468" i="8"/>
  <c r="AB468" i="8" s="1"/>
  <c r="AP468" i="8" s="1"/>
  <c r="AA469" i="8"/>
  <c r="AB469" i="8" s="1"/>
  <c r="AP469" i="8" s="1"/>
  <c r="AA470" i="8"/>
  <c r="AB470" i="8" s="1"/>
  <c r="AP470" i="8" s="1"/>
  <c r="AA471" i="8"/>
  <c r="AA472" i="8"/>
  <c r="AA473" i="8"/>
  <c r="AB473" i="8" s="1"/>
  <c r="AP473" i="8" s="1"/>
  <c r="AA474" i="8"/>
  <c r="AB474" i="8" s="1"/>
  <c r="AP474" i="8" s="1"/>
  <c r="AA475" i="8"/>
  <c r="AB475" i="8" s="1"/>
  <c r="AP475" i="8" s="1"/>
  <c r="AA476" i="8"/>
  <c r="AB476" i="8" s="1"/>
  <c r="AP476" i="8" s="1"/>
  <c r="AA477" i="8"/>
  <c r="AA478" i="8"/>
  <c r="AB478" i="8" s="1"/>
  <c r="AP478" i="8" s="1"/>
  <c r="AA479" i="8"/>
  <c r="AB479" i="8" s="1"/>
  <c r="AP479" i="8" s="1"/>
  <c r="AA480" i="8"/>
  <c r="AB480" i="8" s="1"/>
  <c r="AP480" i="8" s="1"/>
  <c r="AA481" i="8"/>
  <c r="AB481" i="8" s="1"/>
  <c r="AP481" i="8" s="1"/>
  <c r="AA482" i="8"/>
  <c r="AB482" i="8" s="1"/>
  <c r="AP482" i="8" s="1"/>
  <c r="AA483" i="8"/>
  <c r="AB483" i="8" s="1"/>
  <c r="AP483" i="8" s="1"/>
  <c r="AA484" i="8"/>
  <c r="AB484" i="8" s="1"/>
  <c r="AP484" i="8" s="1"/>
  <c r="AA485" i="8"/>
  <c r="AB485" i="8" s="1"/>
  <c r="AP485" i="8" s="1"/>
  <c r="AA486" i="8"/>
  <c r="AB486" i="8" s="1"/>
  <c r="AP486" i="8" s="1"/>
  <c r="AA487" i="8"/>
  <c r="AA488" i="8"/>
  <c r="AA489" i="8"/>
  <c r="AB489" i="8" s="1"/>
  <c r="AP489" i="8" s="1"/>
  <c r="AA490" i="8"/>
  <c r="AB490" i="8" s="1"/>
  <c r="AP490" i="8" s="1"/>
  <c r="AA491" i="8"/>
  <c r="AB491" i="8" s="1"/>
  <c r="AP491" i="8" s="1"/>
  <c r="AA492" i="8"/>
  <c r="AB492" i="8" s="1"/>
  <c r="AP492" i="8" s="1"/>
  <c r="AA493" i="8"/>
  <c r="AB493" i="8" s="1"/>
  <c r="AP493" i="8" s="1"/>
  <c r="AA494" i="8"/>
  <c r="AB494" i="8" s="1"/>
  <c r="AP494" i="8" s="1"/>
  <c r="AA495" i="8"/>
  <c r="AB495" i="8" s="1"/>
  <c r="AP495" i="8" s="1"/>
  <c r="AA496" i="8"/>
  <c r="AB496" i="8" s="1"/>
  <c r="AP496" i="8" s="1"/>
  <c r="AA497" i="8"/>
  <c r="AB497" i="8" s="1"/>
  <c r="AP497" i="8" s="1"/>
  <c r="AA498" i="8"/>
  <c r="AB498" i="8" s="1"/>
  <c r="AP498" i="8" s="1"/>
  <c r="AA499" i="8"/>
  <c r="AA500" i="8"/>
  <c r="AB500" i="8" s="1"/>
  <c r="AP500" i="8" s="1"/>
  <c r="AA501" i="8"/>
  <c r="AB501" i="8" s="1"/>
  <c r="AP501" i="8" s="1"/>
  <c r="AA502" i="8"/>
  <c r="AB502" i="8" s="1"/>
  <c r="AP502" i="8" s="1"/>
  <c r="AA503" i="8"/>
  <c r="AB503" i="8" s="1"/>
  <c r="AP503" i="8" s="1"/>
  <c r="AA504" i="8"/>
  <c r="AB504" i="8" s="1"/>
  <c r="AP504" i="8" s="1"/>
  <c r="AA505" i="8"/>
  <c r="AB505" i="8" s="1"/>
  <c r="AP505" i="8" s="1"/>
  <c r="AA506" i="8"/>
  <c r="AB506" i="8" s="1"/>
  <c r="AP506" i="8" s="1"/>
  <c r="AA507" i="8"/>
  <c r="AB507" i="8" s="1"/>
  <c r="AP507" i="8" s="1"/>
  <c r="AA508" i="8"/>
  <c r="AB508" i="8" s="1"/>
  <c r="AP508" i="8" s="1"/>
  <c r="AA509" i="8"/>
  <c r="AB509" i="8" s="1"/>
  <c r="AP509" i="8" s="1"/>
  <c r="AA510" i="8"/>
  <c r="AB510" i="8" s="1"/>
  <c r="AP510" i="8" s="1"/>
  <c r="AA511" i="8"/>
  <c r="AB511" i="8" s="1"/>
  <c r="AP511" i="8" s="1"/>
  <c r="AA512" i="8"/>
  <c r="AA513" i="8"/>
  <c r="AB513" i="8" s="1"/>
  <c r="AP513" i="8" s="1"/>
  <c r="AA514" i="8"/>
  <c r="AB514" i="8" s="1"/>
  <c r="AP514" i="8" s="1"/>
  <c r="AA515" i="8"/>
  <c r="AA516" i="8"/>
  <c r="AB516" i="8" s="1"/>
  <c r="AP516" i="8" s="1"/>
  <c r="AA517" i="8"/>
  <c r="AB517" i="8" s="1"/>
  <c r="AP517" i="8" s="1"/>
  <c r="AA518" i="8"/>
  <c r="AA519" i="8"/>
  <c r="AB519" i="8" s="1"/>
  <c r="AP519" i="8" s="1"/>
  <c r="AA520" i="8"/>
  <c r="AB520" i="8" s="1"/>
  <c r="AP520" i="8" s="1"/>
  <c r="AA521" i="8"/>
  <c r="AB521" i="8" s="1"/>
  <c r="AP521" i="8" s="1"/>
  <c r="AA522" i="8"/>
  <c r="AB522" i="8" s="1"/>
  <c r="AP522" i="8" s="1"/>
  <c r="AA523" i="8"/>
  <c r="AA524" i="8"/>
  <c r="AB524" i="8" s="1"/>
  <c r="AP524" i="8" s="1"/>
  <c r="AA525" i="8"/>
  <c r="AA526" i="8"/>
  <c r="AB526" i="8" s="1"/>
  <c r="AP526" i="8" s="1"/>
  <c r="AA527" i="8"/>
  <c r="AB527" i="8" s="1"/>
  <c r="AP527" i="8" s="1"/>
  <c r="AA528" i="8"/>
  <c r="AB528" i="8" s="1"/>
  <c r="AP528" i="8" s="1"/>
  <c r="AA529" i="8"/>
  <c r="AB529" i="8" s="1"/>
  <c r="AP529" i="8" s="1"/>
  <c r="AA530" i="8"/>
  <c r="AB530" i="8" s="1"/>
  <c r="AP530" i="8" s="1"/>
  <c r="AA531" i="8"/>
  <c r="AB531" i="8" s="1"/>
  <c r="AP531" i="8" s="1"/>
  <c r="AA532" i="8"/>
  <c r="AB532" i="8" s="1"/>
  <c r="AP532" i="8" s="1"/>
  <c r="AA533" i="8"/>
  <c r="AB533" i="8" s="1"/>
  <c r="AP533" i="8" s="1"/>
  <c r="AA534" i="8"/>
  <c r="AB534" i="8" s="1"/>
  <c r="AP534" i="8" s="1"/>
  <c r="AA535" i="8"/>
  <c r="AA536" i="8"/>
  <c r="AA537" i="8"/>
  <c r="AB537" i="8" s="1"/>
  <c r="AP537" i="8" s="1"/>
  <c r="AA538" i="8"/>
  <c r="AB538" i="8" s="1"/>
  <c r="AP538" i="8" s="1"/>
  <c r="AA539" i="8"/>
  <c r="AA540" i="8"/>
  <c r="AA541" i="8"/>
  <c r="AB541" i="8" s="1"/>
  <c r="AP541" i="8" s="1"/>
  <c r="AA542" i="8"/>
  <c r="AB542" i="8" s="1"/>
  <c r="AP542" i="8" s="1"/>
  <c r="AA543" i="8"/>
  <c r="AB543" i="8" s="1"/>
  <c r="AP543" i="8" s="1"/>
  <c r="AA544" i="8"/>
  <c r="AB544" i="8" s="1"/>
  <c r="AP544" i="8" s="1"/>
  <c r="AA545" i="8"/>
  <c r="AB545" i="8" s="1"/>
  <c r="AP545" i="8" s="1"/>
  <c r="AA546" i="8"/>
  <c r="AB546" i="8" s="1"/>
  <c r="AP546" i="8" s="1"/>
  <c r="AA547" i="8"/>
  <c r="AB547" i="8" s="1"/>
  <c r="AP547" i="8" s="1"/>
  <c r="AA548" i="8"/>
  <c r="AB548" i="8" s="1"/>
  <c r="AP548" i="8" s="1"/>
  <c r="AA549" i="8"/>
  <c r="AB549" i="8" s="1"/>
  <c r="AP549" i="8" s="1"/>
  <c r="AA550" i="8"/>
  <c r="AB550" i="8" s="1"/>
  <c r="AP550" i="8" s="1"/>
  <c r="AA551" i="8"/>
  <c r="AB551" i="8" s="1"/>
  <c r="AP551" i="8" s="1"/>
  <c r="AA552" i="8"/>
  <c r="AB552" i="8" s="1"/>
  <c r="AP552" i="8" s="1"/>
  <c r="AA553" i="8"/>
  <c r="AB553" i="8" s="1"/>
  <c r="AP553" i="8" s="1"/>
  <c r="AA554" i="8"/>
  <c r="AB554" i="8" s="1"/>
  <c r="AP554" i="8" s="1"/>
  <c r="AA555" i="8"/>
  <c r="AA556" i="8"/>
  <c r="AB556" i="8" s="1"/>
  <c r="AP556" i="8" s="1"/>
  <c r="AA557" i="8"/>
  <c r="AB557" i="8" s="1"/>
  <c r="AP557" i="8" s="1"/>
  <c r="AA558" i="8"/>
  <c r="AB558" i="8" s="1"/>
  <c r="AP558" i="8" s="1"/>
  <c r="AA559" i="8"/>
  <c r="AA560" i="8"/>
  <c r="AA561" i="8"/>
  <c r="AB561" i="8" s="1"/>
  <c r="AP561" i="8" s="1"/>
  <c r="AA562" i="8"/>
  <c r="AB562" i="8" s="1"/>
  <c r="AP562" i="8" s="1"/>
  <c r="AA563" i="8"/>
  <c r="AB563" i="8" s="1"/>
  <c r="AP563" i="8" s="1"/>
  <c r="AA564" i="8"/>
  <c r="AB564" i="8" s="1"/>
  <c r="AP564" i="8" s="1"/>
  <c r="AA565" i="8"/>
  <c r="AB565" i="8" s="1"/>
  <c r="AP565" i="8" s="1"/>
  <c r="AA566" i="8"/>
  <c r="AB566" i="8" s="1"/>
  <c r="AP566" i="8" s="1"/>
  <c r="AA567" i="8"/>
  <c r="AB567" i="8" s="1"/>
  <c r="AP567" i="8" s="1"/>
  <c r="AA568" i="8"/>
  <c r="AB568" i="8" s="1"/>
  <c r="AP568" i="8" s="1"/>
  <c r="AA569" i="8"/>
  <c r="AB569" i="8" s="1"/>
  <c r="AP569" i="8" s="1"/>
  <c r="AA570" i="8"/>
  <c r="AB570" i="8" s="1"/>
  <c r="AP570" i="8" s="1"/>
  <c r="AA571" i="8"/>
  <c r="AA572" i="8"/>
  <c r="AA573" i="8"/>
  <c r="AB573" i="8" s="1"/>
  <c r="AP573" i="8" s="1"/>
  <c r="AA574" i="8"/>
  <c r="AB574" i="8" s="1"/>
  <c r="AP574" i="8" s="1"/>
  <c r="AA575" i="8"/>
  <c r="AA576" i="8"/>
  <c r="AB576" i="8" s="1"/>
  <c r="AP576" i="8" s="1"/>
  <c r="AA577" i="8"/>
  <c r="AB577" i="8" s="1"/>
  <c r="AP577" i="8" s="1"/>
  <c r="AA578" i="8"/>
  <c r="AB578" i="8" s="1"/>
  <c r="AP578" i="8" s="1"/>
  <c r="AA579" i="8"/>
  <c r="AB579" i="8" s="1"/>
  <c r="AP579" i="8" s="1"/>
  <c r="AA580" i="8"/>
  <c r="AB580" i="8" s="1"/>
  <c r="AP580" i="8" s="1"/>
  <c r="AA581" i="8"/>
  <c r="AB581" i="8" s="1"/>
  <c r="AP581" i="8" s="1"/>
  <c r="AA582" i="8"/>
  <c r="AB582" i="8" s="1"/>
  <c r="AP582" i="8" s="1"/>
  <c r="AA583" i="8"/>
  <c r="AA584" i="8"/>
  <c r="AB584" i="8" s="1"/>
  <c r="AP584" i="8" s="1"/>
  <c r="AA585" i="8"/>
  <c r="AB585" i="8" s="1"/>
  <c r="AP585" i="8" s="1"/>
  <c r="AA586" i="8"/>
  <c r="AB586" i="8" s="1"/>
  <c r="AP586" i="8" s="1"/>
  <c r="AA587" i="8"/>
  <c r="AB587" i="8" s="1"/>
  <c r="AP587" i="8" s="1"/>
  <c r="AA588" i="8"/>
  <c r="AB588" i="8" s="1"/>
  <c r="AP588" i="8" s="1"/>
  <c r="AA589" i="8"/>
  <c r="AB589" i="8" s="1"/>
  <c r="AP589" i="8" s="1"/>
  <c r="AA590" i="8"/>
  <c r="AB590" i="8" s="1"/>
  <c r="AP590" i="8" s="1"/>
  <c r="AA591" i="8"/>
  <c r="AA592" i="8"/>
  <c r="AB592" i="8" s="1"/>
  <c r="AP592" i="8" s="1"/>
  <c r="AA593" i="8"/>
  <c r="AB593" i="8" s="1"/>
  <c r="AP593" i="8" s="1"/>
  <c r="AA594" i="8"/>
  <c r="AB594" i="8" s="1"/>
  <c r="AP594" i="8" s="1"/>
  <c r="AA595" i="8"/>
  <c r="AB595" i="8" s="1"/>
  <c r="AP595" i="8" s="1"/>
  <c r="AA596" i="8"/>
  <c r="AB596" i="8" s="1"/>
  <c r="AP596" i="8" s="1"/>
  <c r="AA597" i="8"/>
  <c r="AB597" i="8" s="1"/>
  <c r="AP597" i="8" s="1"/>
  <c r="AA598" i="8"/>
  <c r="AB598" i="8" s="1"/>
  <c r="AP598" i="8" s="1"/>
  <c r="AA599" i="8"/>
  <c r="AA600" i="8"/>
  <c r="AB600" i="8" s="1"/>
  <c r="AP600" i="8" s="1"/>
  <c r="AA601" i="8"/>
  <c r="AB601" i="8" s="1"/>
  <c r="AP601" i="8" s="1"/>
  <c r="AA602" i="8"/>
  <c r="AB602" i="8" s="1"/>
  <c r="AP602" i="8" s="1"/>
  <c r="AA603" i="8"/>
  <c r="AB603" i="8" s="1"/>
  <c r="AP603" i="8" s="1"/>
  <c r="AA604" i="8"/>
  <c r="AA605" i="8"/>
  <c r="AB605" i="8" s="1"/>
  <c r="AP605" i="8" s="1"/>
  <c r="AA606" i="8"/>
  <c r="AB606" i="8" s="1"/>
  <c r="AP606" i="8" s="1"/>
  <c r="AA607" i="8"/>
  <c r="AA608" i="8"/>
  <c r="AB608" i="8" s="1"/>
  <c r="AP608" i="8" s="1"/>
  <c r="AA609" i="8"/>
  <c r="AB609" i="8" s="1"/>
  <c r="AP609" i="8" s="1"/>
  <c r="AA610" i="8"/>
  <c r="AB610" i="8" s="1"/>
  <c r="AP610" i="8" s="1"/>
  <c r="AA611" i="8"/>
  <c r="AB611" i="8" s="1"/>
  <c r="AP611" i="8" s="1"/>
  <c r="AA612" i="8"/>
  <c r="AB612" i="8" s="1"/>
  <c r="AP612" i="8" s="1"/>
  <c r="AA613" i="8"/>
  <c r="AB613" i="8" s="1"/>
  <c r="AP613" i="8" s="1"/>
  <c r="AA614" i="8"/>
  <c r="AB614" i="8" s="1"/>
  <c r="AP614" i="8" s="1"/>
  <c r="AA615" i="8"/>
  <c r="AB615" i="8" s="1"/>
  <c r="AP615" i="8" s="1"/>
  <c r="AA616" i="8"/>
  <c r="AB616" i="8" s="1"/>
  <c r="AP616" i="8" s="1"/>
  <c r="AA617" i="8"/>
  <c r="AB617" i="8" s="1"/>
  <c r="AP617" i="8" s="1"/>
  <c r="AA618" i="8"/>
  <c r="AB618" i="8" s="1"/>
  <c r="AP618" i="8" s="1"/>
  <c r="AA619" i="8"/>
  <c r="AB619" i="8" s="1"/>
  <c r="AP619" i="8" s="1"/>
  <c r="AA620" i="8"/>
  <c r="AB620" i="8" s="1"/>
  <c r="AP620" i="8" s="1"/>
  <c r="AA621" i="8"/>
  <c r="AA622" i="8"/>
  <c r="AB622" i="8" s="1"/>
  <c r="AP622" i="8" s="1"/>
  <c r="AA623" i="8"/>
  <c r="AB623" i="8" s="1"/>
  <c r="AP623" i="8" s="1"/>
  <c r="AA624" i="8"/>
  <c r="AB624" i="8" s="1"/>
  <c r="AP624" i="8" s="1"/>
  <c r="AA625" i="8"/>
  <c r="AB625" i="8" s="1"/>
  <c r="AP625" i="8" s="1"/>
  <c r="AA626" i="8"/>
  <c r="AB626" i="8" s="1"/>
  <c r="AP626" i="8" s="1"/>
  <c r="AA627" i="8"/>
  <c r="AA628" i="8"/>
  <c r="AB628" i="8" s="1"/>
  <c r="AP628" i="8" s="1"/>
  <c r="AA629" i="8"/>
  <c r="AB629" i="8" s="1"/>
  <c r="AP629" i="8" s="1"/>
  <c r="AA630" i="8"/>
  <c r="AB630" i="8" s="1"/>
  <c r="AP630" i="8" s="1"/>
  <c r="AA631" i="8"/>
  <c r="AB631" i="8" s="1"/>
  <c r="AP631" i="8" s="1"/>
  <c r="AA632" i="8"/>
  <c r="AB632" i="8" s="1"/>
  <c r="AP632" i="8" s="1"/>
  <c r="AA633" i="8"/>
  <c r="AB633" i="8" s="1"/>
  <c r="AP633" i="8" s="1"/>
  <c r="AA634" i="8"/>
  <c r="AB634" i="8" s="1"/>
  <c r="AP634" i="8" s="1"/>
  <c r="AA635" i="8"/>
  <c r="AA636" i="8"/>
  <c r="AA637" i="8"/>
  <c r="AB637" i="8" s="1"/>
  <c r="AP637" i="8" s="1"/>
  <c r="AA638" i="8"/>
  <c r="AB638" i="8" s="1"/>
  <c r="AP638" i="8" s="1"/>
  <c r="AA639" i="8"/>
  <c r="AB639" i="8" s="1"/>
  <c r="AP639" i="8" s="1"/>
  <c r="AA640" i="8"/>
  <c r="AB640" i="8" s="1"/>
  <c r="AP640" i="8" s="1"/>
  <c r="AA641" i="8"/>
  <c r="AB641" i="8" s="1"/>
  <c r="AP641" i="8" s="1"/>
  <c r="AA642" i="8"/>
  <c r="AB642" i="8" s="1"/>
  <c r="AP642" i="8" s="1"/>
  <c r="AA643" i="8"/>
  <c r="AB643" i="8" s="1"/>
  <c r="AP643" i="8" s="1"/>
  <c r="AA644" i="8"/>
  <c r="AB644" i="8" s="1"/>
  <c r="AP644" i="8" s="1"/>
  <c r="AA645" i="8"/>
  <c r="AB645" i="8" s="1"/>
  <c r="AP645" i="8" s="1"/>
  <c r="AA646" i="8"/>
  <c r="AB646" i="8" s="1"/>
  <c r="AP646" i="8" s="1"/>
  <c r="AA647" i="8"/>
  <c r="AB647" i="8" s="1"/>
  <c r="AP647" i="8" s="1"/>
  <c r="AA648" i="8"/>
  <c r="AB648" i="8" s="1"/>
  <c r="AP648" i="8" s="1"/>
  <c r="AA649" i="8"/>
  <c r="AB649" i="8" s="1"/>
  <c r="AP649" i="8" s="1"/>
  <c r="AA650" i="8"/>
  <c r="AB650" i="8" s="1"/>
  <c r="AP650" i="8" s="1"/>
  <c r="AA651" i="8"/>
  <c r="AB651" i="8" s="1"/>
  <c r="AP651" i="8" s="1"/>
  <c r="AA652" i="8"/>
  <c r="AB652" i="8" s="1"/>
  <c r="AP652" i="8" s="1"/>
  <c r="AA653" i="8"/>
  <c r="AB653" i="8" s="1"/>
  <c r="AP653" i="8" s="1"/>
  <c r="AA654" i="8"/>
  <c r="AB654" i="8" s="1"/>
  <c r="AP654" i="8" s="1"/>
  <c r="AA655" i="8"/>
  <c r="AA656" i="8"/>
  <c r="AB656" i="8" s="1"/>
  <c r="AP656" i="8" s="1"/>
  <c r="AA657" i="8"/>
  <c r="AB657" i="8" s="1"/>
  <c r="AP657" i="8" s="1"/>
  <c r="AA658" i="8"/>
  <c r="AB658" i="8" s="1"/>
  <c r="AP658" i="8" s="1"/>
  <c r="AA659" i="8"/>
  <c r="AB659" i="8" s="1"/>
  <c r="AP659" i="8" s="1"/>
  <c r="AA660" i="8"/>
  <c r="AB660" i="8" s="1"/>
  <c r="AP660" i="8" s="1"/>
  <c r="AA661" i="8"/>
  <c r="AB661" i="8" s="1"/>
  <c r="AP661" i="8" s="1"/>
  <c r="AA662" i="8"/>
  <c r="AB662" i="8" s="1"/>
  <c r="AP662" i="8" s="1"/>
  <c r="AA663" i="8"/>
  <c r="AA664" i="8"/>
  <c r="AA665" i="8"/>
  <c r="AB665" i="8" s="1"/>
  <c r="AP665" i="8" s="1"/>
  <c r="AA666" i="8"/>
  <c r="AA667" i="8"/>
  <c r="AB667" i="8" s="1"/>
  <c r="AP667" i="8" s="1"/>
  <c r="AA668" i="8"/>
  <c r="AB668" i="8" s="1"/>
  <c r="AP668" i="8" s="1"/>
  <c r="AA669" i="8"/>
  <c r="AB669" i="8" s="1"/>
  <c r="AP669" i="8" s="1"/>
  <c r="AA670" i="8"/>
  <c r="AB670" i="8" s="1"/>
  <c r="AP670" i="8" s="1"/>
  <c r="AA671" i="8"/>
  <c r="AB671" i="8" s="1"/>
  <c r="AP671" i="8" s="1"/>
  <c r="AA672" i="8"/>
  <c r="AB672" i="8" s="1"/>
  <c r="AP672" i="8" s="1"/>
  <c r="AA673" i="8"/>
  <c r="AB673" i="8" s="1"/>
  <c r="AP673" i="8" s="1"/>
  <c r="AA674" i="8"/>
  <c r="AB674" i="8" s="1"/>
  <c r="AP674" i="8" s="1"/>
  <c r="AA675" i="8"/>
  <c r="AB675" i="8" s="1"/>
  <c r="AP675" i="8" s="1"/>
  <c r="AA676" i="8"/>
  <c r="AB676" i="8" s="1"/>
  <c r="AP676" i="8" s="1"/>
  <c r="AA677" i="8"/>
  <c r="AA678" i="8"/>
  <c r="AB678" i="8" s="1"/>
  <c r="AP678" i="8" s="1"/>
  <c r="AA679" i="8"/>
  <c r="AA680" i="8"/>
  <c r="AB680" i="8" s="1"/>
  <c r="AP680" i="8" s="1"/>
  <c r="AA681" i="8"/>
  <c r="AB681" i="8" s="1"/>
  <c r="AP681" i="8" s="1"/>
  <c r="AA682" i="8"/>
  <c r="AA683" i="8"/>
  <c r="AB683" i="8" s="1"/>
  <c r="AP683" i="8" s="1"/>
  <c r="AA684" i="8"/>
  <c r="AB684" i="8" s="1"/>
  <c r="AP684" i="8" s="1"/>
  <c r="AA685" i="8"/>
  <c r="AB685" i="8" s="1"/>
  <c r="AP685" i="8" s="1"/>
  <c r="AA686" i="8"/>
  <c r="AB686" i="8" s="1"/>
  <c r="AP686" i="8" s="1"/>
  <c r="AA687" i="8"/>
  <c r="AA688" i="8"/>
  <c r="AB688" i="8" s="1"/>
  <c r="AP688" i="8" s="1"/>
  <c r="AA689" i="8"/>
  <c r="AB689" i="8" s="1"/>
  <c r="AP689" i="8" s="1"/>
  <c r="AA690" i="8"/>
  <c r="AB690" i="8" s="1"/>
  <c r="AP690" i="8" s="1"/>
  <c r="AA691" i="8"/>
  <c r="AB691" i="8" s="1"/>
  <c r="AP691" i="8" s="1"/>
  <c r="AA692" i="8"/>
  <c r="AB692" i="8" s="1"/>
  <c r="AP692" i="8" s="1"/>
  <c r="AA693" i="8"/>
  <c r="AB693" i="8" s="1"/>
  <c r="AP693" i="8" s="1"/>
  <c r="AA694" i="8"/>
  <c r="AB694" i="8" s="1"/>
  <c r="AP694" i="8" s="1"/>
  <c r="AA695" i="8"/>
  <c r="AA696" i="8"/>
  <c r="AB696" i="8" s="1"/>
  <c r="AP696" i="8" s="1"/>
  <c r="AA697" i="8"/>
  <c r="AB697" i="8" s="1"/>
  <c r="AP697" i="8" s="1"/>
  <c r="AA698" i="8"/>
  <c r="AB698" i="8" s="1"/>
  <c r="AP698" i="8" s="1"/>
  <c r="AA699" i="8"/>
  <c r="AB699" i="8" s="1"/>
  <c r="AP699" i="8" s="1"/>
  <c r="AA700" i="8"/>
  <c r="AB700" i="8" s="1"/>
  <c r="AP700" i="8" s="1"/>
  <c r="AA701" i="8"/>
  <c r="AB701" i="8" s="1"/>
  <c r="AP701" i="8" s="1"/>
  <c r="AA702" i="8"/>
  <c r="AB702" i="8" s="1"/>
  <c r="AP702" i="8" s="1"/>
  <c r="AA703" i="8"/>
  <c r="AA704" i="8"/>
  <c r="AA705" i="8"/>
  <c r="AB705" i="8" s="1"/>
  <c r="AP705" i="8" s="1"/>
  <c r="AA706" i="8"/>
  <c r="AB706" i="8" s="1"/>
  <c r="AP706" i="8" s="1"/>
  <c r="AA707" i="8"/>
  <c r="AB707" i="8" s="1"/>
  <c r="AP707" i="8" s="1"/>
  <c r="AA708" i="8"/>
  <c r="AB708" i="8" s="1"/>
  <c r="AP708" i="8" s="1"/>
  <c r="AA709" i="8"/>
  <c r="AB709" i="8" s="1"/>
  <c r="AP709" i="8" s="1"/>
  <c r="AA710" i="8"/>
  <c r="AB710" i="8" s="1"/>
  <c r="AP710" i="8" s="1"/>
  <c r="AA711" i="8"/>
  <c r="AB711" i="8" s="1"/>
  <c r="AP711" i="8" s="1"/>
  <c r="AA712" i="8"/>
  <c r="AB712" i="8" s="1"/>
  <c r="AP712" i="8" s="1"/>
  <c r="AA713" i="8"/>
  <c r="AB713" i="8" s="1"/>
  <c r="AP713" i="8" s="1"/>
  <c r="AA714" i="8"/>
  <c r="AB714" i="8" s="1"/>
  <c r="AP714" i="8" s="1"/>
  <c r="AA715" i="8"/>
  <c r="AB715" i="8" s="1"/>
  <c r="AP715" i="8" s="1"/>
  <c r="AA716" i="8"/>
  <c r="AB716" i="8" s="1"/>
  <c r="AP716" i="8" s="1"/>
  <c r="AA717" i="8"/>
  <c r="AB717" i="8" s="1"/>
  <c r="AP717" i="8" s="1"/>
  <c r="AA718" i="8"/>
  <c r="AB718" i="8" s="1"/>
  <c r="AP718" i="8" s="1"/>
  <c r="AA719" i="8"/>
  <c r="AB719" i="8" s="1"/>
  <c r="AP719" i="8" s="1"/>
  <c r="AA720" i="8"/>
  <c r="AB720" i="8" s="1"/>
  <c r="AP720" i="8" s="1"/>
  <c r="AA721" i="8"/>
  <c r="AA722" i="8"/>
  <c r="AB722" i="8" s="1"/>
  <c r="AP722" i="8" s="1"/>
  <c r="AA723" i="8"/>
  <c r="AA724" i="8"/>
  <c r="AB724" i="8" s="1"/>
  <c r="AP724" i="8" s="1"/>
  <c r="AA725" i="8"/>
  <c r="AB725" i="8" s="1"/>
  <c r="AP725" i="8" s="1"/>
  <c r="AA726" i="8"/>
  <c r="AB726" i="8" s="1"/>
  <c r="AP726" i="8" s="1"/>
  <c r="AA727" i="8"/>
  <c r="AB727" i="8" s="1"/>
  <c r="AP727" i="8" s="1"/>
  <c r="AA728" i="8"/>
  <c r="AB728" i="8" s="1"/>
  <c r="AP728" i="8" s="1"/>
  <c r="AA729" i="8"/>
  <c r="AB729" i="8" s="1"/>
  <c r="AP729" i="8" s="1"/>
  <c r="AA730" i="8"/>
  <c r="AB730" i="8" s="1"/>
  <c r="AP730" i="8" s="1"/>
  <c r="AA731" i="8"/>
  <c r="AB731" i="8" s="1"/>
  <c r="AP731" i="8" s="1"/>
  <c r="AA732" i="8"/>
  <c r="AB732" i="8" s="1"/>
  <c r="AP732" i="8" s="1"/>
  <c r="AA733" i="8"/>
  <c r="AB733" i="8" s="1"/>
  <c r="AP733" i="8" s="1"/>
  <c r="AA734" i="8"/>
  <c r="AB734" i="8" s="1"/>
  <c r="AP734" i="8" s="1"/>
  <c r="AA735" i="8"/>
  <c r="AA736" i="8"/>
  <c r="AB736" i="8" s="1"/>
  <c r="AP736" i="8" s="1"/>
  <c r="AA737" i="8"/>
  <c r="AB737" i="8" s="1"/>
  <c r="AP737" i="8" s="1"/>
  <c r="AA738" i="8"/>
  <c r="AB738" i="8" s="1"/>
  <c r="AP738" i="8" s="1"/>
  <c r="AA739" i="8"/>
  <c r="AB739" i="8" s="1"/>
  <c r="AP739" i="8" s="1"/>
  <c r="AA740" i="8"/>
  <c r="AB740" i="8" s="1"/>
  <c r="AP740" i="8" s="1"/>
  <c r="AA741" i="8"/>
  <c r="AB741" i="8" s="1"/>
  <c r="AP741" i="8" s="1"/>
  <c r="AA742" i="8"/>
  <c r="AB742" i="8" s="1"/>
  <c r="AP742" i="8" s="1"/>
  <c r="AA743" i="8"/>
  <c r="AA744" i="8"/>
  <c r="AB744" i="8" s="1"/>
  <c r="AP744" i="8" s="1"/>
  <c r="AA745" i="8"/>
  <c r="AB745" i="8" s="1"/>
  <c r="AP745" i="8" s="1"/>
  <c r="AA746" i="8"/>
  <c r="AB746" i="8" s="1"/>
  <c r="AP746" i="8" s="1"/>
  <c r="AA747" i="8"/>
  <c r="AB747" i="8" s="1"/>
  <c r="AP747" i="8" s="1"/>
  <c r="AA748" i="8"/>
  <c r="AB748" i="8" s="1"/>
  <c r="AP748" i="8" s="1"/>
  <c r="AA749" i="8"/>
  <c r="AB749" i="8" s="1"/>
  <c r="AP749" i="8" s="1"/>
  <c r="AA750" i="8"/>
  <c r="AB750" i="8" s="1"/>
  <c r="AP750" i="8" s="1"/>
  <c r="AA751" i="8"/>
  <c r="AB751" i="8" s="1"/>
  <c r="AP751" i="8" s="1"/>
  <c r="AA752" i="8"/>
  <c r="AA753" i="8"/>
  <c r="AB753" i="8" s="1"/>
  <c r="AP753" i="8" s="1"/>
  <c r="AA754" i="8"/>
  <c r="AB754" i="8" s="1"/>
  <c r="AP754" i="8" s="1"/>
  <c r="AA755" i="8"/>
  <c r="AB755" i="8" s="1"/>
  <c r="AP755" i="8" s="1"/>
  <c r="AA756" i="8"/>
  <c r="AB756" i="8" s="1"/>
  <c r="AP756" i="8" s="1"/>
  <c r="AA757" i="8"/>
  <c r="AB757" i="8" s="1"/>
  <c r="AP757" i="8" s="1"/>
  <c r="AA758" i="8"/>
  <c r="AB758" i="8" s="1"/>
  <c r="AP758" i="8" s="1"/>
  <c r="AA759" i="8"/>
  <c r="AB759" i="8" s="1"/>
  <c r="AP759" i="8" s="1"/>
  <c r="AA760" i="8"/>
  <c r="AB760" i="8" s="1"/>
  <c r="AP760" i="8" s="1"/>
  <c r="AA761" i="8"/>
  <c r="AB761" i="8" s="1"/>
  <c r="AP761" i="8" s="1"/>
  <c r="AA762" i="8"/>
  <c r="AB762" i="8" s="1"/>
  <c r="AP762" i="8" s="1"/>
  <c r="AA763" i="8"/>
  <c r="AB763" i="8" s="1"/>
  <c r="AP763" i="8" s="1"/>
  <c r="AA764" i="8"/>
  <c r="AB764" i="8" s="1"/>
  <c r="AP764" i="8" s="1"/>
  <c r="AA765" i="8"/>
  <c r="AB765" i="8" s="1"/>
  <c r="AP765" i="8" s="1"/>
  <c r="AA766" i="8"/>
  <c r="AB766" i="8" s="1"/>
  <c r="AP766" i="8" s="1"/>
  <c r="AA767" i="8"/>
  <c r="AA768" i="8"/>
  <c r="AB768" i="8" s="1"/>
  <c r="AP768" i="8" s="1"/>
  <c r="AA769" i="8"/>
  <c r="AB769" i="8" s="1"/>
  <c r="AP769" i="8" s="1"/>
  <c r="AA770" i="8"/>
  <c r="AB770" i="8" s="1"/>
  <c r="AP770" i="8" s="1"/>
  <c r="AA771" i="8"/>
  <c r="AB771" i="8" s="1"/>
  <c r="AP771" i="8" s="1"/>
  <c r="AA772" i="8"/>
  <c r="AB772" i="8" s="1"/>
  <c r="AP772" i="8" s="1"/>
  <c r="AA773" i="8"/>
  <c r="AB773" i="8" s="1"/>
  <c r="AP773" i="8" s="1"/>
  <c r="AA774" i="8"/>
  <c r="AB774" i="8" s="1"/>
  <c r="AP774" i="8" s="1"/>
  <c r="AA775" i="8"/>
  <c r="AB775" i="8" s="1"/>
  <c r="AP775" i="8" s="1"/>
  <c r="AA776" i="8"/>
  <c r="AA777" i="8"/>
  <c r="AB777" i="8" s="1"/>
  <c r="AP777" i="8" s="1"/>
  <c r="AA778" i="8"/>
  <c r="AB778" i="8" s="1"/>
  <c r="AP778" i="8" s="1"/>
  <c r="AA779" i="8"/>
  <c r="AB779" i="8" s="1"/>
  <c r="AP779" i="8" s="1"/>
  <c r="AA780" i="8"/>
  <c r="AB780" i="8" s="1"/>
  <c r="AP780" i="8" s="1"/>
  <c r="AA781" i="8"/>
  <c r="AB781" i="8" s="1"/>
  <c r="AP781" i="8" s="1"/>
  <c r="AA782" i="8"/>
  <c r="AB782" i="8" s="1"/>
  <c r="AP782" i="8" s="1"/>
  <c r="AA783" i="8"/>
  <c r="AB783" i="8" s="1"/>
  <c r="AP783" i="8" s="1"/>
  <c r="AA784" i="8"/>
  <c r="AB784" i="8" s="1"/>
  <c r="AP784" i="8" s="1"/>
  <c r="AA785" i="8"/>
  <c r="AB785" i="8" s="1"/>
  <c r="AP785" i="8" s="1"/>
  <c r="AA786" i="8"/>
  <c r="AA787" i="8"/>
  <c r="AB787" i="8" s="1"/>
  <c r="AP787" i="8" s="1"/>
  <c r="AA788" i="8"/>
  <c r="AB788" i="8" s="1"/>
  <c r="AP788" i="8" s="1"/>
  <c r="AA789" i="8"/>
  <c r="AB789" i="8" s="1"/>
  <c r="AP789" i="8" s="1"/>
  <c r="AA790" i="8"/>
  <c r="AB790" i="8" s="1"/>
  <c r="AP790" i="8" s="1"/>
  <c r="AA791" i="8"/>
  <c r="AA792" i="8"/>
  <c r="AB792" i="8" s="1"/>
  <c r="AP792" i="8" s="1"/>
  <c r="AA793" i="8"/>
  <c r="AB793" i="8" s="1"/>
  <c r="AP793" i="8" s="1"/>
  <c r="AA794" i="8"/>
  <c r="AB794" i="8" s="1"/>
  <c r="AP794" i="8" s="1"/>
  <c r="AA795" i="8"/>
  <c r="AB795" i="8" s="1"/>
  <c r="AP795" i="8" s="1"/>
  <c r="AA796" i="8"/>
  <c r="AB796" i="8" s="1"/>
  <c r="AP796" i="8" s="1"/>
  <c r="AA797" i="8"/>
  <c r="AB797" i="8" s="1"/>
  <c r="AP797" i="8" s="1"/>
  <c r="AA798" i="8"/>
  <c r="AB798" i="8" s="1"/>
  <c r="AP798" i="8" s="1"/>
  <c r="AA799" i="8"/>
  <c r="AB799" i="8" s="1"/>
  <c r="AP799" i="8" s="1"/>
  <c r="AA800" i="8"/>
  <c r="AB800" i="8" s="1"/>
  <c r="AP800" i="8" s="1"/>
  <c r="AA801" i="8"/>
  <c r="AB801" i="8" s="1"/>
  <c r="AP801" i="8" s="1"/>
  <c r="AA802" i="8"/>
  <c r="AB802" i="8" s="1"/>
  <c r="AP802" i="8" s="1"/>
  <c r="AA803" i="8"/>
  <c r="AB803" i="8" s="1"/>
  <c r="AP803" i="8" s="1"/>
  <c r="AA804" i="8"/>
  <c r="AB804" i="8" s="1"/>
  <c r="AP804" i="8" s="1"/>
  <c r="AA805" i="8"/>
  <c r="AB805" i="8" s="1"/>
  <c r="AP805" i="8" s="1"/>
  <c r="AA806" i="8"/>
  <c r="AB806" i="8" s="1"/>
  <c r="AP806" i="8" s="1"/>
  <c r="AA807" i="8"/>
  <c r="AB807" i="8" s="1"/>
  <c r="AP807" i="8" s="1"/>
  <c r="AA808" i="8"/>
  <c r="AB808" i="8" s="1"/>
  <c r="AP808" i="8" s="1"/>
  <c r="AA809" i="8"/>
  <c r="AB809" i="8" s="1"/>
  <c r="AP809" i="8" s="1"/>
  <c r="AA810" i="8"/>
  <c r="AB810" i="8" s="1"/>
  <c r="AP810" i="8" s="1"/>
  <c r="AA811" i="8"/>
  <c r="AB811" i="8" s="1"/>
  <c r="AP811" i="8" s="1"/>
  <c r="AA812" i="8"/>
  <c r="AB812" i="8" s="1"/>
  <c r="AP812" i="8" s="1"/>
  <c r="AA813" i="8"/>
  <c r="AB813" i="8" s="1"/>
  <c r="AP813" i="8" s="1"/>
  <c r="AA814" i="8"/>
  <c r="AB814" i="8" s="1"/>
  <c r="AP814" i="8" s="1"/>
  <c r="AA815" i="8"/>
  <c r="AB815" i="8" s="1"/>
  <c r="AP815" i="8" s="1"/>
  <c r="AA816" i="8"/>
  <c r="AA817" i="8"/>
  <c r="AB817" i="8" s="1"/>
  <c r="AP817" i="8" s="1"/>
  <c r="AA818" i="8"/>
  <c r="AB818" i="8" s="1"/>
  <c r="AP818" i="8" s="1"/>
  <c r="AA819" i="8"/>
  <c r="AB819" i="8" s="1"/>
  <c r="AP819" i="8" s="1"/>
  <c r="AA820" i="8"/>
  <c r="AB820" i="8" s="1"/>
  <c r="AP820" i="8" s="1"/>
  <c r="AA821" i="8"/>
  <c r="AB821" i="8" s="1"/>
  <c r="AP821" i="8" s="1"/>
  <c r="AA822" i="8"/>
  <c r="AB822" i="8" s="1"/>
  <c r="AP822" i="8" s="1"/>
  <c r="AA823" i="8"/>
  <c r="AA824" i="8"/>
  <c r="AB824" i="8" s="1"/>
  <c r="AP824" i="8" s="1"/>
  <c r="AA825" i="8"/>
  <c r="AB825" i="8" s="1"/>
  <c r="AP825" i="8" s="1"/>
  <c r="AA826" i="8"/>
  <c r="AB826" i="8" s="1"/>
  <c r="AP826" i="8" s="1"/>
  <c r="AA827" i="8"/>
  <c r="AB827" i="8" s="1"/>
  <c r="AP827" i="8" s="1"/>
  <c r="AA828" i="8"/>
  <c r="AB828" i="8" s="1"/>
  <c r="AP828" i="8" s="1"/>
  <c r="AA829" i="8"/>
  <c r="AB829" i="8" s="1"/>
  <c r="AP829" i="8" s="1"/>
  <c r="AA830" i="8"/>
  <c r="AB830" i="8" s="1"/>
  <c r="AP830" i="8" s="1"/>
  <c r="AA831" i="8"/>
  <c r="AA832" i="8"/>
  <c r="AB832" i="8" s="1"/>
  <c r="AP832" i="8" s="1"/>
  <c r="AA833" i="8"/>
  <c r="AB833" i="8" s="1"/>
  <c r="AP833" i="8" s="1"/>
  <c r="AA834" i="8"/>
  <c r="AB834" i="8" s="1"/>
  <c r="AP834" i="8" s="1"/>
  <c r="AA835" i="8"/>
  <c r="AB835" i="8" s="1"/>
  <c r="AP835" i="8" s="1"/>
  <c r="AA836" i="8"/>
  <c r="AB836" i="8" s="1"/>
  <c r="AP836" i="8" s="1"/>
  <c r="AA837" i="8"/>
  <c r="AB837" i="8" s="1"/>
  <c r="AP837" i="8" s="1"/>
  <c r="AA838" i="8"/>
  <c r="AB838" i="8" s="1"/>
  <c r="AP838" i="8" s="1"/>
  <c r="AA839" i="8"/>
  <c r="AB839" i="8" s="1"/>
  <c r="AP839" i="8" s="1"/>
  <c r="AA840" i="8"/>
  <c r="AB840" i="8" s="1"/>
  <c r="AP840" i="8" s="1"/>
  <c r="AA841" i="8"/>
  <c r="AB841" i="8" s="1"/>
  <c r="AP841" i="8" s="1"/>
  <c r="AA842" i="8"/>
  <c r="AB842" i="8" s="1"/>
  <c r="AP842" i="8" s="1"/>
  <c r="AA843" i="8"/>
  <c r="AB843" i="8" s="1"/>
  <c r="AP843" i="8" s="1"/>
  <c r="AA844" i="8"/>
  <c r="AB844" i="8" s="1"/>
  <c r="AP844" i="8" s="1"/>
  <c r="AA845" i="8"/>
  <c r="AB845" i="8" s="1"/>
  <c r="AP845" i="8" s="1"/>
  <c r="AA846" i="8"/>
  <c r="AB666" i="8"/>
  <c r="AP666" i="8" s="1"/>
  <c r="AB786" i="8"/>
  <c r="AP786" i="8" s="1"/>
  <c r="AB846" i="8"/>
  <c r="AP846" i="8" s="1"/>
  <c r="AB360" i="8"/>
  <c r="AP360" i="8" s="1"/>
  <c r="AB384" i="8"/>
  <c r="AP384" i="8" s="1"/>
  <c r="AB416" i="8"/>
  <c r="AP416" i="8" s="1"/>
  <c r="AB432" i="8"/>
  <c r="AP432" i="8" s="1"/>
  <c r="AB448" i="8"/>
  <c r="AP448" i="8" s="1"/>
  <c r="AB472" i="8"/>
  <c r="AP472" i="8" s="1"/>
  <c r="AB477" i="8"/>
  <c r="AP477" i="8" s="1"/>
  <c r="AB488" i="8"/>
  <c r="AP488" i="8" s="1"/>
  <c r="AB512" i="8"/>
  <c r="AP512" i="8" s="1"/>
  <c r="AB536" i="8"/>
  <c r="AP536" i="8" s="1"/>
  <c r="AB56" i="8"/>
  <c r="AP56" i="8" s="1"/>
  <c r="AB84" i="8"/>
  <c r="AP84" i="8" s="1"/>
  <c r="AB108" i="8"/>
  <c r="AP108" i="8" s="1"/>
  <c r="AB136" i="8"/>
  <c r="AP136" i="8" s="1"/>
  <c r="AB156" i="8"/>
  <c r="AP156" i="8" s="1"/>
  <c r="AB184" i="8"/>
  <c r="AP184" i="8" s="1"/>
  <c r="AB208" i="8"/>
  <c r="AP208" i="8" s="1"/>
  <c r="AB236" i="8"/>
  <c r="AP236" i="8" s="1"/>
  <c r="AB260" i="8"/>
  <c r="AP260" i="8" s="1"/>
  <c r="AB280" i="8"/>
  <c r="AP280" i="8" s="1"/>
  <c r="AB308" i="8"/>
  <c r="AP308" i="8" s="1"/>
  <c r="AB332" i="8"/>
  <c r="AP332" i="8" s="1"/>
  <c r="AB17" i="8"/>
  <c r="AP17" i="8" s="1"/>
  <c r="AB24" i="8"/>
  <c r="AP24" i="8" s="1"/>
  <c r="AB38" i="8"/>
  <c r="AP38" i="8" s="1"/>
  <c r="AA2" i="8"/>
  <c r="AB2" i="8" s="1"/>
  <c r="AP2" i="8" s="1"/>
  <c r="Y2" i="4"/>
  <c r="Z2" i="4" s="1"/>
  <c r="Y3" i="4"/>
  <c r="Y4" i="4"/>
  <c r="Y5" i="4"/>
  <c r="Y6" i="4"/>
  <c r="Z6" i="4" s="1"/>
  <c r="Y7" i="4"/>
  <c r="Y8" i="4"/>
  <c r="Y9" i="4"/>
  <c r="Z9" i="4" s="1"/>
  <c r="Y10" i="4"/>
  <c r="Z10" i="4" s="1"/>
  <c r="Y11" i="4"/>
  <c r="Y12" i="4"/>
  <c r="Y13" i="4"/>
  <c r="Y14" i="4"/>
  <c r="Z14" i="4" s="1"/>
  <c r="Y15" i="4"/>
  <c r="Y16" i="4"/>
  <c r="Y17" i="4"/>
  <c r="Z17" i="4" s="1"/>
  <c r="Y18" i="4"/>
  <c r="Z18" i="4" s="1"/>
  <c r="Y19" i="4"/>
  <c r="Y20" i="4"/>
  <c r="Y21" i="4"/>
  <c r="Z21" i="4" s="1"/>
  <c r="Y22" i="4"/>
  <c r="Z22" i="4" s="1"/>
  <c r="Y23" i="4"/>
  <c r="Y24" i="4"/>
  <c r="Z24" i="4" s="1"/>
  <c r="Y25" i="4"/>
  <c r="Z25" i="4" s="1"/>
  <c r="Y26" i="4"/>
  <c r="Z26" i="4" s="1"/>
  <c r="Y27" i="4"/>
  <c r="Y28" i="4"/>
  <c r="Y29" i="4"/>
  <c r="Z29" i="4" s="1"/>
  <c r="Y30" i="4"/>
  <c r="Z30" i="4" s="1"/>
  <c r="Y31" i="4"/>
  <c r="Y32" i="4"/>
  <c r="Y33" i="4"/>
  <c r="Y34" i="4"/>
  <c r="Z34" i="4" s="1"/>
  <c r="Y35" i="4"/>
  <c r="Y36" i="4"/>
  <c r="Z36" i="4" s="1"/>
  <c r="Y37" i="4"/>
  <c r="Z37" i="4" s="1"/>
  <c r="Y38" i="4"/>
  <c r="Z38" i="4" s="1"/>
  <c r="Y39" i="4"/>
  <c r="Y40" i="4"/>
  <c r="Y41" i="4"/>
  <c r="Z41" i="4" s="1"/>
  <c r="Y42" i="4"/>
  <c r="Z42" i="4" s="1"/>
  <c r="Y43" i="4"/>
  <c r="Y44" i="4"/>
  <c r="Y45" i="4"/>
  <c r="Z45" i="4" s="1"/>
  <c r="Y46" i="4"/>
  <c r="Z46" i="4" s="1"/>
  <c r="Y47" i="4"/>
  <c r="Y48" i="4"/>
  <c r="Y49" i="4"/>
  <c r="Y50" i="4"/>
  <c r="Z50" i="4" s="1"/>
  <c r="Y51" i="4"/>
  <c r="Y52" i="4"/>
  <c r="Y53" i="4"/>
  <c r="Z53" i="4" s="1"/>
  <c r="Y54" i="4"/>
  <c r="Z54" i="4" s="1"/>
  <c r="Y55" i="4"/>
  <c r="Y56" i="4"/>
  <c r="Y57" i="4"/>
  <c r="Z57" i="4" s="1"/>
  <c r="Y58" i="4"/>
  <c r="Z58" i="4" s="1"/>
  <c r="Y59" i="4"/>
  <c r="Y60" i="4"/>
  <c r="Y61" i="4"/>
  <c r="Z61" i="4" s="1"/>
  <c r="Y62" i="4"/>
  <c r="Z62" i="4" s="1"/>
  <c r="Y63" i="4"/>
  <c r="Y64" i="4"/>
  <c r="Y65" i="4"/>
  <c r="Z65" i="4" s="1"/>
  <c r="Y66" i="4"/>
  <c r="Z66" i="4" s="1"/>
  <c r="Y67" i="4"/>
  <c r="Y68" i="4"/>
  <c r="Y69" i="4"/>
  <c r="Z69" i="4" s="1"/>
  <c r="Y70" i="4"/>
  <c r="Z70" i="4" s="1"/>
  <c r="Y71" i="4"/>
  <c r="Y72" i="4"/>
  <c r="Z72" i="4" s="1"/>
  <c r="Y73" i="4"/>
  <c r="Z73" i="4" s="1"/>
  <c r="Y74" i="4"/>
  <c r="Z74" i="4" s="1"/>
  <c r="Y75" i="4"/>
  <c r="Y76" i="4"/>
  <c r="Y77" i="4"/>
  <c r="Y78" i="4"/>
  <c r="Z78" i="4" s="1"/>
  <c r="Y79" i="4"/>
  <c r="Y80" i="4"/>
  <c r="Z80" i="4" s="1"/>
  <c r="Y81" i="4"/>
  <c r="Z81" i="4" s="1"/>
  <c r="Y82" i="4"/>
  <c r="Z82" i="4" s="1"/>
  <c r="Y83" i="4"/>
  <c r="Z77" i="4"/>
  <c r="Z32" i="4"/>
  <c r="Z40" i="4"/>
  <c r="Z23" i="4"/>
  <c r="Z7" i="4"/>
  <c r="Y154" i="3"/>
  <c r="Y155" i="3"/>
  <c r="Y156" i="3"/>
  <c r="Y157" i="3"/>
  <c r="Z157" i="3" s="1"/>
  <c r="Y158" i="3"/>
  <c r="Y159" i="3"/>
  <c r="Y160" i="3"/>
  <c r="Z160" i="3" s="1"/>
  <c r="Y161" i="3"/>
  <c r="Y162" i="3"/>
  <c r="Y163" i="3"/>
  <c r="Y164" i="3"/>
  <c r="Z164" i="3" s="1"/>
  <c r="Y165" i="3"/>
  <c r="Z165" i="3" s="1"/>
  <c r="Y166" i="3"/>
  <c r="Y167" i="3"/>
  <c r="Y168" i="3"/>
  <c r="Z168" i="3" s="1"/>
  <c r="Y169" i="3"/>
  <c r="Z169" i="3" s="1"/>
  <c r="Y170" i="3"/>
  <c r="Y171" i="3"/>
  <c r="Y172" i="3"/>
  <c r="Z172" i="3" s="1"/>
  <c r="Y173" i="3"/>
  <c r="Z173" i="3" s="1"/>
  <c r="Y174" i="3"/>
  <c r="Y175" i="3"/>
  <c r="Y176" i="3"/>
  <c r="Z176" i="3" s="1"/>
  <c r="Y177" i="3"/>
  <c r="Y178" i="3"/>
  <c r="Y179" i="3"/>
  <c r="Y180" i="3"/>
  <c r="Z180" i="3" s="1"/>
  <c r="Y181" i="3"/>
  <c r="Z181" i="3" s="1"/>
  <c r="Y182" i="3"/>
  <c r="Y183" i="3"/>
  <c r="Y184" i="3"/>
  <c r="Z184" i="3" s="1"/>
  <c r="Y185" i="3"/>
  <c r="Z185" i="3" s="1"/>
  <c r="Y186" i="3"/>
  <c r="Y187" i="3"/>
  <c r="Y188" i="3"/>
  <c r="Y189" i="3"/>
  <c r="Z189" i="3" s="1"/>
  <c r="Y190" i="3"/>
  <c r="Y191" i="3"/>
  <c r="Y192" i="3"/>
  <c r="Z192" i="3" s="1"/>
  <c r="Y193" i="3"/>
  <c r="Z193" i="3" s="1"/>
  <c r="Y194" i="3"/>
  <c r="Y195" i="3"/>
  <c r="Y196" i="3"/>
  <c r="Z196" i="3" s="1"/>
  <c r="Y197" i="3"/>
  <c r="Z197" i="3" s="1"/>
  <c r="Y198" i="3"/>
  <c r="Y199" i="3"/>
  <c r="Y200" i="3"/>
  <c r="Z200" i="3" s="1"/>
  <c r="Y201" i="3"/>
  <c r="Z201" i="3" s="1"/>
  <c r="Y202" i="3"/>
  <c r="Y203" i="3"/>
  <c r="Y204" i="3"/>
  <c r="Z204" i="3" s="1"/>
  <c r="Y205" i="3"/>
  <c r="Z205" i="3" s="1"/>
  <c r="Y206" i="3"/>
  <c r="Y207" i="3"/>
  <c r="Y208" i="3"/>
  <c r="Z208" i="3" s="1"/>
  <c r="Y209" i="3"/>
  <c r="Z209" i="3" s="1"/>
  <c r="Y210" i="3"/>
  <c r="Y211" i="3"/>
  <c r="Y212" i="3"/>
  <c r="Y213" i="3"/>
  <c r="Z213" i="3" s="1"/>
  <c r="Y214" i="3"/>
  <c r="Y215" i="3"/>
  <c r="Y216" i="3"/>
  <c r="Z216" i="3" s="1"/>
  <c r="Y217" i="3"/>
  <c r="Z217" i="3" s="1"/>
  <c r="Y218" i="3"/>
  <c r="Y219" i="3"/>
  <c r="Y220" i="3"/>
  <c r="Z220" i="3" s="1"/>
  <c r="Y221" i="3"/>
  <c r="Y222" i="3"/>
  <c r="Y223" i="3"/>
  <c r="Y224" i="3"/>
  <c r="Z224" i="3" s="1"/>
  <c r="Y107" i="3"/>
  <c r="Y108" i="3"/>
  <c r="Y109" i="3"/>
  <c r="Z109" i="3" s="1"/>
  <c r="Y110" i="3"/>
  <c r="Z110" i="3" s="1"/>
  <c r="Y111" i="3"/>
  <c r="Y112" i="3"/>
  <c r="Y113" i="3"/>
  <c r="Y114" i="3"/>
  <c r="Z114" i="3" s="1"/>
  <c r="Y115" i="3"/>
  <c r="Y116" i="3"/>
  <c r="Y117" i="3"/>
  <c r="Z117" i="3" s="1"/>
  <c r="Y118" i="3"/>
  <c r="Z118" i="3" s="1"/>
  <c r="Y119" i="3"/>
  <c r="Y120" i="3"/>
  <c r="Y121" i="3"/>
  <c r="Y122" i="3"/>
  <c r="Z122" i="3" s="1"/>
  <c r="Y123" i="3"/>
  <c r="Y124" i="3"/>
  <c r="Y125" i="3"/>
  <c r="Z125" i="3" s="1"/>
  <c r="Y126" i="3"/>
  <c r="Y127" i="3"/>
  <c r="Y128" i="3"/>
  <c r="Y129" i="3"/>
  <c r="Z129" i="3" s="1"/>
  <c r="Y130" i="3"/>
  <c r="Z130" i="3" s="1"/>
  <c r="Y131" i="3"/>
  <c r="Y132" i="3"/>
  <c r="Y133" i="3"/>
  <c r="Y134" i="3"/>
  <c r="Z134" i="3" s="1"/>
  <c r="Y135" i="3"/>
  <c r="Y136" i="3"/>
  <c r="Y137" i="3"/>
  <c r="Y138" i="3"/>
  <c r="Z138" i="3" s="1"/>
  <c r="Y139" i="3"/>
  <c r="Y140" i="3"/>
  <c r="Y141" i="3"/>
  <c r="Z141" i="3" s="1"/>
  <c r="Y142" i="3"/>
  <c r="Z142" i="3" s="1"/>
  <c r="Y143" i="3"/>
  <c r="Y144" i="3"/>
  <c r="Y145" i="3"/>
  <c r="Z145" i="3" s="1"/>
  <c r="Y146" i="3"/>
  <c r="Z146" i="3" s="1"/>
  <c r="Y147" i="3"/>
  <c r="Y148" i="3"/>
  <c r="Y149" i="3"/>
  <c r="Y150" i="3"/>
  <c r="Z150" i="3" s="1"/>
  <c r="Y151" i="3"/>
  <c r="Y152" i="3"/>
  <c r="Y153" i="3"/>
  <c r="Y93" i="3"/>
  <c r="Z93" i="3" s="1"/>
  <c r="Y94" i="3"/>
  <c r="Y95" i="3"/>
  <c r="Y96" i="3"/>
  <c r="Z96" i="3" s="1"/>
  <c r="Y97" i="3"/>
  <c r="Z97" i="3" s="1"/>
  <c r="Y98" i="3"/>
  <c r="Y99" i="3"/>
  <c r="Y100" i="3"/>
  <c r="Z100" i="3" s="1"/>
  <c r="Y101" i="3"/>
  <c r="Z101" i="3" s="1"/>
  <c r="Y102" i="3"/>
  <c r="Y103" i="3"/>
  <c r="Y104" i="3"/>
  <c r="Y105" i="3"/>
  <c r="Z105" i="3" s="1"/>
  <c r="Y106" i="3"/>
  <c r="Y66" i="3"/>
  <c r="Y67" i="3"/>
  <c r="Y68" i="3"/>
  <c r="Z68" i="3" s="1"/>
  <c r="Y69" i="3"/>
  <c r="Z69" i="3" s="1"/>
  <c r="Y70" i="3"/>
  <c r="Y71" i="3"/>
  <c r="Y72" i="3"/>
  <c r="Z72" i="3" s="1"/>
  <c r="Y73" i="3"/>
  <c r="Z73" i="3" s="1"/>
  <c r="Y74" i="3"/>
  <c r="Y75" i="3"/>
  <c r="Y76" i="3"/>
  <c r="Z76" i="3" s="1"/>
  <c r="Y77" i="3"/>
  <c r="Y78" i="3"/>
  <c r="Y79" i="3"/>
  <c r="Y80" i="3"/>
  <c r="Z80" i="3" s="1"/>
  <c r="Y81" i="3"/>
  <c r="Z81" i="3" s="1"/>
  <c r="Y82" i="3"/>
  <c r="Y83" i="3"/>
  <c r="Y84" i="3"/>
  <c r="Z84" i="3" s="1"/>
  <c r="Y85" i="3"/>
  <c r="Z85" i="3" s="1"/>
  <c r="Y86" i="3"/>
  <c r="Y87" i="3"/>
  <c r="Y88" i="3"/>
  <c r="Y89" i="3"/>
  <c r="Z89" i="3" s="1"/>
  <c r="Y90" i="3"/>
  <c r="Y91" i="3"/>
  <c r="Y92" i="3"/>
  <c r="Z92" i="3" s="1"/>
  <c r="Y45" i="3"/>
  <c r="Y46" i="3"/>
  <c r="Y47" i="3"/>
  <c r="Z47" i="3" s="1"/>
  <c r="Y48" i="3"/>
  <c r="Z48" i="3" s="1"/>
  <c r="Y49" i="3"/>
  <c r="Y50" i="3"/>
  <c r="Y51" i="3"/>
  <c r="Y52" i="3"/>
  <c r="Z52" i="3" s="1"/>
  <c r="Y53" i="3"/>
  <c r="Y54" i="3"/>
  <c r="Y55" i="3"/>
  <c r="Y56" i="3"/>
  <c r="Z56" i="3" s="1"/>
  <c r="Y57" i="3"/>
  <c r="Y58" i="3"/>
  <c r="Y59" i="3"/>
  <c r="Z59" i="3" s="1"/>
  <c r="Y60" i="3"/>
  <c r="Z60" i="3" s="1"/>
  <c r="Y61" i="3"/>
  <c r="Y62" i="3"/>
  <c r="Y63" i="3"/>
  <c r="Z63" i="3" s="1"/>
  <c r="Y64" i="3"/>
  <c r="Z64" i="3" s="1"/>
  <c r="Y65" i="3"/>
  <c r="Y28" i="3"/>
  <c r="Y29" i="3"/>
  <c r="Y30" i="3"/>
  <c r="Z30" i="3" s="1"/>
  <c r="Y31" i="3"/>
  <c r="Z31" i="3" s="1"/>
  <c r="Y32" i="3"/>
  <c r="Y33" i="3"/>
  <c r="Y34" i="3"/>
  <c r="Z34" i="3" s="1"/>
  <c r="Y35" i="3"/>
  <c r="Y36" i="3"/>
  <c r="Y37" i="3"/>
  <c r="Y38" i="3"/>
  <c r="Z38" i="3" s="1"/>
  <c r="Y39" i="3"/>
  <c r="Z39" i="3" s="1"/>
  <c r="Y40" i="3"/>
  <c r="Y41" i="3"/>
  <c r="Y42" i="3"/>
  <c r="Z42" i="3" s="1"/>
  <c r="Y43" i="3"/>
  <c r="Z43" i="3" s="1"/>
  <c r="Y44" i="3"/>
  <c r="Y10" i="3"/>
  <c r="Z10" i="3" s="1"/>
  <c r="Y11" i="3"/>
  <c r="Z11" i="3" s="1"/>
  <c r="Y12" i="3"/>
  <c r="Y13" i="3"/>
  <c r="Z13" i="3" s="1"/>
  <c r="Y14" i="3"/>
  <c r="Y15" i="3"/>
  <c r="Z15" i="3" s="1"/>
  <c r="Y16" i="3"/>
  <c r="Y17" i="3"/>
  <c r="Z17" i="3" s="1"/>
  <c r="Y18" i="3"/>
  <c r="Y19" i="3"/>
  <c r="Z19" i="3" s="1"/>
  <c r="Y20" i="3"/>
  <c r="Y21" i="3"/>
  <c r="Y22" i="3"/>
  <c r="Y23" i="3"/>
  <c r="Y24" i="3"/>
  <c r="Y25" i="3"/>
  <c r="Z25" i="3" s="1"/>
  <c r="Y26" i="3"/>
  <c r="Y27" i="3"/>
  <c r="Y3" i="3"/>
  <c r="Y4" i="3"/>
  <c r="Y5" i="3"/>
  <c r="Y6" i="3"/>
  <c r="Z6" i="3" s="1"/>
  <c r="Y7" i="3"/>
  <c r="Y8" i="3"/>
  <c r="Y9" i="3"/>
  <c r="Y2" i="3"/>
  <c r="Z2" i="3" s="1"/>
  <c r="Y336" i="2"/>
  <c r="Y337" i="2"/>
  <c r="Y338" i="2"/>
  <c r="Y339" i="2"/>
  <c r="Z339" i="2" s="1"/>
  <c r="Y340" i="2"/>
  <c r="Y341" i="2"/>
  <c r="Y170" i="2"/>
  <c r="Z170" i="2" s="1"/>
  <c r="Y171" i="2"/>
  <c r="Y172" i="2"/>
  <c r="Y173" i="2"/>
  <c r="Z173" i="2" s="1"/>
  <c r="Y174" i="2"/>
  <c r="Z174" i="2" s="1"/>
  <c r="Y175" i="2"/>
  <c r="Y176" i="2"/>
  <c r="Y177" i="2"/>
  <c r="Y178" i="2"/>
  <c r="Z178" i="2" s="1"/>
  <c r="Y179" i="2"/>
  <c r="Y180" i="2"/>
  <c r="Z180" i="2" s="1"/>
  <c r="Y181" i="2"/>
  <c r="Z181" i="2" s="1"/>
  <c r="Y182" i="2"/>
  <c r="Y183" i="2"/>
  <c r="Y184" i="2"/>
  <c r="Z184" i="2" s="1"/>
  <c r="Y185" i="2"/>
  <c r="Z185" i="2" s="1"/>
  <c r="Y186" i="2"/>
  <c r="Z186" i="2" s="1"/>
  <c r="Y187" i="2"/>
  <c r="Y188" i="2"/>
  <c r="Y189" i="2"/>
  <c r="Z189" i="2" s="1"/>
  <c r="Y190" i="2"/>
  <c r="Z190" i="2" s="1"/>
  <c r="Y191" i="2"/>
  <c r="Y192" i="2"/>
  <c r="Y193" i="2"/>
  <c r="Y194" i="2"/>
  <c r="Z194" i="2" s="1"/>
  <c r="Y195" i="2"/>
  <c r="Y196" i="2"/>
  <c r="Z196" i="2" s="1"/>
  <c r="Y197" i="2"/>
  <c r="Z197" i="2" s="1"/>
  <c r="Y198" i="2"/>
  <c r="Y199" i="2"/>
  <c r="Y200" i="2"/>
  <c r="Z200" i="2" s="1"/>
  <c r="Y201" i="2"/>
  <c r="Z201" i="2" s="1"/>
  <c r="Y202" i="2"/>
  <c r="Z202" i="2" s="1"/>
  <c r="Y203" i="2"/>
  <c r="Y204" i="2"/>
  <c r="Y205" i="2"/>
  <c r="Z205" i="2" s="1"/>
  <c r="Y206" i="2"/>
  <c r="Z206" i="2" s="1"/>
  <c r="Y207" i="2"/>
  <c r="Y208" i="2"/>
  <c r="Y209" i="2"/>
  <c r="Y210" i="2"/>
  <c r="Z210" i="2" s="1"/>
  <c r="Y211" i="2"/>
  <c r="Y212" i="2"/>
  <c r="Z212" i="2" s="1"/>
  <c r="Y213" i="2"/>
  <c r="Z213" i="2" s="1"/>
  <c r="Y214" i="2"/>
  <c r="Y215" i="2"/>
  <c r="Y216" i="2"/>
  <c r="Z216" i="2" s="1"/>
  <c r="Y217" i="2"/>
  <c r="Z217" i="2" s="1"/>
  <c r="Y218" i="2"/>
  <c r="Z218" i="2" s="1"/>
  <c r="Y219" i="2"/>
  <c r="Y220" i="2"/>
  <c r="Y221" i="2"/>
  <c r="Z221" i="2" s="1"/>
  <c r="Y222" i="2"/>
  <c r="Z222" i="2" s="1"/>
  <c r="Y223" i="2"/>
  <c r="Y224" i="2"/>
  <c r="Y225" i="2"/>
  <c r="Y226" i="2"/>
  <c r="Z226" i="2" s="1"/>
  <c r="Y227" i="2"/>
  <c r="Y228" i="2"/>
  <c r="Z228" i="2" s="1"/>
  <c r="Y229" i="2"/>
  <c r="Z229" i="2" s="1"/>
  <c r="Y230" i="2"/>
  <c r="Y231" i="2"/>
  <c r="Y232" i="2"/>
  <c r="Z232" i="2" s="1"/>
  <c r="Y233" i="2"/>
  <c r="Z233" i="2" s="1"/>
  <c r="Y234" i="2"/>
  <c r="Z234" i="2" s="1"/>
  <c r="Y235" i="2"/>
  <c r="Y236" i="2"/>
  <c r="Y237" i="2"/>
  <c r="Z237" i="2" s="1"/>
  <c r="Y238" i="2"/>
  <c r="Z238" i="2" s="1"/>
  <c r="Y239" i="2"/>
  <c r="Y240" i="2"/>
  <c r="Y241" i="2"/>
  <c r="Y242" i="2"/>
  <c r="Z242" i="2" s="1"/>
  <c r="Y243" i="2"/>
  <c r="Y244" i="2"/>
  <c r="Z244" i="2" s="1"/>
  <c r="Y245" i="2"/>
  <c r="Z245" i="2" s="1"/>
  <c r="Y246" i="2"/>
  <c r="Y247" i="2"/>
  <c r="Y248" i="2"/>
  <c r="Z248" i="2" s="1"/>
  <c r="Y249" i="2"/>
  <c r="Z249" i="2" s="1"/>
  <c r="Y250" i="2"/>
  <c r="Z250" i="2" s="1"/>
  <c r="Y251" i="2"/>
  <c r="Y252" i="2"/>
  <c r="Y253" i="2"/>
  <c r="Z253" i="2" s="1"/>
  <c r="Y254" i="2"/>
  <c r="Z254" i="2" s="1"/>
  <c r="Y255" i="2"/>
  <c r="Y256" i="2"/>
  <c r="Y257" i="2"/>
  <c r="Y258" i="2"/>
  <c r="Z258" i="2" s="1"/>
  <c r="Y259" i="2"/>
  <c r="Y260" i="2"/>
  <c r="Z260" i="2" s="1"/>
  <c r="Y261" i="2"/>
  <c r="Z261" i="2" s="1"/>
  <c r="Y262" i="2"/>
  <c r="Y263" i="2"/>
  <c r="Y264" i="2"/>
  <c r="Z264" i="2" s="1"/>
  <c r="Y265" i="2"/>
  <c r="Z265" i="2" s="1"/>
  <c r="Y266" i="2"/>
  <c r="Z266" i="2" s="1"/>
  <c r="Y267" i="2"/>
  <c r="Y268" i="2"/>
  <c r="Y269" i="2"/>
  <c r="Z269" i="2" s="1"/>
  <c r="Y270" i="2"/>
  <c r="Z270" i="2" s="1"/>
  <c r="Y271" i="2"/>
  <c r="Y272" i="2"/>
  <c r="Y273" i="2"/>
  <c r="Y274" i="2"/>
  <c r="Z274" i="2" s="1"/>
  <c r="Y275" i="2"/>
  <c r="Y276" i="2"/>
  <c r="Z276" i="2" s="1"/>
  <c r="Y277" i="2"/>
  <c r="Z277" i="2" s="1"/>
  <c r="Y278" i="2"/>
  <c r="Y279" i="2"/>
  <c r="Y280" i="2"/>
  <c r="Z280" i="2" s="1"/>
  <c r="Y281" i="2"/>
  <c r="Z281" i="2" s="1"/>
  <c r="Y282" i="2"/>
  <c r="Z282" i="2" s="1"/>
  <c r="Y283" i="2"/>
  <c r="Y284" i="2"/>
  <c r="Y285" i="2"/>
  <c r="Z285" i="2" s="1"/>
  <c r="Y286" i="2"/>
  <c r="Z286" i="2" s="1"/>
  <c r="Y287" i="2"/>
  <c r="Y288" i="2"/>
  <c r="Y289" i="2"/>
  <c r="Y290" i="2"/>
  <c r="Z290" i="2" s="1"/>
  <c r="Y291" i="2"/>
  <c r="Y292" i="2"/>
  <c r="Z292" i="2" s="1"/>
  <c r="Y293" i="2"/>
  <c r="Z293" i="2" s="1"/>
  <c r="Y294" i="2"/>
  <c r="Y295" i="2"/>
  <c r="Y296" i="2"/>
  <c r="Z296" i="2" s="1"/>
  <c r="Y297" i="2"/>
  <c r="Z297" i="2" s="1"/>
  <c r="Y298" i="2"/>
  <c r="Z298" i="2" s="1"/>
  <c r="Y299" i="2"/>
  <c r="Y300" i="2"/>
  <c r="Y301" i="2"/>
  <c r="Z301" i="2" s="1"/>
  <c r="Y302" i="2"/>
  <c r="Z302" i="2" s="1"/>
  <c r="Y303" i="2"/>
  <c r="Y304" i="2"/>
  <c r="Y305" i="2"/>
  <c r="Y306" i="2"/>
  <c r="Z306" i="2" s="1"/>
  <c r="Y307" i="2"/>
  <c r="Y308" i="2"/>
  <c r="Z308" i="2" s="1"/>
  <c r="Y309" i="2"/>
  <c r="Z309" i="2" s="1"/>
  <c r="Y310" i="2"/>
  <c r="Y311" i="2"/>
  <c r="Y312" i="2"/>
  <c r="Z312" i="2" s="1"/>
  <c r="Y313" i="2"/>
  <c r="Z313" i="2" s="1"/>
  <c r="Y314" i="2"/>
  <c r="Z314" i="2" s="1"/>
  <c r="Y315" i="2"/>
  <c r="Y316" i="2"/>
  <c r="Y317" i="2"/>
  <c r="Z317" i="2" s="1"/>
  <c r="Y318" i="2"/>
  <c r="Z318" i="2" s="1"/>
  <c r="Y319" i="2"/>
  <c r="Y320" i="2"/>
  <c r="Z320" i="2" s="1"/>
  <c r="Y321" i="2"/>
  <c r="Z321" i="2" s="1"/>
  <c r="Y322" i="2"/>
  <c r="Z322" i="2" s="1"/>
  <c r="Y323" i="2"/>
  <c r="Y324" i="2"/>
  <c r="Z324" i="2" s="1"/>
  <c r="Y325" i="2"/>
  <c r="Z325" i="2" s="1"/>
  <c r="Y326" i="2"/>
  <c r="Y327" i="2"/>
  <c r="Y328" i="2"/>
  <c r="Y329" i="2"/>
  <c r="Y330" i="2"/>
  <c r="Z330" i="2" s="1"/>
  <c r="Y331" i="2"/>
  <c r="Y332" i="2"/>
  <c r="Z332" i="2" s="1"/>
  <c r="Y333" i="2"/>
  <c r="Z333" i="2" s="1"/>
  <c r="Y334" i="2"/>
  <c r="Z334" i="2" s="1"/>
  <c r="Y335" i="2"/>
  <c r="Y16" i="2"/>
  <c r="Y17" i="2"/>
  <c r="Y18" i="2"/>
  <c r="Z18" i="2" s="1"/>
  <c r="Y19" i="2"/>
  <c r="Z19" i="2" s="1"/>
  <c r="Y20" i="2"/>
  <c r="Y21" i="2"/>
  <c r="Y22" i="2"/>
  <c r="Y23" i="2"/>
  <c r="Z23" i="2" s="1"/>
  <c r="Y24" i="2"/>
  <c r="Y25" i="2"/>
  <c r="Y26" i="2"/>
  <c r="Z26" i="2" s="1"/>
  <c r="Y27" i="2"/>
  <c r="Z27" i="2" s="1"/>
  <c r="Y28" i="2"/>
  <c r="Y29" i="2"/>
  <c r="Y30" i="2"/>
  <c r="Z30" i="2" s="1"/>
  <c r="Y31" i="2"/>
  <c r="Z31" i="2" s="1"/>
  <c r="Y32" i="2"/>
  <c r="Y33" i="2"/>
  <c r="Y34" i="2"/>
  <c r="Z34" i="2" s="1"/>
  <c r="Y35" i="2"/>
  <c r="Y36" i="2"/>
  <c r="Y37" i="2"/>
  <c r="Y38" i="2"/>
  <c r="Z38" i="2" s="1"/>
  <c r="Y39" i="2"/>
  <c r="Z39" i="2" s="1"/>
  <c r="Y40" i="2"/>
  <c r="Y41" i="2"/>
  <c r="Y42" i="2"/>
  <c r="Z42" i="2" s="1"/>
  <c r="Y43" i="2"/>
  <c r="Z43" i="2" s="1"/>
  <c r="Y44" i="2"/>
  <c r="Y45" i="2"/>
  <c r="Y46" i="2"/>
  <c r="Z46" i="2" s="1"/>
  <c r="Y47" i="2"/>
  <c r="Z47" i="2" s="1"/>
  <c r="Y48" i="2"/>
  <c r="Y49" i="2"/>
  <c r="Y50" i="2"/>
  <c r="Z50" i="2" s="1"/>
  <c r="Y51" i="2"/>
  <c r="Z51" i="2" s="1"/>
  <c r="Y52" i="2"/>
  <c r="Y53" i="2"/>
  <c r="Y54" i="2"/>
  <c r="Z54" i="2" s="1"/>
  <c r="Y55" i="2"/>
  <c r="Z55" i="2" s="1"/>
  <c r="Y56" i="2"/>
  <c r="Y57" i="2"/>
  <c r="Y58" i="2"/>
  <c r="Y59" i="2"/>
  <c r="Y60" i="2"/>
  <c r="Y61" i="2"/>
  <c r="Y62" i="2"/>
  <c r="Z62" i="2" s="1"/>
  <c r="Y63" i="2"/>
  <c r="Z63" i="2" s="1"/>
  <c r="Y64" i="2"/>
  <c r="Y65" i="2"/>
  <c r="Y66" i="2"/>
  <c r="Z66" i="2" s="1"/>
  <c r="Y67" i="2"/>
  <c r="Z67" i="2" s="1"/>
  <c r="Y68" i="2"/>
  <c r="Y69" i="2"/>
  <c r="Y70" i="2"/>
  <c r="Z70" i="2" s="1"/>
  <c r="Y71" i="2"/>
  <c r="Z71" i="2" s="1"/>
  <c r="Y72" i="2"/>
  <c r="Y73" i="2"/>
  <c r="Y74" i="2"/>
  <c r="Z74" i="2" s="1"/>
  <c r="Y75" i="2"/>
  <c r="Y76" i="2"/>
  <c r="Y77" i="2"/>
  <c r="Y78" i="2"/>
  <c r="Z78" i="2" s="1"/>
  <c r="Y79" i="2"/>
  <c r="Z79" i="2" s="1"/>
  <c r="Y80" i="2"/>
  <c r="Y81" i="2"/>
  <c r="Y82" i="2"/>
  <c r="Z82" i="2" s="1"/>
  <c r="Y83" i="2"/>
  <c r="Z83" i="2" s="1"/>
  <c r="Y84" i="2"/>
  <c r="Y85" i="2"/>
  <c r="Y86" i="2"/>
  <c r="Z86" i="2" s="1"/>
  <c r="Y87" i="2"/>
  <c r="Z87" i="2" s="1"/>
  <c r="Y88" i="2"/>
  <c r="Y89" i="2"/>
  <c r="Y90" i="2"/>
  <c r="Y91" i="2"/>
  <c r="Y92" i="2"/>
  <c r="Y93" i="2"/>
  <c r="Y94" i="2"/>
  <c r="Z94" i="2" s="1"/>
  <c r="Y95" i="2"/>
  <c r="Z95" i="2" s="1"/>
  <c r="Y96" i="2"/>
  <c r="Y97" i="2"/>
  <c r="Y98" i="2"/>
  <c r="Z98" i="2" s="1"/>
  <c r="Y99" i="2"/>
  <c r="Z99" i="2" s="1"/>
  <c r="Y100" i="2"/>
  <c r="Y101" i="2"/>
  <c r="Y102" i="2"/>
  <c r="Z102" i="2" s="1"/>
  <c r="Y103" i="2"/>
  <c r="Z103" i="2" s="1"/>
  <c r="Y104" i="2"/>
  <c r="Y105" i="2"/>
  <c r="Y106" i="2"/>
  <c r="Z106" i="2" s="1"/>
  <c r="Y107" i="2"/>
  <c r="Y108" i="2"/>
  <c r="Y109" i="2"/>
  <c r="Y110" i="2"/>
  <c r="Z110" i="2" s="1"/>
  <c r="Y111" i="2"/>
  <c r="Z111" i="2" s="1"/>
  <c r="Y112" i="2"/>
  <c r="Y113" i="2"/>
  <c r="Y114" i="2"/>
  <c r="Z114" i="2" s="1"/>
  <c r="Y115" i="2"/>
  <c r="Z115" i="2" s="1"/>
  <c r="Y116" i="2"/>
  <c r="Y117" i="2"/>
  <c r="Y118" i="2"/>
  <c r="Z118" i="2" s="1"/>
  <c r="Y119" i="2"/>
  <c r="Z119" i="2" s="1"/>
  <c r="Y120" i="2"/>
  <c r="Y121" i="2"/>
  <c r="Y122" i="2"/>
  <c r="Y123" i="2"/>
  <c r="Y124" i="2"/>
  <c r="Y125" i="2"/>
  <c r="Y126" i="2"/>
  <c r="Z126" i="2" s="1"/>
  <c r="Y127" i="2"/>
  <c r="Z127" i="2" s="1"/>
  <c r="Y128" i="2"/>
  <c r="Y129" i="2"/>
  <c r="Y130" i="2"/>
  <c r="Z130" i="2" s="1"/>
  <c r="Y131" i="2"/>
  <c r="Z131" i="2" s="1"/>
  <c r="Y132" i="2"/>
  <c r="Y133" i="2"/>
  <c r="Y134" i="2"/>
  <c r="Z134" i="2" s="1"/>
  <c r="Y135" i="2"/>
  <c r="Z135" i="2" s="1"/>
  <c r="Y136" i="2"/>
  <c r="Y137" i="2"/>
  <c r="Y138" i="2"/>
  <c r="Z138" i="2" s="1"/>
  <c r="Y139" i="2"/>
  <c r="Y140" i="2"/>
  <c r="Y141" i="2"/>
  <c r="Y142" i="2"/>
  <c r="Z142" i="2" s="1"/>
  <c r="Y143" i="2"/>
  <c r="Z143" i="2" s="1"/>
  <c r="Y144" i="2"/>
  <c r="Y145" i="2"/>
  <c r="Y146" i="2"/>
  <c r="Z146" i="2" s="1"/>
  <c r="Y147" i="2"/>
  <c r="Z147" i="2" s="1"/>
  <c r="Y148" i="2"/>
  <c r="Y149" i="2"/>
  <c r="Y150" i="2"/>
  <c r="Z150" i="2" s="1"/>
  <c r="Y151" i="2"/>
  <c r="Z151" i="2" s="1"/>
  <c r="Y152" i="2"/>
  <c r="Y153" i="2"/>
  <c r="Y154" i="2"/>
  <c r="Y155" i="2"/>
  <c r="Y156" i="2"/>
  <c r="Y157" i="2"/>
  <c r="Z157" i="2" s="1"/>
  <c r="Y158" i="2"/>
  <c r="Z158" i="2" s="1"/>
  <c r="Y159" i="2"/>
  <c r="Y160" i="2"/>
  <c r="Y161" i="2"/>
  <c r="Y162" i="2"/>
  <c r="Z162" i="2" s="1"/>
  <c r="Y163" i="2"/>
  <c r="Z163" i="2" s="1"/>
  <c r="Y164" i="2"/>
  <c r="Y165" i="2"/>
  <c r="Y166" i="2"/>
  <c r="Z166" i="2" s="1"/>
  <c r="Y167" i="2"/>
  <c r="Y168" i="2"/>
  <c r="Y169" i="2"/>
  <c r="Y3" i="2"/>
  <c r="Z3" i="2" s="1"/>
  <c r="Y4" i="2"/>
  <c r="Y5" i="2"/>
  <c r="Y6" i="2"/>
  <c r="Y7" i="2"/>
  <c r="Z7" i="2" s="1"/>
  <c r="Y8" i="2"/>
  <c r="Y9" i="2"/>
  <c r="Z9" i="2" s="1"/>
  <c r="Y10" i="2"/>
  <c r="Y11" i="2"/>
  <c r="Z11" i="2" s="1"/>
  <c r="Y12" i="2"/>
  <c r="Y13" i="2"/>
  <c r="Y14" i="2"/>
  <c r="Y15" i="2"/>
  <c r="Z15" i="2" s="1"/>
  <c r="Y2" i="2"/>
  <c r="Y261" i="1"/>
  <c r="Z261" i="1" s="1"/>
  <c r="AQ261" i="1" s="1"/>
  <c r="Y262" i="1"/>
  <c r="Z262" i="1" s="1"/>
  <c r="AQ262" i="1" s="1"/>
  <c r="Y263" i="1"/>
  <c r="Z263" i="1" s="1"/>
  <c r="AQ263" i="1" s="1"/>
  <c r="Y264" i="1"/>
  <c r="Z264" i="1" s="1"/>
  <c r="AQ264" i="1" s="1"/>
  <c r="Y265" i="1"/>
  <c r="Z265" i="1" s="1"/>
  <c r="AQ265" i="1" s="1"/>
  <c r="Y266" i="1"/>
  <c r="Z266" i="1" s="1"/>
  <c r="AQ266" i="1" s="1"/>
  <c r="Y267" i="1"/>
  <c r="Z267" i="1" s="1"/>
  <c r="AQ267" i="1" s="1"/>
  <c r="Y268" i="1"/>
  <c r="Z268" i="1" s="1"/>
  <c r="AQ268" i="1" s="1"/>
  <c r="Y269" i="1"/>
  <c r="Z269" i="1" s="1"/>
  <c r="AQ269" i="1" s="1"/>
  <c r="Y270" i="1"/>
  <c r="Y271" i="1"/>
  <c r="Z271" i="1" s="1"/>
  <c r="AQ271" i="1" s="1"/>
  <c r="Y272" i="1"/>
  <c r="Z272" i="1" s="1"/>
  <c r="AQ272" i="1" s="1"/>
  <c r="Y273" i="1"/>
  <c r="Z273" i="1" s="1"/>
  <c r="AQ273" i="1" s="1"/>
  <c r="Y274" i="1"/>
  <c r="Z274" i="1" s="1"/>
  <c r="AQ274" i="1" s="1"/>
  <c r="Y275" i="1"/>
  <c r="Z275" i="1" s="1"/>
  <c r="AQ275" i="1" s="1"/>
  <c r="Y276" i="1"/>
  <c r="Z276" i="1" s="1"/>
  <c r="AQ276" i="1" s="1"/>
  <c r="Y277" i="1"/>
  <c r="Y278" i="1"/>
  <c r="Z278" i="1" s="1"/>
  <c r="AQ278" i="1" s="1"/>
  <c r="Y279" i="1"/>
  <c r="Z279" i="1" s="1"/>
  <c r="AQ279" i="1" s="1"/>
  <c r="Y280" i="1"/>
  <c r="Z280" i="1" s="1"/>
  <c r="AQ280" i="1" s="1"/>
  <c r="Y281" i="1"/>
  <c r="Z281" i="1" s="1"/>
  <c r="AQ281" i="1" s="1"/>
  <c r="Y282" i="1"/>
  <c r="Y283" i="1"/>
  <c r="Z283" i="1" s="1"/>
  <c r="AQ283" i="1" s="1"/>
  <c r="Y245" i="1"/>
  <c r="Z245" i="1" s="1"/>
  <c r="AQ245" i="1" s="1"/>
  <c r="Y246" i="1"/>
  <c r="Z246" i="1" s="1"/>
  <c r="AQ246" i="1" s="1"/>
  <c r="Y247" i="1"/>
  <c r="Z247" i="1" s="1"/>
  <c r="AQ247" i="1" s="1"/>
  <c r="Y248" i="1"/>
  <c r="Z248" i="1" s="1"/>
  <c r="AQ248" i="1" s="1"/>
  <c r="Y249" i="1"/>
  <c r="Z249" i="1" s="1"/>
  <c r="AQ249" i="1" s="1"/>
  <c r="Y250" i="1"/>
  <c r="Z250" i="1" s="1"/>
  <c r="AQ250" i="1" s="1"/>
  <c r="Y251" i="1"/>
  <c r="Z251" i="1" s="1"/>
  <c r="AQ251" i="1" s="1"/>
  <c r="Y252" i="1"/>
  <c r="Z252" i="1" s="1"/>
  <c r="AQ252" i="1" s="1"/>
  <c r="Y253" i="1"/>
  <c r="Z253" i="1" s="1"/>
  <c r="AQ253" i="1" s="1"/>
  <c r="Y254" i="1"/>
  <c r="Z254" i="1" s="1"/>
  <c r="AQ254" i="1" s="1"/>
  <c r="Y255" i="1"/>
  <c r="Z255" i="1" s="1"/>
  <c r="AQ255" i="1" s="1"/>
  <c r="Y256" i="1"/>
  <c r="Z256" i="1" s="1"/>
  <c r="AQ256" i="1" s="1"/>
  <c r="Y257" i="1"/>
  <c r="Z257" i="1" s="1"/>
  <c r="AQ257" i="1" s="1"/>
  <c r="Y258" i="1"/>
  <c r="Z258" i="1" s="1"/>
  <c r="AQ258" i="1" s="1"/>
  <c r="Y259" i="1"/>
  <c r="Z259" i="1" s="1"/>
  <c r="AQ259" i="1" s="1"/>
  <c r="Y260" i="1"/>
  <c r="Z260" i="1" s="1"/>
  <c r="AQ260" i="1" s="1"/>
  <c r="Y235" i="1"/>
  <c r="Z235" i="1" s="1"/>
  <c r="AQ235" i="1" s="1"/>
  <c r="Y236" i="1"/>
  <c r="Z236" i="1" s="1"/>
  <c r="AQ236" i="1" s="1"/>
  <c r="Y237" i="1"/>
  <c r="Z237" i="1" s="1"/>
  <c r="AQ237" i="1" s="1"/>
  <c r="Y238" i="1"/>
  <c r="Z238" i="1" s="1"/>
  <c r="AQ238" i="1" s="1"/>
  <c r="Y239" i="1"/>
  <c r="Z239" i="1" s="1"/>
  <c r="AQ239" i="1" s="1"/>
  <c r="Y240" i="1"/>
  <c r="Z240" i="1" s="1"/>
  <c r="AQ240" i="1" s="1"/>
  <c r="Y241" i="1"/>
  <c r="Z241" i="1" s="1"/>
  <c r="AQ241" i="1" s="1"/>
  <c r="Y242" i="1"/>
  <c r="Z242" i="1" s="1"/>
  <c r="AQ242" i="1" s="1"/>
  <c r="Y243" i="1"/>
  <c r="Z243" i="1" s="1"/>
  <c r="AQ243" i="1" s="1"/>
  <c r="Y244" i="1"/>
  <c r="Z244" i="1" s="1"/>
  <c r="AQ244" i="1" s="1"/>
  <c r="Y228" i="1"/>
  <c r="Z228" i="1" s="1"/>
  <c r="AQ228" i="1" s="1"/>
  <c r="Y229" i="1"/>
  <c r="Z229" i="1" s="1"/>
  <c r="AQ229" i="1" s="1"/>
  <c r="Y230" i="1"/>
  <c r="Z230" i="1" s="1"/>
  <c r="AQ230" i="1" s="1"/>
  <c r="Y231" i="1"/>
  <c r="Z231" i="1" s="1"/>
  <c r="AQ231" i="1" s="1"/>
  <c r="Y232" i="1"/>
  <c r="Z232" i="1" s="1"/>
  <c r="AQ232" i="1" s="1"/>
  <c r="Y233" i="1"/>
  <c r="Z233" i="1" s="1"/>
  <c r="AQ233" i="1" s="1"/>
  <c r="Y234" i="1"/>
  <c r="Z234" i="1" s="1"/>
  <c r="AQ234" i="1" s="1"/>
  <c r="Y221" i="1"/>
  <c r="Z221" i="1" s="1"/>
  <c r="AQ221" i="1" s="1"/>
  <c r="Y222" i="1"/>
  <c r="Z222" i="1" s="1"/>
  <c r="AQ222" i="1" s="1"/>
  <c r="Y223" i="1"/>
  <c r="Z223" i="1" s="1"/>
  <c r="AQ223" i="1" s="1"/>
  <c r="Y224" i="1"/>
  <c r="Z224" i="1" s="1"/>
  <c r="AQ224" i="1" s="1"/>
  <c r="Y225" i="1"/>
  <c r="Y226" i="1"/>
  <c r="Z226" i="1" s="1"/>
  <c r="AQ226" i="1" s="1"/>
  <c r="Y227" i="1"/>
  <c r="Z227" i="1" s="1"/>
  <c r="AQ227" i="1" s="1"/>
  <c r="Y208" i="1"/>
  <c r="Z208" i="1" s="1"/>
  <c r="AQ208" i="1" s="1"/>
  <c r="Y209" i="1"/>
  <c r="Z209" i="1" s="1"/>
  <c r="AQ209" i="1" s="1"/>
  <c r="Y210" i="1"/>
  <c r="Z210" i="1" s="1"/>
  <c r="AQ210" i="1" s="1"/>
  <c r="Y211" i="1"/>
  <c r="Z211" i="1" s="1"/>
  <c r="AQ211" i="1" s="1"/>
  <c r="Y212" i="1"/>
  <c r="Z212" i="1" s="1"/>
  <c r="AQ212" i="1" s="1"/>
  <c r="Y213" i="1"/>
  <c r="Z213" i="1" s="1"/>
  <c r="AQ213" i="1" s="1"/>
  <c r="Y214" i="1"/>
  <c r="Z214" i="1" s="1"/>
  <c r="AQ214" i="1" s="1"/>
  <c r="Y215" i="1"/>
  <c r="Z215" i="1" s="1"/>
  <c r="AQ215" i="1" s="1"/>
  <c r="Y216" i="1"/>
  <c r="Z216" i="1" s="1"/>
  <c r="AQ216" i="1" s="1"/>
  <c r="Y217" i="1"/>
  <c r="Z217" i="1" s="1"/>
  <c r="AQ217" i="1" s="1"/>
  <c r="Y218" i="1"/>
  <c r="Z218" i="1" s="1"/>
  <c r="AQ218" i="1" s="1"/>
  <c r="Y219" i="1"/>
  <c r="Z219" i="1" s="1"/>
  <c r="AQ219" i="1" s="1"/>
  <c r="Y220" i="1"/>
  <c r="Z220" i="1" s="1"/>
  <c r="AQ220" i="1" s="1"/>
  <c r="Y34" i="1"/>
  <c r="Z34" i="1" s="1"/>
  <c r="AQ34" i="1" s="1"/>
  <c r="Y35" i="1"/>
  <c r="Y36" i="1"/>
  <c r="Z36" i="1" s="1"/>
  <c r="AQ36" i="1" s="1"/>
  <c r="Y37" i="1"/>
  <c r="Z37" i="1" s="1"/>
  <c r="AQ37" i="1" s="1"/>
  <c r="Y38" i="1"/>
  <c r="Z38" i="1" s="1"/>
  <c r="AQ38" i="1" s="1"/>
  <c r="Y39" i="1"/>
  <c r="Z39" i="1" s="1"/>
  <c r="AQ39" i="1" s="1"/>
  <c r="Y40" i="1"/>
  <c r="Z40" i="1" s="1"/>
  <c r="AQ40" i="1" s="1"/>
  <c r="Y41" i="1"/>
  <c r="Z41" i="1" s="1"/>
  <c r="AQ41" i="1" s="1"/>
  <c r="Y42" i="1"/>
  <c r="Z42" i="1" s="1"/>
  <c r="AQ42" i="1" s="1"/>
  <c r="Y43" i="1"/>
  <c r="Z43" i="1" s="1"/>
  <c r="AQ43" i="1" s="1"/>
  <c r="Y44" i="1"/>
  <c r="Z44" i="1" s="1"/>
  <c r="AQ44" i="1" s="1"/>
  <c r="Y45" i="1"/>
  <c r="Z45" i="1" s="1"/>
  <c r="AQ45" i="1" s="1"/>
  <c r="Y46" i="1"/>
  <c r="Z46" i="1" s="1"/>
  <c r="AQ46" i="1" s="1"/>
  <c r="Y47" i="1"/>
  <c r="Z47" i="1" s="1"/>
  <c r="AQ47" i="1" s="1"/>
  <c r="Y48" i="1"/>
  <c r="Z48" i="1" s="1"/>
  <c r="AQ48" i="1" s="1"/>
  <c r="Y49" i="1"/>
  <c r="Z49" i="1" s="1"/>
  <c r="AQ49" i="1" s="1"/>
  <c r="Y50" i="1"/>
  <c r="Z50" i="1" s="1"/>
  <c r="AQ50" i="1" s="1"/>
  <c r="Y51" i="1"/>
  <c r="Z51" i="1" s="1"/>
  <c r="AQ51" i="1" s="1"/>
  <c r="Y52" i="1"/>
  <c r="Z52" i="1" s="1"/>
  <c r="AQ52" i="1" s="1"/>
  <c r="Y53" i="1"/>
  <c r="Z53" i="1" s="1"/>
  <c r="AQ53" i="1" s="1"/>
  <c r="Y54" i="1"/>
  <c r="Z54" i="1" s="1"/>
  <c r="AQ54" i="1" s="1"/>
  <c r="Y55" i="1"/>
  <c r="Z55" i="1" s="1"/>
  <c r="AQ55" i="1" s="1"/>
  <c r="Y56" i="1"/>
  <c r="Z56" i="1" s="1"/>
  <c r="AQ56" i="1" s="1"/>
  <c r="Y57" i="1"/>
  <c r="Z57" i="1" s="1"/>
  <c r="AQ57" i="1" s="1"/>
  <c r="Y58" i="1"/>
  <c r="Z58" i="1" s="1"/>
  <c r="AQ58" i="1" s="1"/>
  <c r="Y59" i="1"/>
  <c r="Z59" i="1" s="1"/>
  <c r="AQ59" i="1" s="1"/>
  <c r="Y60" i="1"/>
  <c r="Z60" i="1" s="1"/>
  <c r="AQ60" i="1" s="1"/>
  <c r="Y61" i="1"/>
  <c r="Z61" i="1" s="1"/>
  <c r="AQ61" i="1" s="1"/>
  <c r="Y62" i="1"/>
  <c r="Z62" i="1" s="1"/>
  <c r="AQ62" i="1" s="1"/>
  <c r="Y63" i="1"/>
  <c r="Z63" i="1" s="1"/>
  <c r="AQ63" i="1" s="1"/>
  <c r="Y64" i="1"/>
  <c r="Z64" i="1" s="1"/>
  <c r="AQ64" i="1" s="1"/>
  <c r="Y65" i="1"/>
  <c r="Z65" i="1" s="1"/>
  <c r="AQ65" i="1" s="1"/>
  <c r="Y66" i="1"/>
  <c r="Z66" i="1" s="1"/>
  <c r="AQ66" i="1" s="1"/>
  <c r="Y67" i="1"/>
  <c r="Z67" i="1" s="1"/>
  <c r="AQ67" i="1" s="1"/>
  <c r="Y68" i="1"/>
  <c r="Z68" i="1" s="1"/>
  <c r="AQ68" i="1" s="1"/>
  <c r="Y69" i="1"/>
  <c r="Z69" i="1" s="1"/>
  <c r="AQ69" i="1" s="1"/>
  <c r="Y70" i="1"/>
  <c r="Z70" i="1" s="1"/>
  <c r="AQ70" i="1" s="1"/>
  <c r="Y71" i="1"/>
  <c r="Z71" i="1" s="1"/>
  <c r="AQ71" i="1" s="1"/>
  <c r="Y72" i="1"/>
  <c r="Z72" i="1" s="1"/>
  <c r="AQ72" i="1" s="1"/>
  <c r="Y73" i="1"/>
  <c r="Z73" i="1" s="1"/>
  <c r="AQ73" i="1" s="1"/>
  <c r="Y74" i="1"/>
  <c r="Z74" i="1" s="1"/>
  <c r="AQ74" i="1" s="1"/>
  <c r="Y75" i="1"/>
  <c r="Z75" i="1" s="1"/>
  <c r="AQ75" i="1" s="1"/>
  <c r="Y76" i="1"/>
  <c r="Z76" i="1" s="1"/>
  <c r="AQ76" i="1" s="1"/>
  <c r="Y77" i="1"/>
  <c r="Z77" i="1" s="1"/>
  <c r="AQ77" i="1" s="1"/>
  <c r="Y78" i="1"/>
  <c r="Y79" i="1"/>
  <c r="Z79" i="1" s="1"/>
  <c r="AQ79" i="1" s="1"/>
  <c r="Y80" i="1"/>
  <c r="Z80" i="1" s="1"/>
  <c r="AQ80" i="1" s="1"/>
  <c r="Y81" i="1"/>
  <c r="Z81" i="1" s="1"/>
  <c r="AQ81" i="1" s="1"/>
  <c r="Y82" i="1"/>
  <c r="Z82" i="1" s="1"/>
  <c r="AQ82" i="1" s="1"/>
  <c r="Y83" i="1"/>
  <c r="Z83" i="1" s="1"/>
  <c r="AQ83" i="1" s="1"/>
  <c r="Y84" i="1"/>
  <c r="Z84" i="1" s="1"/>
  <c r="AQ84" i="1" s="1"/>
  <c r="Y85" i="1"/>
  <c r="Z85" i="1" s="1"/>
  <c r="AQ85" i="1" s="1"/>
  <c r="Y86" i="1"/>
  <c r="Z86" i="1" s="1"/>
  <c r="AQ86" i="1" s="1"/>
  <c r="Y87" i="1"/>
  <c r="Z87" i="1" s="1"/>
  <c r="AQ87" i="1" s="1"/>
  <c r="Y88" i="1"/>
  <c r="Z88" i="1" s="1"/>
  <c r="AQ88" i="1" s="1"/>
  <c r="Y89" i="1"/>
  <c r="Z89" i="1" s="1"/>
  <c r="AQ89" i="1" s="1"/>
  <c r="Y90" i="1"/>
  <c r="Z90" i="1" s="1"/>
  <c r="AQ90" i="1" s="1"/>
  <c r="Y91" i="1"/>
  <c r="Z91" i="1" s="1"/>
  <c r="AQ91" i="1" s="1"/>
  <c r="Y92" i="1"/>
  <c r="Z92" i="1" s="1"/>
  <c r="AQ92" i="1" s="1"/>
  <c r="Y93" i="1"/>
  <c r="Z93" i="1" s="1"/>
  <c r="AQ93" i="1" s="1"/>
  <c r="Y94" i="1"/>
  <c r="Z94" i="1" s="1"/>
  <c r="AQ94" i="1" s="1"/>
  <c r="Y95" i="1"/>
  <c r="Z95" i="1" s="1"/>
  <c r="AQ95" i="1" s="1"/>
  <c r="Y96" i="1"/>
  <c r="Z96" i="1" s="1"/>
  <c r="AQ96" i="1" s="1"/>
  <c r="Y97" i="1"/>
  <c r="Z97" i="1" s="1"/>
  <c r="AQ97" i="1" s="1"/>
  <c r="Y98" i="1"/>
  <c r="Z98" i="1" s="1"/>
  <c r="AQ98" i="1" s="1"/>
  <c r="Y99" i="1"/>
  <c r="Z99" i="1" s="1"/>
  <c r="AQ99" i="1" s="1"/>
  <c r="Y100" i="1"/>
  <c r="Z100" i="1" s="1"/>
  <c r="AQ100" i="1" s="1"/>
  <c r="Y101" i="1"/>
  <c r="Z101" i="1" s="1"/>
  <c r="AQ101" i="1" s="1"/>
  <c r="Y102" i="1"/>
  <c r="Z102" i="1" s="1"/>
  <c r="AQ102" i="1" s="1"/>
  <c r="Y103" i="1"/>
  <c r="Z103" i="1" s="1"/>
  <c r="AQ103" i="1" s="1"/>
  <c r="Y104" i="1"/>
  <c r="Z104" i="1" s="1"/>
  <c r="AQ104" i="1" s="1"/>
  <c r="Y105" i="1"/>
  <c r="Z105" i="1" s="1"/>
  <c r="AQ105" i="1" s="1"/>
  <c r="Y106" i="1"/>
  <c r="Z106" i="1" s="1"/>
  <c r="AQ106" i="1" s="1"/>
  <c r="Y107" i="1"/>
  <c r="Z107" i="1" s="1"/>
  <c r="AQ107" i="1" s="1"/>
  <c r="Y108" i="1"/>
  <c r="Z108" i="1" s="1"/>
  <c r="AQ108" i="1" s="1"/>
  <c r="Y109" i="1"/>
  <c r="Z109" i="1" s="1"/>
  <c r="AQ109" i="1" s="1"/>
  <c r="Y110" i="1"/>
  <c r="Z110" i="1" s="1"/>
  <c r="AQ110" i="1" s="1"/>
  <c r="Y111" i="1"/>
  <c r="Z111" i="1" s="1"/>
  <c r="AQ111" i="1" s="1"/>
  <c r="Y112" i="1"/>
  <c r="Z112" i="1" s="1"/>
  <c r="AQ112" i="1" s="1"/>
  <c r="Y113" i="1"/>
  <c r="Z113" i="1" s="1"/>
  <c r="AQ113" i="1" s="1"/>
  <c r="Y114" i="1"/>
  <c r="Z114" i="1" s="1"/>
  <c r="AQ114" i="1" s="1"/>
  <c r="Y115" i="1"/>
  <c r="Z115" i="1" s="1"/>
  <c r="AQ115" i="1" s="1"/>
  <c r="Y116" i="1"/>
  <c r="Z116" i="1" s="1"/>
  <c r="AQ116" i="1" s="1"/>
  <c r="Y117" i="1"/>
  <c r="Z117" i="1" s="1"/>
  <c r="AQ117" i="1" s="1"/>
  <c r="Y118" i="1"/>
  <c r="Z118" i="1" s="1"/>
  <c r="AQ118" i="1" s="1"/>
  <c r="Y119" i="1"/>
  <c r="Z119" i="1" s="1"/>
  <c r="AQ119" i="1" s="1"/>
  <c r="Y120" i="1"/>
  <c r="Z120" i="1" s="1"/>
  <c r="AQ120" i="1" s="1"/>
  <c r="Y121" i="1"/>
  <c r="Z121" i="1" s="1"/>
  <c r="AQ121" i="1" s="1"/>
  <c r="Y122" i="1"/>
  <c r="Z122" i="1" s="1"/>
  <c r="AQ122" i="1" s="1"/>
  <c r="Y123" i="1"/>
  <c r="Z123" i="1" s="1"/>
  <c r="AQ123" i="1" s="1"/>
  <c r="Y124" i="1"/>
  <c r="Z124" i="1" s="1"/>
  <c r="AQ124" i="1" s="1"/>
  <c r="Y125" i="1"/>
  <c r="Z125" i="1" s="1"/>
  <c r="AQ125" i="1" s="1"/>
  <c r="Y126" i="1"/>
  <c r="Z126" i="1" s="1"/>
  <c r="AQ126" i="1" s="1"/>
  <c r="Y127" i="1"/>
  <c r="Z127" i="1" s="1"/>
  <c r="AQ127" i="1" s="1"/>
  <c r="Y128" i="1"/>
  <c r="Z128" i="1" s="1"/>
  <c r="AQ128" i="1" s="1"/>
  <c r="Y129" i="1"/>
  <c r="Z129" i="1" s="1"/>
  <c r="AQ129" i="1" s="1"/>
  <c r="Y130" i="1"/>
  <c r="Z130" i="1" s="1"/>
  <c r="AQ130" i="1" s="1"/>
  <c r="Y131" i="1"/>
  <c r="Z131" i="1" s="1"/>
  <c r="AQ131" i="1" s="1"/>
  <c r="Y132" i="1"/>
  <c r="Z132" i="1" s="1"/>
  <c r="AQ132" i="1" s="1"/>
  <c r="Y133" i="1"/>
  <c r="Z133" i="1" s="1"/>
  <c r="AQ133" i="1" s="1"/>
  <c r="Y134" i="1"/>
  <c r="Z134" i="1" s="1"/>
  <c r="AQ134" i="1" s="1"/>
  <c r="Y135" i="1"/>
  <c r="Z135" i="1" s="1"/>
  <c r="AQ135" i="1" s="1"/>
  <c r="Y136" i="1"/>
  <c r="Z136" i="1" s="1"/>
  <c r="AQ136" i="1" s="1"/>
  <c r="Y137" i="1"/>
  <c r="Z137" i="1" s="1"/>
  <c r="AQ137" i="1" s="1"/>
  <c r="Y138" i="1"/>
  <c r="Z138" i="1" s="1"/>
  <c r="AQ138" i="1" s="1"/>
  <c r="Y139" i="1"/>
  <c r="Z139" i="1" s="1"/>
  <c r="AQ139" i="1" s="1"/>
  <c r="Y140" i="1"/>
  <c r="Z140" i="1" s="1"/>
  <c r="AQ140" i="1" s="1"/>
  <c r="Y141" i="1"/>
  <c r="Z141" i="1" s="1"/>
  <c r="AQ141" i="1" s="1"/>
  <c r="Y142" i="1"/>
  <c r="Z142" i="1" s="1"/>
  <c r="AQ142" i="1" s="1"/>
  <c r="Y143" i="1"/>
  <c r="Z143" i="1" s="1"/>
  <c r="AQ143" i="1" s="1"/>
  <c r="Y144" i="1"/>
  <c r="Z144" i="1" s="1"/>
  <c r="AQ144" i="1" s="1"/>
  <c r="Y145" i="1"/>
  <c r="Z145" i="1" s="1"/>
  <c r="AQ145" i="1" s="1"/>
  <c r="Y146" i="1"/>
  <c r="Z146" i="1" s="1"/>
  <c r="AQ146" i="1" s="1"/>
  <c r="Y147" i="1"/>
  <c r="Z147" i="1" s="1"/>
  <c r="AQ147" i="1" s="1"/>
  <c r="Y148" i="1"/>
  <c r="Z148" i="1" s="1"/>
  <c r="AQ148" i="1" s="1"/>
  <c r="Y149" i="1"/>
  <c r="Z149" i="1" s="1"/>
  <c r="AQ149" i="1" s="1"/>
  <c r="Y150" i="1"/>
  <c r="Z150" i="1" s="1"/>
  <c r="AQ150" i="1" s="1"/>
  <c r="Y151" i="1"/>
  <c r="Z151" i="1" s="1"/>
  <c r="AQ151" i="1" s="1"/>
  <c r="Y152" i="1"/>
  <c r="Z152" i="1" s="1"/>
  <c r="AQ152" i="1" s="1"/>
  <c r="Y153" i="1"/>
  <c r="Z153" i="1" s="1"/>
  <c r="AQ153" i="1" s="1"/>
  <c r="Y154" i="1"/>
  <c r="Z154" i="1" s="1"/>
  <c r="AQ154" i="1" s="1"/>
  <c r="Y155" i="1"/>
  <c r="Z155" i="1" s="1"/>
  <c r="AQ155" i="1" s="1"/>
  <c r="Y156" i="1"/>
  <c r="Z156" i="1" s="1"/>
  <c r="AQ156" i="1" s="1"/>
  <c r="Y157" i="1"/>
  <c r="Z157" i="1" s="1"/>
  <c r="AQ157" i="1" s="1"/>
  <c r="Y158" i="1"/>
  <c r="Z158" i="1" s="1"/>
  <c r="AQ158" i="1" s="1"/>
  <c r="Y159" i="1"/>
  <c r="Z159" i="1" s="1"/>
  <c r="AQ159" i="1" s="1"/>
  <c r="Y160" i="1"/>
  <c r="Z160" i="1" s="1"/>
  <c r="AQ160" i="1" s="1"/>
  <c r="Y161" i="1"/>
  <c r="Z161" i="1" s="1"/>
  <c r="AQ161" i="1" s="1"/>
  <c r="Y162" i="1"/>
  <c r="Z162" i="1" s="1"/>
  <c r="AQ162" i="1" s="1"/>
  <c r="Y163" i="1"/>
  <c r="Z163" i="1" s="1"/>
  <c r="AQ163" i="1" s="1"/>
  <c r="Y164" i="1"/>
  <c r="Z164" i="1" s="1"/>
  <c r="AQ164" i="1" s="1"/>
  <c r="Y165" i="1"/>
  <c r="Z165" i="1" s="1"/>
  <c r="AQ165" i="1" s="1"/>
  <c r="Y166" i="1"/>
  <c r="Z166" i="1" s="1"/>
  <c r="AQ166" i="1" s="1"/>
  <c r="Y167" i="1"/>
  <c r="Z167" i="1" s="1"/>
  <c r="AQ167" i="1" s="1"/>
  <c r="Y168" i="1"/>
  <c r="Z168" i="1" s="1"/>
  <c r="AQ168" i="1" s="1"/>
  <c r="Y169" i="1"/>
  <c r="Z169" i="1" s="1"/>
  <c r="AQ169" i="1" s="1"/>
  <c r="Y170" i="1"/>
  <c r="Z170" i="1" s="1"/>
  <c r="AQ170" i="1" s="1"/>
  <c r="Y171" i="1"/>
  <c r="Z171" i="1" s="1"/>
  <c r="AQ171" i="1" s="1"/>
  <c r="Y172" i="1"/>
  <c r="Z172" i="1" s="1"/>
  <c r="AQ172" i="1" s="1"/>
  <c r="Y173" i="1"/>
  <c r="Z173" i="1" s="1"/>
  <c r="AQ173" i="1" s="1"/>
  <c r="Y174" i="1"/>
  <c r="Z174" i="1" s="1"/>
  <c r="AQ174" i="1" s="1"/>
  <c r="Y175" i="1"/>
  <c r="Z175" i="1" s="1"/>
  <c r="AQ175" i="1" s="1"/>
  <c r="Y176" i="1"/>
  <c r="Z176" i="1" s="1"/>
  <c r="AQ176" i="1" s="1"/>
  <c r="Y177" i="1"/>
  <c r="Z177" i="1" s="1"/>
  <c r="AQ177" i="1" s="1"/>
  <c r="Y178" i="1"/>
  <c r="Z178" i="1" s="1"/>
  <c r="AQ178" i="1" s="1"/>
  <c r="Y179" i="1"/>
  <c r="Z179" i="1" s="1"/>
  <c r="AQ179" i="1" s="1"/>
  <c r="Y180" i="1"/>
  <c r="Z180" i="1" s="1"/>
  <c r="AQ180" i="1" s="1"/>
  <c r="Y181" i="1"/>
  <c r="Z181" i="1" s="1"/>
  <c r="AQ181" i="1" s="1"/>
  <c r="Y182" i="1"/>
  <c r="Z182" i="1" s="1"/>
  <c r="AQ182" i="1" s="1"/>
  <c r="Y183" i="1"/>
  <c r="Z183" i="1" s="1"/>
  <c r="AQ183" i="1" s="1"/>
  <c r="Y184" i="1"/>
  <c r="Z184" i="1" s="1"/>
  <c r="AQ184" i="1" s="1"/>
  <c r="Y185" i="1"/>
  <c r="Z185" i="1" s="1"/>
  <c r="AQ185" i="1" s="1"/>
  <c r="Y186" i="1"/>
  <c r="Z186" i="1" s="1"/>
  <c r="AQ186" i="1" s="1"/>
  <c r="Y187" i="1"/>
  <c r="Z187" i="1" s="1"/>
  <c r="AQ187" i="1" s="1"/>
  <c r="Y188" i="1"/>
  <c r="Z188" i="1" s="1"/>
  <c r="AQ188" i="1" s="1"/>
  <c r="Y189" i="1"/>
  <c r="Z189" i="1" s="1"/>
  <c r="AQ189" i="1" s="1"/>
  <c r="Y190" i="1"/>
  <c r="Z190" i="1" s="1"/>
  <c r="AQ190" i="1" s="1"/>
  <c r="Y191" i="1"/>
  <c r="Z191" i="1" s="1"/>
  <c r="AQ191" i="1" s="1"/>
  <c r="Y192" i="1"/>
  <c r="Z192" i="1" s="1"/>
  <c r="AQ192" i="1" s="1"/>
  <c r="Y193" i="1"/>
  <c r="Z193" i="1" s="1"/>
  <c r="AQ193" i="1" s="1"/>
  <c r="Y194" i="1"/>
  <c r="Z194" i="1" s="1"/>
  <c r="AQ194" i="1" s="1"/>
  <c r="Y195" i="1"/>
  <c r="Z195" i="1" s="1"/>
  <c r="AQ195" i="1" s="1"/>
  <c r="Y196" i="1"/>
  <c r="Z196" i="1" s="1"/>
  <c r="AQ196" i="1" s="1"/>
  <c r="Y197" i="1"/>
  <c r="Z197" i="1" s="1"/>
  <c r="AQ197" i="1" s="1"/>
  <c r="Y198" i="1"/>
  <c r="Z198" i="1" s="1"/>
  <c r="AQ198" i="1" s="1"/>
  <c r="Y199" i="1"/>
  <c r="Z199" i="1" s="1"/>
  <c r="AQ199" i="1" s="1"/>
  <c r="Y200" i="1"/>
  <c r="Z200" i="1" s="1"/>
  <c r="AQ200" i="1" s="1"/>
  <c r="Y201" i="1"/>
  <c r="Z201" i="1" s="1"/>
  <c r="AQ201" i="1" s="1"/>
  <c r="Y202" i="1"/>
  <c r="Z202" i="1" s="1"/>
  <c r="AQ202" i="1" s="1"/>
  <c r="Y203" i="1"/>
  <c r="Z203" i="1" s="1"/>
  <c r="AQ203" i="1" s="1"/>
  <c r="Y204" i="1"/>
  <c r="Z204" i="1" s="1"/>
  <c r="AQ204" i="1" s="1"/>
  <c r="Y205" i="1"/>
  <c r="Z205" i="1" s="1"/>
  <c r="AQ205" i="1" s="1"/>
  <c r="Y206" i="1"/>
  <c r="Z206" i="1" s="1"/>
  <c r="AQ206" i="1" s="1"/>
  <c r="Y207" i="1"/>
  <c r="Z207" i="1" s="1"/>
  <c r="AQ207" i="1" s="1"/>
  <c r="Y26" i="1"/>
  <c r="Z26" i="1" s="1"/>
  <c r="AQ26" i="1" s="1"/>
  <c r="Y27" i="1"/>
  <c r="Z27" i="1" s="1"/>
  <c r="AQ27" i="1" s="1"/>
  <c r="Y28" i="1"/>
  <c r="Z28" i="1" s="1"/>
  <c r="AQ28" i="1" s="1"/>
  <c r="Y29" i="1"/>
  <c r="Z29" i="1" s="1"/>
  <c r="AQ29" i="1" s="1"/>
  <c r="Y30" i="1"/>
  <c r="Z30" i="1" s="1"/>
  <c r="AQ30" i="1" s="1"/>
  <c r="Y31" i="1"/>
  <c r="Z31" i="1" s="1"/>
  <c r="AQ31" i="1" s="1"/>
  <c r="Y32" i="1"/>
  <c r="Z32" i="1" s="1"/>
  <c r="AQ32" i="1" s="1"/>
  <c r="Y33" i="1"/>
  <c r="Z33" i="1" s="1"/>
  <c r="AQ33" i="1" s="1"/>
  <c r="Y3" i="1"/>
  <c r="Z3" i="1" s="1"/>
  <c r="AQ3" i="1" s="1"/>
  <c r="Y4" i="1"/>
  <c r="Z4" i="1" s="1"/>
  <c r="AQ4" i="1" s="1"/>
  <c r="Y5" i="1"/>
  <c r="Z5" i="1" s="1"/>
  <c r="AQ5" i="1" s="1"/>
  <c r="Y6" i="1"/>
  <c r="Z6" i="1" s="1"/>
  <c r="AQ6" i="1" s="1"/>
  <c r="Y7" i="1"/>
  <c r="Z7" i="1" s="1"/>
  <c r="AQ7" i="1" s="1"/>
  <c r="Y8" i="1"/>
  <c r="Z8" i="1" s="1"/>
  <c r="AQ8" i="1" s="1"/>
  <c r="Y9" i="1"/>
  <c r="Z9" i="1" s="1"/>
  <c r="AQ9" i="1" s="1"/>
  <c r="Y10" i="1"/>
  <c r="Z10" i="1" s="1"/>
  <c r="AQ10" i="1" s="1"/>
  <c r="Y11" i="1"/>
  <c r="Z11" i="1" s="1"/>
  <c r="AQ11" i="1" s="1"/>
  <c r="Y12" i="1"/>
  <c r="Z12" i="1" s="1"/>
  <c r="AQ12" i="1" s="1"/>
  <c r="Y13" i="1"/>
  <c r="Z13" i="1" s="1"/>
  <c r="AQ13" i="1" s="1"/>
  <c r="Y14" i="1"/>
  <c r="Z14" i="1" s="1"/>
  <c r="AQ14" i="1" s="1"/>
  <c r="Y15" i="1"/>
  <c r="Z15" i="1" s="1"/>
  <c r="AQ15" i="1" s="1"/>
  <c r="Y16" i="1"/>
  <c r="Z16" i="1" s="1"/>
  <c r="AQ16" i="1" s="1"/>
  <c r="Y17" i="1"/>
  <c r="Z17" i="1" s="1"/>
  <c r="AQ17" i="1" s="1"/>
  <c r="Y18" i="1"/>
  <c r="Z18" i="1" s="1"/>
  <c r="AQ18" i="1" s="1"/>
  <c r="Y19" i="1"/>
  <c r="Z19" i="1" s="1"/>
  <c r="AQ19" i="1" s="1"/>
  <c r="Y20" i="1"/>
  <c r="Z20" i="1" s="1"/>
  <c r="AQ20" i="1" s="1"/>
  <c r="Y21" i="1"/>
  <c r="Z21" i="1" s="1"/>
  <c r="AQ21" i="1" s="1"/>
  <c r="Y22" i="1"/>
  <c r="Z22" i="1" s="1"/>
  <c r="AQ22" i="1" s="1"/>
  <c r="Y23" i="1"/>
  <c r="Z23" i="1" s="1"/>
  <c r="AQ23" i="1" s="1"/>
  <c r="Y24" i="1"/>
  <c r="Z24" i="1" s="1"/>
  <c r="AQ24" i="1" s="1"/>
  <c r="Y25" i="1"/>
  <c r="Z25" i="1" s="1"/>
  <c r="AQ25" i="1" s="1"/>
  <c r="AB41" i="8"/>
  <c r="AP41" i="8" s="1"/>
  <c r="AB82" i="8"/>
  <c r="AP82" i="8" s="1"/>
  <c r="AB97" i="8"/>
  <c r="AP97" i="8" s="1"/>
  <c r="AB117" i="8"/>
  <c r="AP117" i="8" s="1"/>
  <c r="AB142" i="8"/>
  <c r="AP142" i="8" s="1"/>
  <c r="AB186" i="8"/>
  <c r="AP186" i="8" s="1"/>
  <c r="AB254" i="8"/>
  <c r="AP254" i="8" s="1"/>
  <c r="AB314" i="8"/>
  <c r="AP314" i="8" s="1"/>
  <c r="AB374" i="8"/>
  <c r="AP374" i="8" s="1"/>
  <c r="AB426" i="8"/>
  <c r="AP426" i="8" s="1"/>
  <c r="AB518" i="8"/>
  <c r="AP518" i="8" s="1"/>
  <c r="AB621" i="8"/>
  <c r="AP621" i="8" s="1"/>
  <c r="AB682" i="8"/>
  <c r="AP682" i="8" s="1"/>
  <c r="Z5" i="4"/>
  <c r="Z28" i="4"/>
  <c r="Z5" i="3"/>
  <c r="Z9" i="3"/>
  <c r="Z18" i="3"/>
  <c r="Z22" i="3"/>
  <c r="Z29" i="3"/>
  <c r="Z46" i="3"/>
  <c r="Z50" i="3"/>
  <c r="Z54" i="3"/>
  <c r="Z58" i="3"/>
  <c r="Z62" i="3"/>
  <c r="Z66" i="3"/>
  <c r="Z70" i="3"/>
  <c r="Z74" i="3"/>
  <c r="Z78" i="3"/>
  <c r="Z82" i="3"/>
  <c r="Z86" i="3"/>
  <c r="Z90" i="3"/>
  <c r="Z94" i="3"/>
  <c r="Z98" i="3"/>
  <c r="Z102" i="3"/>
  <c r="Z106" i="3"/>
  <c r="Z126" i="3"/>
  <c r="Z154" i="3"/>
  <c r="Z158" i="3"/>
  <c r="Z162" i="3"/>
  <c r="Z166" i="3"/>
  <c r="Z170" i="3"/>
  <c r="Z174" i="3"/>
  <c r="Z178" i="3"/>
  <c r="Z186" i="3"/>
  <c r="Z190" i="3"/>
  <c r="Z194" i="3"/>
  <c r="Z198" i="3"/>
  <c r="Z202" i="3"/>
  <c r="Z210" i="3"/>
  <c r="Z218" i="3"/>
  <c r="Z221" i="3"/>
  <c r="Z222" i="3"/>
  <c r="Z6" i="2"/>
  <c r="Z10" i="2"/>
  <c r="Z14" i="2"/>
  <c r="Z17" i="2"/>
  <c r="Z21" i="2"/>
  <c r="Z58" i="2"/>
  <c r="Z90" i="2"/>
  <c r="Z122" i="2"/>
  <c r="Z154" i="2"/>
  <c r="Z182" i="2"/>
  <c r="Z198" i="2"/>
  <c r="Z214" i="2"/>
  <c r="Z230" i="2"/>
  <c r="Z246" i="2"/>
  <c r="Z262" i="2"/>
  <c r="Z278" i="2"/>
  <c r="Z294" i="2"/>
  <c r="Z310" i="2"/>
  <c r="Z326" i="2"/>
  <c r="Z337" i="2"/>
  <c r="Z338" i="2"/>
  <c r="Z78" i="1"/>
  <c r="AQ78" i="1" s="1"/>
  <c r="Z270" i="1"/>
  <c r="AQ270" i="1" s="1"/>
  <c r="Z277" i="1"/>
  <c r="AQ277" i="1" s="1"/>
  <c r="Z282" i="1"/>
  <c r="AQ282" i="1" s="1"/>
  <c r="Z35" i="1"/>
  <c r="AQ35" i="1" s="1"/>
  <c r="AB572" i="8"/>
  <c r="AP572" i="8" s="1"/>
  <c r="AB604" i="8"/>
  <c r="AP604" i="8" s="1"/>
  <c r="AB664" i="8"/>
  <c r="AP664" i="8" s="1"/>
  <c r="AB752" i="8"/>
  <c r="AP752" i="8" s="1"/>
  <c r="Z71" i="4"/>
  <c r="Z75" i="4"/>
  <c r="Z79" i="4"/>
  <c r="Z83" i="4"/>
  <c r="Z212" i="3"/>
  <c r="Z223" i="3"/>
  <c r="Z14" i="3"/>
  <c r="Z20" i="3"/>
  <c r="Z2" i="2"/>
  <c r="AF284" i="8"/>
  <c r="AF421" i="8"/>
  <c r="AF473" i="8"/>
  <c r="AF624" i="8"/>
  <c r="AF2" i="8"/>
  <c r="AD2" i="4"/>
  <c r="AD2" i="3"/>
  <c r="AD2" i="2"/>
  <c r="AD139" i="2"/>
  <c r="AD191" i="2"/>
  <c r="AD2" i="1"/>
  <c r="Z225" i="1"/>
  <c r="AQ225" i="1" s="1"/>
  <c r="Z8" i="4"/>
  <c r="Z188" i="3"/>
  <c r="Z219" i="3"/>
  <c r="AB3" i="8"/>
  <c r="AP3" i="8" s="1"/>
  <c r="AB4" i="8"/>
  <c r="AP4" i="8" s="1"/>
  <c r="AB7" i="8"/>
  <c r="AP7" i="8" s="1"/>
  <c r="AB11" i="8"/>
  <c r="AP11" i="8" s="1"/>
  <c r="AB15" i="8"/>
  <c r="AP15" i="8" s="1"/>
  <c r="AB19" i="8"/>
  <c r="AP19" i="8" s="1"/>
  <c r="AB23" i="8"/>
  <c r="AP23" i="8" s="1"/>
  <c r="AB27" i="8"/>
  <c r="AP27" i="8" s="1"/>
  <c r="AB31" i="8"/>
  <c r="AP31" i="8" s="1"/>
  <c r="AB32" i="8"/>
  <c r="AP32" i="8" s="1"/>
  <c r="AB35" i="8"/>
  <c r="AP35" i="8" s="1"/>
  <c r="AB39" i="8"/>
  <c r="AP39" i="8" s="1"/>
  <c r="AB43" i="8"/>
  <c r="AP43" i="8" s="1"/>
  <c r="AB45" i="8"/>
  <c r="AP45" i="8" s="1"/>
  <c r="AB47" i="8"/>
  <c r="AP47" i="8" s="1"/>
  <c r="AB51" i="8"/>
  <c r="AP51" i="8" s="1"/>
  <c r="AB52" i="8"/>
  <c r="AP52" i="8" s="1"/>
  <c r="AB55" i="8"/>
  <c r="AP55" i="8" s="1"/>
  <c r="AB59" i="8"/>
  <c r="AP59" i="8" s="1"/>
  <c r="AB61" i="8"/>
  <c r="AP61" i="8" s="1"/>
  <c r="AB63" i="8"/>
  <c r="AP63" i="8" s="1"/>
  <c r="AB67" i="8"/>
  <c r="AP67" i="8" s="1"/>
  <c r="AB71" i="8"/>
  <c r="AP71" i="8" s="1"/>
  <c r="AB72" i="8"/>
  <c r="AP72" i="8" s="1"/>
  <c r="AB75" i="8"/>
  <c r="AP75" i="8" s="1"/>
  <c r="AB79" i="8"/>
  <c r="AP79" i="8" s="1"/>
  <c r="AB83" i="8"/>
  <c r="AP83" i="8" s="1"/>
  <c r="AB87" i="8"/>
  <c r="AP87" i="8" s="1"/>
  <c r="AB91" i="8"/>
  <c r="AP91" i="8" s="1"/>
  <c r="AB95" i="8"/>
  <c r="AP95" i="8" s="1"/>
  <c r="AB99" i="8"/>
  <c r="AP99" i="8" s="1"/>
  <c r="AB103" i="8"/>
  <c r="AP103" i="8" s="1"/>
  <c r="AB107" i="8"/>
  <c r="AP107" i="8" s="1"/>
  <c r="AB111" i="8"/>
  <c r="AP111" i="8" s="1"/>
  <c r="AB115" i="8"/>
  <c r="AP115" i="8" s="1"/>
  <c r="AB119" i="8"/>
  <c r="AP119" i="8" s="1"/>
  <c r="AB120" i="8"/>
  <c r="AP120" i="8" s="1"/>
  <c r="AB123" i="8"/>
  <c r="AP123" i="8" s="1"/>
  <c r="AB127" i="8"/>
  <c r="AP127" i="8" s="1"/>
  <c r="AB131" i="8"/>
  <c r="AP131" i="8" s="1"/>
  <c r="AB132" i="8"/>
  <c r="AP132" i="8" s="1"/>
  <c r="AB135" i="8"/>
  <c r="AP135" i="8" s="1"/>
  <c r="AB139" i="8"/>
  <c r="AP139" i="8" s="1"/>
  <c r="AB143" i="8"/>
  <c r="AP143" i="8" s="1"/>
  <c r="AB147" i="8"/>
  <c r="AP147" i="8" s="1"/>
  <c r="AB151" i="8"/>
  <c r="AP151" i="8" s="1"/>
  <c r="AB155" i="8"/>
  <c r="AP155" i="8" s="1"/>
  <c r="AB159" i="8"/>
  <c r="AP159" i="8" s="1"/>
  <c r="AB163" i="8"/>
  <c r="AP163" i="8" s="1"/>
  <c r="AB167" i="8"/>
  <c r="AP167" i="8" s="1"/>
  <c r="AB171" i="8"/>
  <c r="AP171" i="8" s="1"/>
  <c r="AB175" i="8"/>
  <c r="AP175" i="8" s="1"/>
  <c r="AB177" i="8"/>
  <c r="AP177" i="8" s="1"/>
  <c r="AB179" i="8"/>
  <c r="AP179" i="8" s="1"/>
  <c r="AB180" i="8"/>
  <c r="AP180" i="8" s="1"/>
  <c r="AB183" i="8"/>
  <c r="AP183" i="8" s="1"/>
  <c r="AB187" i="8"/>
  <c r="AP187" i="8" s="1"/>
  <c r="AB191" i="8"/>
  <c r="AP191" i="8" s="1"/>
  <c r="AB195" i="8"/>
  <c r="AP195" i="8" s="1"/>
  <c r="AB203" i="8"/>
  <c r="AP203" i="8" s="1"/>
  <c r="AB207" i="8"/>
  <c r="AP207" i="8" s="1"/>
  <c r="AB211" i="8"/>
  <c r="AP211" i="8" s="1"/>
  <c r="AB215" i="8"/>
  <c r="AP215" i="8" s="1"/>
  <c r="AB219" i="8"/>
  <c r="AP219" i="8" s="1"/>
  <c r="AB223" i="8"/>
  <c r="AP223" i="8" s="1"/>
  <c r="AB227" i="8"/>
  <c r="AP227" i="8" s="1"/>
  <c r="AB231" i="8"/>
  <c r="AP231" i="8" s="1"/>
  <c r="AB235" i="8"/>
  <c r="AP235" i="8" s="1"/>
  <c r="AB239" i="8"/>
  <c r="AP239" i="8" s="1"/>
  <c r="AB243" i="8"/>
  <c r="AP243" i="8" s="1"/>
  <c r="AB247" i="8"/>
  <c r="AP247" i="8" s="1"/>
  <c r="AB251" i="8"/>
  <c r="AP251" i="8" s="1"/>
  <c r="AB255" i="8"/>
  <c r="AP255" i="8" s="1"/>
  <c r="AB259" i="8"/>
  <c r="AP259" i="8" s="1"/>
  <c r="AB263" i="8"/>
  <c r="AP263" i="8" s="1"/>
  <c r="AB267" i="8"/>
  <c r="AP267" i="8" s="1"/>
  <c r="AB271" i="8"/>
  <c r="AP271" i="8" s="1"/>
  <c r="AB275" i="8"/>
  <c r="AP275" i="8" s="1"/>
  <c r="AB279" i="8"/>
  <c r="AP279" i="8" s="1"/>
  <c r="AB283" i="8"/>
  <c r="AP283" i="8" s="1"/>
  <c r="AB291" i="8"/>
  <c r="AP291" i="8" s="1"/>
  <c r="AB295" i="8"/>
  <c r="AP295" i="8" s="1"/>
  <c r="AB299" i="8"/>
  <c r="AP299" i="8" s="1"/>
  <c r="AB303" i="8"/>
  <c r="AP303" i="8" s="1"/>
  <c r="AB311" i="8"/>
  <c r="AP311" i="8" s="1"/>
  <c r="AB315" i="8"/>
  <c r="AP315" i="8" s="1"/>
  <c r="AB319" i="8"/>
  <c r="AP319" i="8" s="1"/>
  <c r="AB323" i="8"/>
  <c r="AP323" i="8" s="1"/>
  <c r="AB327" i="8"/>
  <c r="AP327" i="8" s="1"/>
  <c r="AB335" i="8"/>
  <c r="AP335" i="8" s="1"/>
  <c r="AB339" i="8"/>
  <c r="AP339" i="8" s="1"/>
  <c r="AB347" i="8"/>
  <c r="AP347" i="8" s="1"/>
  <c r="AB351" i="8"/>
  <c r="AP351" i="8" s="1"/>
  <c r="AB356" i="8"/>
  <c r="AP356" i="8" s="1"/>
  <c r="AB359" i="8"/>
  <c r="AP359" i="8" s="1"/>
  <c r="AB367" i="8"/>
  <c r="AP367" i="8" s="1"/>
  <c r="AB371" i="8"/>
  <c r="AP371" i="8" s="1"/>
  <c r="AB375" i="8"/>
  <c r="AP375" i="8" s="1"/>
  <c r="AB383" i="8"/>
  <c r="AP383" i="8" s="1"/>
  <c r="AB387" i="8"/>
  <c r="AP387" i="8" s="1"/>
  <c r="AB395" i="8"/>
  <c r="AP395" i="8" s="1"/>
  <c r="AB403" i="8"/>
  <c r="AP403" i="8" s="1"/>
  <c r="AB411" i="8"/>
  <c r="AP411" i="8" s="1"/>
  <c r="AB415" i="8"/>
  <c r="AP415" i="8" s="1"/>
  <c r="AB419" i="8"/>
  <c r="AP419" i="8" s="1"/>
  <c r="AB427" i="8"/>
  <c r="AP427" i="8" s="1"/>
  <c r="AB431" i="8"/>
  <c r="AP431" i="8" s="1"/>
  <c r="AB439" i="8"/>
  <c r="AP439" i="8" s="1"/>
  <c r="AB447" i="8"/>
  <c r="AP447" i="8" s="1"/>
  <c r="AB455" i="8"/>
  <c r="AP455" i="8" s="1"/>
  <c r="AB459" i="8"/>
  <c r="AP459" i="8" s="1"/>
  <c r="AB467" i="8"/>
  <c r="AP467" i="8" s="1"/>
  <c r="AB471" i="8"/>
  <c r="AP471" i="8" s="1"/>
  <c r="AB487" i="8"/>
  <c r="AP487" i="8" s="1"/>
  <c r="AB499" i="8"/>
  <c r="AP499" i="8" s="1"/>
  <c r="AB515" i="8"/>
  <c r="AP515" i="8" s="1"/>
  <c r="AB523" i="8"/>
  <c r="AP523" i="8" s="1"/>
  <c r="AB535" i="8"/>
  <c r="AP535" i="8" s="1"/>
  <c r="AB539" i="8"/>
  <c r="AP539" i="8" s="1"/>
  <c r="AB540" i="8"/>
  <c r="AP540" i="8" s="1"/>
  <c r="AB555" i="8"/>
  <c r="AP555" i="8" s="1"/>
  <c r="AB559" i="8"/>
  <c r="AP559" i="8" s="1"/>
  <c r="AB560" i="8"/>
  <c r="AP560" i="8" s="1"/>
  <c r="AB571" i="8"/>
  <c r="AP571" i="8" s="1"/>
  <c r="AB575" i="8"/>
  <c r="AP575" i="8" s="1"/>
  <c r="AB583" i="8"/>
  <c r="AP583" i="8" s="1"/>
  <c r="AB591" i="8"/>
  <c r="AP591" i="8" s="1"/>
  <c r="AB599" i="8"/>
  <c r="AP599" i="8" s="1"/>
  <c r="AB607" i="8"/>
  <c r="AP607" i="8" s="1"/>
  <c r="AB627" i="8"/>
  <c r="AP627" i="8" s="1"/>
  <c r="AB635" i="8"/>
  <c r="AP635" i="8" s="1"/>
  <c r="AB636" i="8"/>
  <c r="AP636" i="8" s="1"/>
  <c r="AB655" i="8"/>
  <c r="AP655" i="8" s="1"/>
  <c r="AB663" i="8"/>
  <c r="AP663" i="8" s="1"/>
  <c r="AB679" i="8"/>
  <c r="AP679" i="8" s="1"/>
  <c r="AB687" i="8"/>
  <c r="AP687" i="8" s="1"/>
  <c r="AB695" i="8"/>
  <c r="AP695" i="8" s="1"/>
  <c r="AB703" i="8"/>
  <c r="AP703" i="8" s="1"/>
  <c r="AB704" i="8"/>
  <c r="AP704" i="8" s="1"/>
  <c r="AB723" i="8"/>
  <c r="AP723" i="8" s="1"/>
  <c r="AB735" i="8"/>
  <c r="AP735" i="8" s="1"/>
  <c r="AB743" i="8"/>
  <c r="AP743" i="8" s="1"/>
  <c r="AB767" i="8"/>
  <c r="AP767" i="8" s="1"/>
  <c r="AB776" i="8"/>
  <c r="AP776" i="8" s="1"/>
  <c r="AB791" i="8"/>
  <c r="AP791" i="8" s="1"/>
  <c r="AB816" i="8"/>
  <c r="AP816" i="8" s="1"/>
  <c r="AB823" i="8"/>
  <c r="AP823" i="8" s="1"/>
  <c r="AB831" i="8"/>
  <c r="AP831" i="8" s="1"/>
  <c r="AB199" i="8"/>
  <c r="AP199" i="8" s="1"/>
  <c r="Z55" i="4"/>
  <c r="Z59" i="4"/>
  <c r="Z63" i="4"/>
  <c r="Z67" i="4"/>
  <c r="Z76" i="4"/>
  <c r="Z12" i="4"/>
  <c r="Z15" i="4"/>
  <c r="Z16" i="4"/>
  <c r="Z19" i="4"/>
  <c r="Z20" i="4"/>
  <c r="Z4" i="4"/>
  <c r="Z11" i="4"/>
  <c r="Z111" i="3"/>
  <c r="Z115" i="3"/>
  <c r="Z119" i="3"/>
  <c r="Z24" i="3"/>
  <c r="Z27" i="3"/>
  <c r="Z28" i="3"/>
  <c r="Z16" i="3"/>
  <c r="Z336" i="2"/>
  <c r="Z341" i="2"/>
  <c r="Z40" i="2"/>
  <c r="Z44" i="2"/>
  <c r="Z45" i="2"/>
  <c r="Z48" i="2"/>
  <c r="Z49" i="2"/>
  <c r="Z52" i="2"/>
  <c r="Z53" i="2"/>
  <c r="Z56" i="2"/>
  <c r="Z331" i="2"/>
  <c r="Z335" i="2"/>
  <c r="Z328" i="2"/>
  <c r="Z329" i="2"/>
  <c r="Z167" i="2"/>
  <c r="Z168" i="2"/>
  <c r="Z169" i="2"/>
  <c r="Z153" i="2"/>
  <c r="Z155" i="2"/>
  <c r="Z16" i="2"/>
  <c r="Z20" i="2"/>
  <c r="Z24" i="2"/>
  <c r="W3" i="8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3" i="8"/>
  <c r="W64" i="8"/>
  <c r="W65" i="8"/>
  <c r="W66" i="8"/>
  <c r="W67" i="8"/>
  <c r="W68" i="8"/>
  <c r="W69" i="8"/>
  <c r="W70" i="8"/>
  <c r="W71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96" i="8"/>
  <c r="W97" i="8"/>
  <c r="W98" i="8"/>
  <c r="W99" i="8"/>
  <c r="W100" i="8"/>
  <c r="W101" i="8"/>
  <c r="W102" i="8"/>
  <c r="W103" i="8"/>
  <c r="W104" i="8"/>
  <c r="W105" i="8"/>
  <c r="W106" i="8"/>
  <c r="W107" i="8"/>
  <c r="W108" i="8"/>
  <c r="W109" i="8"/>
  <c r="W110" i="8"/>
  <c r="W111" i="8"/>
  <c r="W112" i="8"/>
  <c r="W113" i="8"/>
  <c r="W114" i="8"/>
  <c r="W115" i="8"/>
  <c r="W116" i="8"/>
  <c r="W117" i="8"/>
  <c r="W118" i="8"/>
  <c r="W119" i="8"/>
  <c r="W120" i="8"/>
  <c r="W121" i="8"/>
  <c r="W122" i="8"/>
  <c r="W123" i="8"/>
  <c r="W124" i="8"/>
  <c r="W125" i="8"/>
  <c r="W126" i="8"/>
  <c r="W127" i="8"/>
  <c r="W128" i="8"/>
  <c r="W129" i="8"/>
  <c r="W130" i="8"/>
  <c r="W131" i="8"/>
  <c r="W132" i="8"/>
  <c r="W133" i="8"/>
  <c r="W134" i="8"/>
  <c r="W135" i="8"/>
  <c r="W136" i="8"/>
  <c r="W137" i="8"/>
  <c r="W138" i="8"/>
  <c r="W139" i="8"/>
  <c r="W140" i="8"/>
  <c r="W141" i="8"/>
  <c r="W142" i="8"/>
  <c r="W143" i="8"/>
  <c r="W144" i="8"/>
  <c r="W145" i="8"/>
  <c r="W146" i="8"/>
  <c r="W147" i="8"/>
  <c r="W148" i="8"/>
  <c r="W149" i="8"/>
  <c r="W150" i="8"/>
  <c r="W151" i="8"/>
  <c r="W152" i="8"/>
  <c r="W153" i="8"/>
  <c r="W154" i="8"/>
  <c r="W155" i="8"/>
  <c r="W156" i="8"/>
  <c r="W157" i="8"/>
  <c r="W158" i="8"/>
  <c r="W159" i="8"/>
  <c r="W160" i="8"/>
  <c r="W161" i="8"/>
  <c r="W162" i="8"/>
  <c r="W163" i="8"/>
  <c r="W164" i="8"/>
  <c r="W165" i="8"/>
  <c r="W166" i="8"/>
  <c r="W167" i="8"/>
  <c r="W168" i="8"/>
  <c r="W169" i="8"/>
  <c r="W170" i="8"/>
  <c r="W171" i="8"/>
  <c r="W172" i="8"/>
  <c r="W173" i="8"/>
  <c r="W174" i="8"/>
  <c r="W175" i="8"/>
  <c r="W176" i="8"/>
  <c r="W177" i="8"/>
  <c r="W178" i="8"/>
  <c r="W179" i="8"/>
  <c r="W180" i="8"/>
  <c r="W181" i="8"/>
  <c r="W182" i="8"/>
  <c r="W183" i="8"/>
  <c r="W184" i="8"/>
  <c r="W185" i="8"/>
  <c r="W186" i="8"/>
  <c r="W187" i="8"/>
  <c r="W188" i="8"/>
  <c r="W189" i="8"/>
  <c r="W190" i="8"/>
  <c r="W191" i="8"/>
  <c r="W192" i="8"/>
  <c r="W193" i="8"/>
  <c r="W194" i="8"/>
  <c r="W195" i="8"/>
  <c r="W196" i="8"/>
  <c r="W197" i="8"/>
  <c r="W198" i="8"/>
  <c r="W199" i="8"/>
  <c r="W200" i="8"/>
  <c r="W201" i="8"/>
  <c r="W202" i="8"/>
  <c r="W203" i="8"/>
  <c r="W204" i="8"/>
  <c r="W205" i="8"/>
  <c r="W206" i="8"/>
  <c r="W207" i="8"/>
  <c r="W208" i="8"/>
  <c r="W209" i="8"/>
  <c r="W210" i="8"/>
  <c r="W211" i="8"/>
  <c r="W212" i="8"/>
  <c r="W213" i="8"/>
  <c r="W214" i="8"/>
  <c r="W215" i="8"/>
  <c r="W216" i="8"/>
  <c r="W217" i="8"/>
  <c r="W218" i="8"/>
  <c r="W219" i="8"/>
  <c r="W220" i="8"/>
  <c r="W221" i="8"/>
  <c r="W222" i="8"/>
  <c r="W223" i="8"/>
  <c r="W224" i="8"/>
  <c r="W225" i="8"/>
  <c r="W226" i="8"/>
  <c r="W227" i="8"/>
  <c r="W228" i="8"/>
  <c r="W229" i="8"/>
  <c r="W230" i="8"/>
  <c r="W231" i="8"/>
  <c r="W232" i="8"/>
  <c r="W233" i="8"/>
  <c r="W234" i="8"/>
  <c r="W235" i="8"/>
  <c r="W236" i="8"/>
  <c r="W237" i="8"/>
  <c r="W238" i="8"/>
  <c r="W239" i="8"/>
  <c r="W240" i="8"/>
  <c r="W241" i="8"/>
  <c r="W242" i="8"/>
  <c r="W243" i="8"/>
  <c r="W244" i="8"/>
  <c r="W245" i="8"/>
  <c r="W246" i="8"/>
  <c r="W247" i="8"/>
  <c r="W248" i="8"/>
  <c r="W249" i="8"/>
  <c r="W250" i="8"/>
  <c r="W251" i="8"/>
  <c r="W252" i="8"/>
  <c r="W253" i="8"/>
  <c r="W254" i="8"/>
  <c r="W255" i="8"/>
  <c r="W256" i="8"/>
  <c r="W257" i="8"/>
  <c r="W258" i="8"/>
  <c r="W259" i="8"/>
  <c r="W260" i="8"/>
  <c r="W261" i="8"/>
  <c r="W262" i="8"/>
  <c r="W263" i="8"/>
  <c r="W264" i="8"/>
  <c r="W265" i="8"/>
  <c r="W266" i="8"/>
  <c r="W267" i="8"/>
  <c r="W268" i="8"/>
  <c r="W269" i="8"/>
  <c r="W270" i="8"/>
  <c r="W271" i="8"/>
  <c r="W272" i="8"/>
  <c r="W273" i="8"/>
  <c r="W274" i="8"/>
  <c r="W275" i="8"/>
  <c r="W276" i="8"/>
  <c r="W277" i="8"/>
  <c r="W278" i="8"/>
  <c r="W279" i="8"/>
  <c r="W280" i="8"/>
  <c r="W281" i="8"/>
  <c r="W282" i="8"/>
  <c r="W283" i="8"/>
  <c r="W284" i="8"/>
  <c r="W286" i="8"/>
  <c r="W287" i="8"/>
  <c r="W288" i="8"/>
  <c r="W289" i="8"/>
  <c r="W290" i="8"/>
  <c r="W291" i="8"/>
  <c r="W292" i="8"/>
  <c r="W293" i="8"/>
  <c r="W294" i="8"/>
  <c r="W295" i="8"/>
  <c r="W296" i="8"/>
  <c r="W297" i="8"/>
  <c r="W298" i="8"/>
  <c r="W299" i="8"/>
  <c r="W300" i="8"/>
  <c r="W301" i="8"/>
  <c r="W302" i="8"/>
  <c r="W303" i="8"/>
  <c r="W304" i="8"/>
  <c r="W305" i="8"/>
  <c r="W306" i="8"/>
  <c r="W307" i="8"/>
  <c r="W308" i="8"/>
  <c r="W309" i="8"/>
  <c r="W310" i="8"/>
  <c r="W311" i="8"/>
  <c r="W312" i="8"/>
  <c r="W313" i="8"/>
  <c r="W314" i="8"/>
  <c r="W315" i="8"/>
  <c r="W316" i="8"/>
  <c r="W317" i="8"/>
  <c r="W318" i="8"/>
  <c r="W319" i="8"/>
  <c r="W320" i="8"/>
  <c r="W321" i="8"/>
  <c r="W322" i="8"/>
  <c r="W323" i="8"/>
  <c r="W324" i="8"/>
  <c r="W325" i="8"/>
  <c r="W326" i="8"/>
  <c r="W327" i="8"/>
  <c r="W328" i="8"/>
  <c r="W329" i="8"/>
  <c r="W331" i="8"/>
  <c r="W332" i="8"/>
  <c r="W333" i="8"/>
  <c r="W334" i="8"/>
  <c r="W335" i="8"/>
  <c r="W336" i="8"/>
  <c r="W337" i="8"/>
  <c r="W338" i="8"/>
  <c r="W339" i="8"/>
  <c r="W340" i="8"/>
  <c r="W341" i="8"/>
  <c r="W342" i="8"/>
  <c r="W343" i="8"/>
  <c r="W344" i="8"/>
  <c r="W345" i="8"/>
  <c r="W346" i="8"/>
  <c r="W347" i="8"/>
  <c r="W348" i="8"/>
  <c r="W349" i="8"/>
  <c r="W350" i="8"/>
  <c r="W351" i="8"/>
  <c r="W352" i="8"/>
  <c r="W353" i="8"/>
  <c r="W354" i="8"/>
  <c r="W355" i="8"/>
  <c r="W356" i="8"/>
  <c r="W357" i="8"/>
  <c r="W358" i="8"/>
  <c r="W359" i="8"/>
  <c r="W360" i="8"/>
  <c r="W361" i="8"/>
  <c r="W362" i="8"/>
  <c r="W363" i="8"/>
  <c r="W364" i="8"/>
  <c r="W365" i="8"/>
  <c r="W366" i="8"/>
  <c r="W367" i="8"/>
  <c r="W368" i="8"/>
  <c r="W369" i="8"/>
  <c r="W370" i="8"/>
  <c r="W371" i="8"/>
  <c r="W372" i="8"/>
  <c r="W374" i="8"/>
  <c r="W375" i="8"/>
  <c r="W376" i="8"/>
  <c r="W377" i="8"/>
  <c r="W378" i="8"/>
  <c r="W379" i="8"/>
  <c r="W380" i="8"/>
  <c r="W381" i="8"/>
  <c r="W382" i="8"/>
  <c r="W383" i="8"/>
  <c r="W384" i="8"/>
  <c r="W385" i="8"/>
  <c r="W386" i="8"/>
  <c r="W388" i="8"/>
  <c r="W389" i="8"/>
  <c r="W393" i="8"/>
  <c r="W394" i="8"/>
  <c r="W395" i="8"/>
  <c r="W396" i="8"/>
  <c r="W397" i="8"/>
  <c r="W398" i="8"/>
  <c r="W399" i="8"/>
  <c r="W400" i="8"/>
  <c r="W401" i="8"/>
  <c r="W403" i="8"/>
  <c r="W404" i="8"/>
  <c r="W405" i="8"/>
  <c r="W406" i="8"/>
  <c r="W407" i="8"/>
  <c r="W408" i="8"/>
  <c r="W409" i="8"/>
  <c r="W410" i="8"/>
  <c r="W411" i="8"/>
  <c r="W412" i="8"/>
  <c r="W413" i="8"/>
  <c r="W414" i="8"/>
  <c r="W415" i="8"/>
  <c r="W417" i="8"/>
  <c r="W418" i="8"/>
  <c r="W419" i="8"/>
  <c r="W420" i="8"/>
  <c r="W421" i="8"/>
  <c r="W422" i="8"/>
  <c r="W423" i="8"/>
  <c r="W424" i="8"/>
  <c r="W425" i="8"/>
  <c r="W426" i="8"/>
  <c r="W427" i="8"/>
  <c r="W428" i="8"/>
  <c r="W429" i="8"/>
  <c r="W430" i="8"/>
  <c r="W432" i="8"/>
  <c r="W433" i="8"/>
  <c r="W434" i="8"/>
  <c r="W435" i="8"/>
  <c r="W436" i="8"/>
  <c r="W437" i="8"/>
  <c r="W438" i="8"/>
  <c r="W439" i="8"/>
  <c r="W440" i="8"/>
  <c r="W442" i="8"/>
  <c r="W443" i="8"/>
  <c r="W444" i="8"/>
  <c r="W445" i="8"/>
  <c r="W446" i="8"/>
  <c r="W447" i="8"/>
  <c r="W448" i="8"/>
  <c r="W449" i="8"/>
  <c r="W450" i="8"/>
  <c r="W451" i="8"/>
  <c r="W452" i="8"/>
  <c r="W453" i="8"/>
  <c r="W454" i="8"/>
  <c r="W455" i="8"/>
  <c r="W456" i="8"/>
  <c r="W457" i="8"/>
  <c r="W463" i="8"/>
  <c r="W464" i="8"/>
  <c r="W465" i="8"/>
  <c r="W466" i="8"/>
  <c r="W467" i="8"/>
  <c r="W468" i="8"/>
  <c r="W470" i="8"/>
  <c r="W471" i="8"/>
  <c r="W472" i="8"/>
  <c r="W473" i="8"/>
  <c r="W474" i="8"/>
  <c r="W475" i="8"/>
  <c r="W476" i="8"/>
  <c r="W477" i="8"/>
  <c r="W478" i="8"/>
  <c r="W479" i="8"/>
  <c r="W481" i="8"/>
  <c r="W482" i="8"/>
  <c r="W483" i="8"/>
  <c r="W484" i="8"/>
  <c r="W485" i="8"/>
  <c r="W486" i="8"/>
  <c r="W487" i="8"/>
  <c r="W488" i="8"/>
  <c r="W489" i="8"/>
  <c r="W490" i="8"/>
  <c r="W491" i="8"/>
  <c r="W492" i="8"/>
  <c r="W493" i="8"/>
  <c r="W494" i="8"/>
  <c r="W495" i="8"/>
  <c r="W496" i="8"/>
  <c r="W497" i="8"/>
  <c r="W498" i="8"/>
  <c r="W499" i="8"/>
  <c r="W500" i="8"/>
  <c r="W501" i="8"/>
  <c r="W502" i="8"/>
  <c r="W504" i="8"/>
  <c r="W505" i="8"/>
  <c r="W506" i="8"/>
  <c r="W507" i="8"/>
  <c r="W508" i="8"/>
  <c r="W509" i="8"/>
  <c r="W510" i="8"/>
  <c r="W511" i="8"/>
  <c r="W512" i="8"/>
  <c r="W513" i="8"/>
  <c r="W514" i="8"/>
  <c r="W515" i="8"/>
  <c r="W516" i="8"/>
  <c r="W517" i="8"/>
  <c r="W518" i="8"/>
  <c r="W519" i="8"/>
  <c r="W520" i="8"/>
  <c r="W521" i="8"/>
  <c r="W522" i="8"/>
  <c r="W523" i="8"/>
  <c r="W524" i="8"/>
  <c r="W525" i="8"/>
  <c r="W526" i="8"/>
  <c r="W527" i="8"/>
  <c r="W528" i="8"/>
  <c r="W529" i="8"/>
  <c r="W530" i="8"/>
  <c r="W531" i="8"/>
  <c r="W532" i="8"/>
  <c r="W533" i="8"/>
  <c r="W534" i="8"/>
  <c r="W535" i="8"/>
  <c r="W536" i="8"/>
  <c r="W537" i="8"/>
  <c r="W538" i="8"/>
  <c r="W539" i="8"/>
  <c r="W540" i="8"/>
  <c r="W542" i="8"/>
  <c r="W543" i="8"/>
  <c r="W544" i="8"/>
  <c r="W545" i="8"/>
  <c r="W546" i="8"/>
  <c r="W547" i="8"/>
  <c r="W548" i="8"/>
  <c r="W549" i="8"/>
  <c r="W550" i="8"/>
  <c r="W551" i="8"/>
  <c r="W552" i="8"/>
  <c r="W553" i="8"/>
  <c r="W554" i="8"/>
  <c r="W555" i="8"/>
  <c r="W556" i="8"/>
  <c r="W557" i="8"/>
  <c r="W558" i="8"/>
  <c r="W559" i="8"/>
  <c r="W560" i="8"/>
  <c r="W561" i="8"/>
  <c r="W562" i="8"/>
  <c r="W563" i="8"/>
  <c r="W564" i="8"/>
  <c r="W565" i="8"/>
  <c r="W566" i="8"/>
  <c r="W567" i="8"/>
  <c r="W568" i="8"/>
  <c r="W569" i="8"/>
  <c r="W570" i="8"/>
  <c r="W572" i="8"/>
  <c r="W573" i="8"/>
  <c r="W574" i="8"/>
  <c r="W575" i="8"/>
  <c r="W576" i="8"/>
  <c r="W577" i="8"/>
  <c r="W578" i="8"/>
  <c r="W579" i="8"/>
  <c r="W580" i="8"/>
  <c r="W581" i="8"/>
  <c r="W582" i="8"/>
  <c r="W583" i="8"/>
  <c r="W584" i="8"/>
  <c r="W586" i="8"/>
  <c r="W587" i="8"/>
  <c r="W588" i="8"/>
  <c r="W589" i="8"/>
  <c r="W590" i="8"/>
  <c r="W591" i="8"/>
  <c r="W592" i="8"/>
  <c r="W593" i="8"/>
  <c r="W595" i="8"/>
  <c r="W596" i="8"/>
  <c r="W597" i="8"/>
  <c r="W598" i="8"/>
  <c r="W599" i="8"/>
  <c r="W600" i="8"/>
  <c r="W601" i="8"/>
  <c r="W602" i="8"/>
  <c r="W603" i="8"/>
  <c r="W604" i="8"/>
  <c r="W606" i="8"/>
  <c r="W607" i="8"/>
  <c r="W608" i="8"/>
  <c r="W609" i="8"/>
  <c r="W610" i="8"/>
  <c r="W611" i="8"/>
  <c r="W612" i="8"/>
  <c r="W614" i="8"/>
  <c r="W615" i="8"/>
  <c r="W616" i="8"/>
  <c r="W617" i="8"/>
  <c r="W618" i="8"/>
  <c r="W619" i="8"/>
  <c r="W620" i="8"/>
  <c r="W621" i="8"/>
  <c r="W622" i="8"/>
  <c r="W623" i="8"/>
  <c r="W624" i="8"/>
  <c r="W625" i="8"/>
  <c r="W626" i="8"/>
  <c r="W627" i="8"/>
  <c r="W628" i="8"/>
  <c r="W629" i="8"/>
  <c r="W630" i="8"/>
  <c r="W631" i="8"/>
  <c r="W632" i="8"/>
  <c r="W633" i="8"/>
  <c r="W634" i="8"/>
  <c r="W635" i="8"/>
  <c r="W637" i="8"/>
  <c r="W638" i="8"/>
  <c r="W639" i="8"/>
  <c r="W640" i="8"/>
  <c r="W641" i="8"/>
  <c r="W642" i="8"/>
  <c r="W643" i="8"/>
  <c r="W644" i="8"/>
  <c r="W645" i="8"/>
  <c r="W646" i="8"/>
  <c r="W647" i="8"/>
  <c r="W648" i="8"/>
  <c r="W649" i="8"/>
  <c r="W650" i="8"/>
  <c r="W651" i="8"/>
  <c r="W652" i="8"/>
  <c r="W653" i="8"/>
  <c r="W654" i="8"/>
  <c r="W655" i="8"/>
  <c r="W656" i="8"/>
  <c r="W657" i="8"/>
  <c r="W658" i="8"/>
  <c r="W659" i="8"/>
  <c r="W660" i="8"/>
  <c r="W662" i="8"/>
  <c r="W663" i="8"/>
  <c r="W664" i="8"/>
  <c r="W665" i="8"/>
  <c r="W666" i="8"/>
  <c r="W667" i="8"/>
  <c r="W668" i="8"/>
  <c r="W669" i="8"/>
  <c r="W670" i="8"/>
  <c r="W671" i="8"/>
  <c r="W672" i="8"/>
  <c r="W673" i="8"/>
  <c r="W674" i="8"/>
  <c r="W675" i="8"/>
  <c r="W676" i="8"/>
  <c r="W677" i="8"/>
  <c r="W678" i="8"/>
  <c r="W679" i="8"/>
  <c r="W680" i="8"/>
  <c r="W681" i="8"/>
  <c r="W682" i="8"/>
  <c r="W683" i="8"/>
  <c r="W684" i="8"/>
  <c r="W686" i="8"/>
  <c r="W687" i="8"/>
  <c r="W688" i="8"/>
  <c r="W689" i="8"/>
  <c r="W690" i="8"/>
  <c r="W691" i="8"/>
  <c r="W692" i="8"/>
  <c r="W693" i="8"/>
  <c r="W694" i="8"/>
  <c r="W695" i="8"/>
  <c r="W697" i="8"/>
  <c r="W698" i="8"/>
  <c r="W699" i="8"/>
  <c r="W700" i="8"/>
  <c r="W701" i="8"/>
  <c r="W702" i="8"/>
  <c r="W703" i="8"/>
  <c r="W704" i="8"/>
  <c r="W705" i="8"/>
  <c r="W706" i="8"/>
  <c r="W708" i="8"/>
  <c r="W709" i="8"/>
  <c r="W710" i="8"/>
  <c r="W711" i="8"/>
  <c r="W712" i="8"/>
  <c r="W713" i="8"/>
  <c r="W714" i="8"/>
  <c r="W715" i="8"/>
  <c r="W716" i="8"/>
  <c r="W717" i="8"/>
  <c r="W718" i="8"/>
  <c r="W719" i="8"/>
  <c r="W720" i="8"/>
  <c r="W721" i="8"/>
  <c r="W722" i="8"/>
  <c r="W723" i="8"/>
  <c r="W724" i="8"/>
  <c r="W725" i="8"/>
  <c r="W727" i="8"/>
  <c r="W728" i="8"/>
  <c r="W729" i="8"/>
  <c r="W730" i="8"/>
  <c r="W731" i="8"/>
  <c r="W732" i="8"/>
  <c r="W733" i="8"/>
  <c r="W734" i="8"/>
  <c r="W735" i="8"/>
  <c r="W736" i="8"/>
  <c r="W737" i="8"/>
  <c r="W738" i="8"/>
  <c r="W739" i="8"/>
  <c r="W740" i="8"/>
  <c r="W741" i="8"/>
  <c r="W742" i="8"/>
  <c r="W743" i="8"/>
  <c r="W744" i="8"/>
  <c r="W745" i="8"/>
  <c r="W746" i="8"/>
  <c r="W747" i="8"/>
  <c r="W748" i="8"/>
  <c r="W749" i="8"/>
  <c r="W750" i="8"/>
  <c r="W751" i="8"/>
  <c r="W752" i="8"/>
  <c r="W753" i="8"/>
  <c r="W754" i="8"/>
  <c r="W755" i="8"/>
  <c r="W756" i="8"/>
  <c r="W757" i="8"/>
  <c r="W758" i="8"/>
  <c r="W759" i="8"/>
  <c r="W760" i="8"/>
  <c r="W761" i="8"/>
  <c r="W762" i="8"/>
  <c r="W763" i="8"/>
  <c r="W764" i="8"/>
  <c r="W765" i="8"/>
  <c r="W766" i="8"/>
  <c r="W767" i="8"/>
  <c r="W768" i="8"/>
  <c r="W769" i="8"/>
  <c r="W770" i="8"/>
  <c r="W771" i="8"/>
  <c r="W772" i="8"/>
  <c r="W773" i="8"/>
  <c r="W774" i="8"/>
  <c r="W775" i="8"/>
  <c r="W776" i="8"/>
  <c r="W777" i="8"/>
  <c r="W778" i="8"/>
  <c r="W779" i="8"/>
  <c r="W780" i="8"/>
  <c r="W781" i="8"/>
  <c r="W782" i="8"/>
  <c r="W783" i="8"/>
  <c r="W784" i="8"/>
  <c r="W785" i="8"/>
  <c r="W786" i="8"/>
  <c r="W787" i="8"/>
  <c r="W788" i="8"/>
  <c r="W789" i="8"/>
  <c r="W790" i="8"/>
  <c r="W791" i="8"/>
  <c r="W792" i="8"/>
  <c r="W793" i="8"/>
  <c r="W794" i="8"/>
  <c r="W795" i="8"/>
  <c r="W796" i="8"/>
  <c r="W797" i="8"/>
  <c r="W798" i="8"/>
  <c r="W799" i="8"/>
  <c r="W800" i="8"/>
  <c r="W801" i="8"/>
  <c r="W802" i="8"/>
  <c r="W803" i="8"/>
  <c r="W804" i="8"/>
  <c r="W805" i="8"/>
  <c r="W806" i="8"/>
  <c r="W807" i="8"/>
  <c r="W808" i="8"/>
  <c r="W809" i="8"/>
  <c r="W810" i="8"/>
  <c r="W811" i="8"/>
  <c r="W812" i="8"/>
  <c r="W813" i="8"/>
  <c r="W814" i="8"/>
  <c r="W815" i="8"/>
  <c r="W816" i="8"/>
  <c r="W817" i="8"/>
  <c r="W818" i="8"/>
  <c r="W819" i="8"/>
  <c r="W820" i="8"/>
  <c r="W821" i="8"/>
  <c r="W822" i="8"/>
  <c r="W823" i="8"/>
  <c r="W824" i="8"/>
  <c r="W825" i="8"/>
  <c r="W826" i="8"/>
  <c r="W827" i="8"/>
  <c r="W828" i="8"/>
  <c r="W829" i="8"/>
  <c r="W830" i="8"/>
  <c r="W831" i="8"/>
  <c r="W832" i="8"/>
  <c r="W833" i="8"/>
  <c r="W834" i="8"/>
  <c r="W835" i="8"/>
  <c r="W836" i="8"/>
  <c r="W837" i="8"/>
  <c r="W838" i="8"/>
  <c r="W839" i="8"/>
  <c r="W840" i="8"/>
  <c r="W841" i="8"/>
  <c r="W842" i="8"/>
  <c r="W843" i="8"/>
  <c r="W844" i="8"/>
  <c r="W845" i="8"/>
  <c r="W2" i="8"/>
  <c r="AI3" i="4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37" i="4"/>
  <c r="AI38" i="4"/>
  <c r="AI39" i="4"/>
  <c r="AI40" i="4"/>
  <c r="AI41" i="4"/>
  <c r="AI42" i="4"/>
  <c r="AI43" i="4"/>
  <c r="AI44" i="4"/>
  <c r="AI45" i="4"/>
  <c r="AI46" i="4"/>
  <c r="AI47" i="4"/>
  <c r="AI48" i="4"/>
  <c r="AI49" i="4"/>
  <c r="AI50" i="4"/>
  <c r="AI51" i="4"/>
  <c r="AI52" i="4"/>
  <c r="AI53" i="4"/>
  <c r="AI54" i="4"/>
  <c r="AI55" i="4"/>
  <c r="AI56" i="4"/>
  <c r="AI57" i="4"/>
  <c r="AI58" i="4"/>
  <c r="AI59" i="4"/>
  <c r="AI60" i="4"/>
  <c r="AI61" i="4"/>
  <c r="AI62" i="4"/>
  <c r="AI63" i="4"/>
  <c r="AI64" i="4"/>
  <c r="AI65" i="4"/>
  <c r="AI66" i="4"/>
  <c r="AI67" i="4"/>
  <c r="AI68" i="4"/>
  <c r="AI69" i="4"/>
  <c r="AI70" i="4"/>
  <c r="AI71" i="4"/>
  <c r="AI72" i="4"/>
  <c r="AI73" i="4"/>
  <c r="AI74" i="4"/>
  <c r="AI75" i="4"/>
  <c r="AI76" i="4"/>
  <c r="AI77" i="4"/>
  <c r="AI78" i="4"/>
  <c r="AI79" i="4"/>
  <c r="AI80" i="4"/>
  <c r="AI81" i="4"/>
  <c r="AI82" i="4"/>
  <c r="AI83" i="4"/>
  <c r="AI2" i="4"/>
  <c r="AI3" i="3"/>
  <c r="AI4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8" i="3"/>
  <c r="AI29" i="3"/>
  <c r="AI30" i="3"/>
  <c r="AI31" i="3"/>
  <c r="AI32" i="3"/>
  <c r="AI33" i="3"/>
  <c r="AI34" i="3"/>
  <c r="AI35" i="3"/>
  <c r="AI36" i="3"/>
  <c r="AI37" i="3"/>
  <c r="AI38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4" i="3"/>
  <c r="AI65" i="3"/>
  <c r="AI66" i="3"/>
  <c r="AI67" i="3"/>
  <c r="AI68" i="3"/>
  <c r="AI69" i="3"/>
  <c r="AI70" i="3"/>
  <c r="AI71" i="3"/>
  <c r="AI72" i="3"/>
  <c r="AI73" i="3"/>
  <c r="AI75" i="3"/>
  <c r="AI76" i="3"/>
  <c r="AI77" i="3"/>
  <c r="AI78" i="3"/>
  <c r="AI79" i="3"/>
  <c r="AI80" i="3"/>
  <c r="AI81" i="3"/>
  <c r="AI82" i="3"/>
  <c r="AI83" i="3"/>
  <c r="AI84" i="3"/>
  <c r="AI86" i="3"/>
  <c r="AI87" i="3"/>
  <c r="AI88" i="3"/>
  <c r="AI89" i="3"/>
  <c r="AI90" i="3"/>
  <c r="AI91" i="3"/>
  <c r="AI92" i="3"/>
  <c r="AI93" i="3"/>
  <c r="AI94" i="3"/>
  <c r="AI95" i="3"/>
  <c r="AI96" i="3"/>
  <c r="AI97" i="3"/>
  <c r="AI98" i="3"/>
  <c r="AI99" i="3"/>
  <c r="AI100" i="3"/>
  <c r="AI101" i="3"/>
  <c r="AI102" i="3"/>
  <c r="AI103" i="3"/>
  <c r="AI105" i="3"/>
  <c r="AI106" i="3"/>
  <c r="AI107" i="3"/>
  <c r="AI108" i="3"/>
  <c r="AI109" i="3"/>
  <c r="AI110" i="3"/>
  <c r="AI111" i="3"/>
  <c r="AI112" i="3"/>
  <c r="AI113" i="3"/>
  <c r="AI114" i="3"/>
  <c r="AI115" i="3"/>
  <c r="AI116" i="3"/>
  <c r="AI117" i="3"/>
  <c r="AI118" i="3"/>
  <c r="AI119" i="3"/>
  <c r="AI120" i="3"/>
  <c r="AI121" i="3"/>
  <c r="AI122" i="3"/>
  <c r="AI123" i="3"/>
  <c r="AI124" i="3"/>
  <c r="AI125" i="3"/>
  <c r="AI126" i="3"/>
  <c r="AI127" i="3"/>
  <c r="AI128" i="3"/>
  <c r="AI129" i="3"/>
  <c r="AI130" i="3"/>
  <c r="AI131" i="3"/>
  <c r="AI132" i="3"/>
  <c r="AI133" i="3"/>
  <c r="AI134" i="3"/>
  <c r="AI135" i="3"/>
  <c r="AI136" i="3"/>
  <c r="AI137" i="3"/>
  <c r="AI138" i="3"/>
  <c r="AI139" i="3"/>
  <c r="AI140" i="3"/>
  <c r="AI141" i="3"/>
  <c r="AI142" i="3"/>
  <c r="AI143" i="3"/>
  <c r="AI144" i="3"/>
  <c r="AI145" i="3"/>
  <c r="AI146" i="3"/>
  <c r="AI147" i="3"/>
  <c r="AI148" i="3"/>
  <c r="AI149" i="3"/>
  <c r="AI150" i="3"/>
  <c r="AI151" i="3"/>
  <c r="AI152" i="3"/>
  <c r="AI153" i="3"/>
  <c r="AI154" i="3"/>
  <c r="AI155" i="3"/>
  <c r="AI156" i="3"/>
  <c r="AI157" i="3"/>
  <c r="AI158" i="3"/>
  <c r="AI159" i="3"/>
  <c r="AI160" i="3"/>
  <c r="AI161" i="3"/>
  <c r="AI162" i="3"/>
  <c r="AI163" i="3"/>
  <c r="AI164" i="3"/>
  <c r="AI165" i="3"/>
  <c r="AI166" i="3"/>
  <c r="AI167" i="3"/>
  <c r="AI168" i="3"/>
  <c r="AI169" i="3"/>
  <c r="AI170" i="3"/>
  <c r="AI171" i="3"/>
  <c r="AI172" i="3"/>
  <c r="AI173" i="3"/>
  <c r="AI174" i="3"/>
  <c r="AI175" i="3"/>
  <c r="AI176" i="3"/>
  <c r="AI177" i="3"/>
  <c r="AI178" i="3"/>
  <c r="AI179" i="3"/>
  <c r="AI180" i="3"/>
  <c r="AI181" i="3"/>
  <c r="AI182" i="3"/>
  <c r="AI183" i="3"/>
  <c r="AI184" i="3"/>
  <c r="AI185" i="3"/>
  <c r="AI186" i="3"/>
  <c r="AI187" i="3"/>
  <c r="AI188" i="3"/>
  <c r="AI189" i="3"/>
  <c r="AI190" i="3"/>
  <c r="AI191" i="3"/>
  <c r="AI192" i="3"/>
  <c r="AI193" i="3"/>
  <c r="AI194" i="3"/>
  <c r="AI195" i="3"/>
  <c r="AI196" i="3"/>
  <c r="AI197" i="3"/>
  <c r="AI198" i="3"/>
  <c r="AI199" i="3"/>
  <c r="AI200" i="3"/>
  <c r="AI201" i="3"/>
  <c r="AI202" i="3"/>
  <c r="AI203" i="3"/>
  <c r="AI204" i="3"/>
  <c r="AI205" i="3"/>
  <c r="AI206" i="3"/>
  <c r="AI207" i="3"/>
  <c r="AI208" i="3"/>
  <c r="AI209" i="3"/>
  <c r="AI210" i="3"/>
  <c r="AI211" i="3"/>
  <c r="AI212" i="3"/>
  <c r="AI213" i="3"/>
  <c r="AI214" i="3"/>
  <c r="AI215" i="3"/>
  <c r="AI216" i="3"/>
  <c r="AI217" i="3"/>
  <c r="AI218" i="3"/>
  <c r="AI219" i="3"/>
  <c r="AI220" i="3"/>
  <c r="AI221" i="3"/>
  <c r="AI222" i="3"/>
  <c r="AI223" i="3"/>
  <c r="AI2" i="3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67" i="2"/>
  <c r="AI68" i="2"/>
  <c r="AI69" i="2"/>
  <c r="AI70" i="2"/>
  <c r="AI71" i="2"/>
  <c r="AI72" i="2"/>
  <c r="AI73" i="2"/>
  <c r="AI74" i="2"/>
  <c r="AI75" i="2"/>
  <c r="AI76" i="2"/>
  <c r="AI77" i="2"/>
  <c r="AI78" i="2"/>
  <c r="AI79" i="2"/>
  <c r="AI80" i="2"/>
  <c r="AI81" i="2"/>
  <c r="AI82" i="2"/>
  <c r="AI83" i="2"/>
  <c r="AI84" i="2"/>
  <c r="AI85" i="2"/>
  <c r="AI86" i="2"/>
  <c r="AI87" i="2"/>
  <c r="AI88" i="2"/>
  <c r="AI89" i="2"/>
  <c r="AI90" i="2"/>
  <c r="AI92" i="2"/>
  <c r="AI93" i="2"/>
  <c r="AI94" i="2"/>
  <c r="AI95" i="2"/>
  <c r="AI96" i="2"/>
  <c r="AI97" i="2"/>
  <c r="AI98" i="2"/>
  <c r="AI99" i="2"/>
  <c r="AI100" i="2"/>
  <c r="AI101" i="2"/>
  <c r="AI102" i="2"/>
  <c r="AI103" i="2"/>
  <c r="AI104" i="2"/>
  <c r="AI106" i="2"/>
  <c r="AI107" i="2"/>
  <c r="AI111" i="2"/>
  <c r="AI112" i="2"/>
  <c r="AI113" i="2"/>
  <c r="AI114" i="2"/>
  <c r="AI115" i="2"/>
  <c r="AI116" i="2"/>
  <c r="AI117" i="2"/>
  <c r="AI118" i="2"/>
  <c r="AI119" i="2"/>
  <c r="AI121" i="2"/>
  <c r="AI122" i="2"/>
  <c r="AI123" i="2"/>
  <c r="AI124" i="2"/>
  <c r="AI125" i="2"/>
  <c r="AI126" i="2"/>
  <c r="AI127" i="2"/>
  <c r="AI128" i="2"/>
  <c r="AI129" i="2"/>
  <c r="AI130" i="2"/>
  <c r="AI131" i="2"/>
  <c r="AI132" i="2"/>
  <c r="AI133" i="2"/>
  <c r="AI135" i="2"/>
  <c r="AI136" i="2"/>
  <c r="AI137" i="2"/>
  <c r="AI138" i="2"/>
  <c r="AI139" i="2"/>
  <c r="AI140" i="2"/>
  <c r="AI141" i="2"/>
  <c r="AI142" i="2"/>
  <c r="AI143" i="2"/>
  <c r="AI144" i="2"/>
  <c r="AI145" i="2"/>
  <c r="AI146" i="2"/>
  <c r="AI147" i="2"/>
  <c r="AI148" i="2"/>
  <c r="AI150" i="2"/>
  <c r="AI151" i="2"/>
  <c r="AI152" i="2"/>
  <c r="AI153" i="2"/>
  <c r="AI154" i="2"/>
  <c r="AI155" i="2"/>
  <c r="AI156" i="2"/>
  <c r="AI157" i="2"/>
  <c r="AI158" i="2"/>
  <c r="AI160" i="2"/>
  <c r="AI161" i="2"/>
  <c r="AI162" i="2"/>
  <c r="AI163" i="2"/>
  <c r="AI164" i="2"/>
  <c r="AI165" i="2"/>
  <c r="AI166" i="2"/>
  <c r="AI167" i="2"/>
  <c r="AI168" i="2"/>
  <c r="AI169" i="2"/>
  <c r="AI170" i="2"/>
  <c r="AI171" i="2"/>
  <c r="AI172" i="2"/>
  <c r="AI173" i="2"/>
  <c r="AI174" i="2"/>
  <c r="AI175" i="2"/>
  <c r="AI181" i="2"/>
  <c r="AI182" i="2"/>
  <c r="AI183" i="2"/>
  <c r="AI184" i="2"/>
  <c r="AI185" i="2"/>
  <c r="AI186" i="2"/>
  <c r="AI188" i="2"/>
  <c r="AI189" i="2"/>
  <c r="AI190" i="2"/>
  <c r="AI191" i="2"/>
  <c r="AI192" i="2"/>
  <c r="AI193" i="2"/>
  <c r="AI194" i="2"/>
  <c r="AI195" i="2"/>
  <c r="AI196" i="2"/>
  <c r="AI197" i="2"/>
  <c r="AI199" i="2"/>
  <c r="AI200" i="2"/>
  <c r="AI201" i="2"/>
  <c r="AI202" i="2"/>
  <c r="AI203" i="2"/>
  <c r="AI204" i="2"/>
  <c r="AI205" i="2"/>
  <c r="AI206" i="2"/>
  <c r="AI207" i="2"/>
  <c r="AI208" i="2"/>
  <c r="AI209" i="2"/>
  <c r="AI210" i="2"/>
  <c r="AI211" i="2"/>
  <c r="AI212" i="2"/>
  <c r="AI213" i="2"/>
  <c r="AI214" i="2"/>
  <c r="AI215" i="2"/>
  <c r="AI216" i="2"/>
  <c r="AI217" i="2"/>
  <c r="AI218" i="2"/>
  <c r="AI219" i="2"/>
  <c r="AI220" i="2"/>
  <c r="AI222" i="2"/>
  <c r="AI223" i="2"/>
  <c r="AI224" i="2"/>
  <c r="AI225" i="2"/>
  <c r="AI226" i="2"/>
  <c r="AI227" i="2"/>
  <c r="AI228" i="2"/>
  <c r="AI229" i="2"/>
  <c r="AI230" i="2"/>
  <c r="AI231" i="2"/>
  <c r="AI232" i="2"/>
  <c r="AI233" i="2"/>
  <c r="AI234" i="2"/>
  <c r="AI235" i="2"/>
  <c r="AI236" i="2"/>
  <c r="AI237" i="2"/>
  <c r="AI238" i="2"/>
  <c r="AI239" i="2"/>
  <c r="AI240" i="2"/>
  <c r="AI241" i="2"/>
  <c r="AI242" i="2"/>
  <c r="AI243" i="2"/>
  <c r="AI244" i="2"/>
  <c r="AI245" i="2"/>
  <c r="AI246" i="2"/>
  <c r="AI247" i="2"/>
  <c r="AI248" i="2"/>
  <c r="AI249" i="2"/>
  <c r="AI250" i="2"/>
  <c r="AI251" i="2"/>
  <c r="AI252" i="2"/>
  <c r="AI253" i="2"/>
  <c r="AI254" i="2"/>
  <c r="AI255" i="2"/>
  <c r="AI256" i="2"/>
  <c r="AI257" i="2"/>
  <c r="AI258" i="2"/>
  <c r="AI260" i="2"/>
  <c r="AI261" i="2"/>
  <c r="AI262" i="2"/>
  <c r="AI263" i="2"/>
  <c r="AI264" i="2"/>
  <c r="AI265" i="2"/>
  <c r="AI266" i="2"/>
  <c r="AI267" i="2"/>
  <c r="AI268" i="2"/>
  <c r="AI269" i="2"/>
  <c r="AI270" i="2"/>
  <c r="AI271" i="2"/>
  <c r="AI272" i="2"/>
  <c r="AI273" i="2"/>
  <c r="AI274" i="2"/>
  <c r="AI275" i="2"/>
  <c r="AI276" i="2"/>
  <c r="AI277" i="2"/>
  <c r="AI278" i="2"/>
  <c r="AI279" i="2"/>
  <c r="AI280" i="2"/>
  <c r="AI281" i="2"/>
  <c r="AI282" i="2"/>
  <c r="AI283" i="2"/>
  <c r="AI284" i="2"/>
  <c r="AI285" i="2"/>
  <c r="AI286" i="2"/>
  <c r="AI287" i="2"/>
  <c r="AI288" i="2"/>
  <c r="AI290" i="2"/>
  <c r="AI291" i="2"/>
  <c r="AI292" i="2"/>
  <c r="AI293" i="2"/>
  <c r="AI294" i="2"/>
  <c r="AI295" i="2"/>
  <c r="AI296" i="2"/>
  <c r="AI297" i="2"/>
  <c r="AI298" i="2"/>
  <c r="AI299" i="2"/>
  <c r="AI300" i="2"/>
  <c r="AI301" i="2"/>
  <c r="AI302" i="2"/>
  <c r="AI304" i="2"/>
  <c r="AI305" i="2"/>
  <c r="AI306" i="2"/>
  <c r="AI307" i="2"/>
  <c r="AI308" i="2"/>
  <c r="AI309" i="2"/>
  <c r="AI310" i="2"/>
  <c r="AI311" i="2"/>
  <c r="AI313" i="2"/>
  <c r="AI314" i="2"/>
  <c r="AI315" i="2"/>
  <c r="AI316" i="2"/>
  <c r="AI317" i="2"/>
  <c r="AI318" i="2"/>
  <c r="AI319" i="2"/>
  <c r="AI320" i="2"/>
  <c r="AI321" i="2"/>
  <c r="AI322" i="2"/>
  <c r="AI324" i="2"/>
  <c r="AI325" i="2"/>
  <c r="AI326" i="2"/>
  <c r="AI327" i="2"/>
  <c r="AI328" i="2"/>
  <c r="AI329" i="2"/>
  <c r="AI330" i="2"/>
  <c r="AI332" i="2"/>
  <c r="AI333" i="2"/>
  <c r="AI334" i="2"/>
  <c r="AI335" i="2"/>
  <c r="AI336" i="2"/>
  <c r="AI337" i="2"/>
  <c r="AI338" i="2"/>
  <c r="AI339" i="2"/>
  <c r="AI340" i="2"/>
  <c r="AI341" i="2"/>
  <c r="AI2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K3" i="8"/>
  <c r="AC3" i="8" s="1"/>
  <c r="AD3" i="8" s="1"/>
  <c r="AQ3" i="8" s="1"/>
  <c r="K4" i="8"/>
  <c r="AC4" i="8" s="1"/>
  <c r="AD4" i="8" s="1"/>
  <c r="AQ4" i="8" s="1"/>
  <c r="K5" i="8"/>
  <c r="AC5" i="8" s="1"/>
  <c r="AD5" i="8" s="1"/>
  <c r="AQ5" i="8" s="1"/>
  <c r="K6" i="8"/>
  <c r="AC6" i="8" s="1"/>
  <c r="K7" i="8"/>
  <c r="AC7" i="8" s="1"/>
  <c r="AD7" i="8" s="1"/>
  <c r="AQ7" i="8" s="1"/>
  <c r="K8" i="8"/>
  <c r="AC8" i="8" s="1"/>
  <c r="AD8" i="8" s="1"/>
  <c r="AQ8" i="8" s="1"/>
  <c r="K9" i="8"/>
  <c r="AC9" i="8" s="1"/>
  <c r="AD9" i="8" s="1"/>
  <c r="AQ9" i="8" s="1"/>
  <c r="K10" i="8"/>
  <c r="AC10" i="8" s="1"/>
  <c r="K11" i="8"/>
  <c r="AC11" i="8" s="1"/>
  <c r="AD11" i="8" s="1"/>
  <c r="AQ11" i="8" s="1"/>
  <c r="K12" i="8"/>
  <c r="AC12" i="8" s="1"/>
  <c r="AD12" i="8" s="1"/>
  <c r="AQ12" i="8" s="1"/>
  <c r="K13" i="8"/>
  <c r="AC13" i="8" s="1"/>
  <c r="AD13" i="8" s="1"/>
  <c r="AQ13" i="8" s="1"/>
  <c r="K14" i="8"/>
  <c r="AC14" i="8" s="1"/>
  <c r="K15" i="8"/>
  <c r="AC15" i="8" s="1"/>
  <c r="AD15" i="8" s="1"/>
  <c r="AQ15" i="8" s="1"/>
  <c r="K16" i="8"/>
  <c r="AC16" i="8" s="1"/>
  <c r="AD16" i="8" s="1"/>
  <c r="AQ16" i="8" s="1"/>
  <c r="K17" i="8"/>
  <c r="AC17" i="8" s="1"/>
  <c r="AD17" i="8" s="1"/>
  <c r="AQ17" i="8" s="1"/>
  <c r="K18" i="8"/>
  <c r="AC18" i="8" s="1"/>
  <c r="K19" i="8"/>
  <c r="AC19" i="8" s="1"/>
  <c r="AD19" i="8" s="1"/>
  <c r="AQ19" i="8" s="1"/>
  <c r="K20" i="8"/>
  <c r="AC20" i="8" s="1"/>
  <c r="AD20" i="8" s="1"/>
  <c r="AQ20" i="8" s="1"/>
  <c r="K21" i="8"/>
  <c r="AC21" i="8" s="1"/>
  <c r="AD21" i="8" s="1"/>
  <c r="AQ21" i="8" s="1"/>
  <c r="K22" i="8"/>
  <c r="AC22" i="8" s="1"/>
  <c r="K23" i="8"/>
  <c r="AC23" i="8" s="1"/>
  <c r="AD23" i="8" s="1"/>
  <c r="AQ23" i="8" s="1"/>
  <c r="K24" i="8"/>
  <c r="AC24" i="8" s="1"/>
  <c r="AD24" i="8" s="1"/>
  <c r="AQ24" i="8" s="1"/>
  <c r="K25" i="8"/>
  <c r="AC25" i="8" s="1"/>
  <c r="AD25" i="8" s="1"/>
  <c r="AQ25" i="8" s="1"/>
  <c r="K26" i="8"/>
  <c r="AC26" i="8" s="1"/>
  <c r="K27" i="8"/>
  <c r="AC27" i="8" s="1"/>
  <c r="AD27" i="8" s="1"/>
  <c r="AQ27" i="8" s="1"/>
  <c r="K28" i="8"/>
  <c r="AC28" i="8" s="1"/>
  <c r="AD28" i="8" s="1"/>
  <c r="AQ28" i="8" s="1"/>
  <c r="K29" i="8"/>
  <c r="AC29" i="8" s="1"/>
  <c r="AD29" i="8" s="1"/>
  <c r="AQ29" i="8" s="1"/>
  <c r="K30" i="8"/>
  <c r="AC30" i="8" s="1"/>
  <c r="K31" i="8"/>
  <c r="AC31" i="8" s="1"/>
  <c r="AD31" i="8" s="1"/>
  <c r="AQ31" i="8" s="1"/>
  <c r="K32" i="8"/>
  <c r="AC32" i="8" s="1"/>
  <c r="AD32" i="8" s="1"/>
  <c r="AQ32" i="8" s="1"/>
  <c r="K33" i="8"/>
  <c r="AC33" i="8" s="1"/>
  <c r="AD33" i="8" s="1"/>
  <c r="AQ33" i="8" s="1"/>
  <c r="K34" i="8"/>
  <c r="AC34" i="8" s="1"/>
  <c r="K35" i="8"/>
  <c r="AC35" i="8" s="1"/>
  <c r="AD35" i="8" s="1"/>
  <c r="AQ35" i="8" s="1"/>
  <c r="K36" i="8"/>
  <c r="AC36" i="8" s="1"/>
  <c r="AD36" i="8" s="1"/>
  <c r="AQ36" i="8" s="1"/>
  <c r="K37" i="8"/>
  <c r="AC37" i="8" s="1"/>
  <c r="AD37" i="8" s="1"/>
  <c r="AQ37" i="8" s="1"/>
  <c r="K38" i="8"/>
  <c r="AC38" i="8" s="1"/>
  <c r="K39" i="8"/>
  <c r="AC39" i="8" s="1"/>
  <c r="AD39" i="8" s="1"/>
  <c r="AQ39" i="8" s="1"/>
  <c r="K40" i="8"/>
  <c r="AC40" i="8" s="1"/>
  <c r="AD40" i="8" s="1"/>
  <c r="AQ40" i="8" s="1"/>
  <c r="K41" i="8"/>
  <c r="AC41" i="8" s="1"/>
  <c r="AD41" i="8" s="1"/>
  <c r="AQ41" i="8" s="1"/>
  <c r="K42" i="8"/>
  <c r="AC42" i="8" s="1"/>
  <c r="K43" i="8"/>
  <c r="AC43" i="8" s="1"/>
  <c r="AD43" i="8" s="1"/>
  <c r="AQ43" i="8" s="1"/>
  <c r="K44" i="8"/>
  <c r="AC44" i="8" s="1"/>
  <c r="AD44" i="8" s="1"/>
  <c r="AQ44" i="8" s="1"/>
  <c r="K45" i="8"/>
  <c r="AC45" i="8" s="1"/>
  <c r="AD45" i="8" s="1"/>
  <c r="AQ45" i="8" s="1"/>
  <c r="K46" i="8"/>
  <c r="AC46" i="8" s="1"/>
  <c r="K47" i="8"/>
  <c r="AC47" i="8" s="1"/>
  <c r="AD47" i="8" s="1"/>
  <c r="AQ47" i="8" s="1"/>
  <c r="K48" i="8"/>
  <c r="AC48" i="8" s="1"/>
  <c r="AD48" i="8" s="1"/>
  <c r="AQ48" i="8" s="1"/>
  <c r="K49" i="8"/>
  <c r="AC49" i="8" s="1"/>
  <c r="AD49" i="8" s="1"/>
  <c r="AQ49" i="8" s="1"/>
  <c r="K50" i="8"/>
  <c r="AC50" i="8" s="1"/>
  <c r="K51" i="8"/>
  <c r="AC51" i="8" s="1"/>
  <c r="AD51" i="8" s="1"/>
  <c r="AQ51" i="8" s="1"/>
  <c r="K52" i="8"/>
  <c r="AC52" i="8" s="1"/>
  <c r="AD52" i="8" s="1"/>
  <c r="AQ52" i="8" s="1"/>
  <c r="K53" i="8"/>
  <c r="AC53" i="8" s="1"/>
  <c r="AD53" i="8" s="1"/>
  <c r="AQ53" i="8" s="1"/>
  <c r="K54" i="8"/>
  <c r="AC54" i="8" s="1"/>
  <c r="K55" i="8"/>
  <c r="AC55" i="8" s="1"/>
  <c r="AD55" i="8" s="1"/>
  <c r="AQ55" i="8" s="1"/>
  <c r="K56" i="8"/>
  <c r="AC56" i="8" s="1"/>
  <c r="AD56" i="8" s="1"/>
  <c r="AQ56" i="8" s="1"/>
  <c r="K57" i="8"/>
  <c r="AC57" i="8" s="1"/>
  <c r="AD57" i="8" s="1"/>
  <c r="AQ57" i="8" s="1"/>
  <c r="K58" i="8"/>
  <c r="AC58" i="8" s="1"/>
  <c r="K59" i="8"/>
  <c r="AC59" i="8" s="1"/>
  <c r="AD59" i="8" s="1"/>
  <c r="AQ59" i="8" s="1"/>
  <c r="K60" i="8"/>
  <c r="AC60" i="8" s="1"/>
  <c r="AD60" i="8" s="1"/>
  <c r="AQ60" i="8" s="1"/>
  <c r="K61" i="8"/>
  <c r="AC61" i="8" s="1"/>
  <c r="AD61" i="8" s="1"/>
  <c r="AQ61" i="8" s="1"/>
  <c r="K62" i="8"/>
  <c r="AC62" i="8" s="1"/>
  <c r="K63" i="8"/>
  <c r="AC63" i="8" s="1"/>
  <c r="AD63" i="8" s="1"/>
  <c r="AQ63" i="8" s="1"/>
  <c r="K64" i="8"/>
  <c r="AC64" i="8" s="1"/>
  <c r="AD64" i="8" s="1"/>
  <c r="AQ64" i="8" s="1"/>
  <c r="K65" i="8"/>
  <c r="AC65" i="8" s="1"/>
  <c r="AD65" i="8" s="1"/>
  <c r="AQ65" i="8" s="1"/>
  <c r="K66" i="8"/>
  <c r="AC66" i="8" s="1"/>
  <c r="K67" i="8"/>
  <c r="AC67" i="8" s="1"/>
  <c r="AD67" i="8" s="1"/>
  <c r="AQ67" i="8" s="1"/>
  <c r="K68" i="8"/>
  <c r="AC68" i="8" s="1"/>
  <c r="AD68" i="8" s="1"/>
  <c r="AQ68" i="8" s="1"/>
  <c r="K69" i="8"/>
  <c r="AC69" i="8" s="1"/>
  <c r="AD69" i="8" s="1"/>
  <c r="AQ69" i="8" s="1"/>
  <c r="K70" i="8"/>
  <c r="AC70" i="8" s="1"/>
  <c r="K71" i="8"/>
  <c r="AC71" i="8" s="1"/>
  <c r="AD71" i="8" s="1"/>
  <c r="AQ71" i="8" s="1"/>
  <c r="K72" i="8"/>
  <c r="AC72" i="8" s="1"/>
  <c r="AD72" i="8" s="1"/>
  <c r="AQ72" i="8" s="1"/>
  <c r="K73" i="8"/>
  <c r="AC73" i="8" s="1"/>
  <c r="AD73" i="8" s="1"/>
  <c r="AQ73" i="8" s="1"/>
  <c r="K74" i="8"/>
  <c r="AC74" i="8" s="1"/>
  <c r="K75" i="8"/>
  <c r="AC75" i="8" s="1"/>
  <c r="AD75" i="8" s="1"/>
  <c r="AQ75" i="8" s="1"/>
  <c r="K76" i="8"/>
  <c r="AC76" i="8" s="1"/>
  <c r="AD76" i="8" s="1"/>
  <c r="AQ76" i="8" s="1"/>
  <c r="K77" i="8"/>
  <c r="AC77" i="8" s="1"/>
  <c r="AD77" i="8" s="1"/>
  <c r="AQ77" i="8" s="1"/>
  <c r="K78" i="8"/>
  <c r="AC78" i="8" s="1"/>
  <c r="K79" i="8"/>
  <c r="AC79" i="8" s="1"/>
  <c r="AD79" i="8" s="1"/>
  <c r="AQ79" i="8" s="1"/>
  <c r="K80" i="8"/>
  <c r="AC80" i="8" s="1"/>
  <c r="AD80" i="8" s="1"/>
  <c r="AQ80" i="8" s="1"/>
  <c r="K81" i="8"/>
  <c r="AC81" i="8" s="1"/>
  <c r="AD81" i="8" s="1"/>
  <c r="AQ81" i="8" s="1"/>
  <c r="K82" i="8"/>
  <c r="AC82" i="8" s="1"/>
  <c r="K83" i="8"/>
  <c r="AC83" i="8" s="1"/>
  <c r="AD83" i="8" s="1"/>
  <c r="AQ83" i="8" s="1"/>
  <c r="K84" i="8"/>
  <c r="AC84" i="8" s="1"/>
  <c r="AD84" i="8" s="1"/>
  <c r="AQ84" i="8" s="1"/>
  <c r="K85" i="8"/>
  <c r="AC85" i="8" s="1"/>
  <c r="AD85" i="8" s="1"/>
  <c r="AQ85" i="8" s="1"/>
  <c r="K86" i="8"/>
  <c r="AC86" i="8" s="1"/>
  <c r="K87" i="8"/>
  <c r="AC87" i="8" s="1"/>
  <c r="AD87" i="8" s="1"/>
  <c r="AQ87" i="8" s="1"/>
  <c r="K88" i="8"/>
  <c r="AC88" i="8" s="1"/>
  <c r="AD88" i="8" s="1"/>
  <c r="AQ88" i="8" s="1"/>
  <c r="K89" i="8"/>
  <c r="AC89" i="8" s="1"/>
  <c r="AD89" i="8" s="1"/>
  <c r="AQ89" i="8" s="1"/>
  <c r="K90" i="8"/>
  <c r="AC90" i="8" s="1"/>
  <c r="K91" i="8"/>
  <c r="AC91" i="8" s="1"/>
  <c r="AD91" i="8" s="1"/>
  <c r="AQ91" i="8" s="1"/>
  <c r="K92" i="8"/>
  <c r="AC92" i="8" s="1"/>
  <c r="AD92" i="8" s="1"/>
  <c r="AQ92" i="8" s="1"/>
  <c r="K93" i="8"/>
  <c r="AC93" i="8" s="1"/>
  <c r="AD93" i="8" s="1"/>
  <c r="AQ93" i="8" s="1"/>
  <c r="K94" i="8"/>
  <c r="AC94" i="8" s="1"/>
  <c r="K95" i="8"/>
  <c r="AC95" i="8" s="1"/>
  <c r="AD95" i="8" s="1"/>
  <c r="AQ95" i="8" s="1"/>
  <c r="K96" i="8"/>
  <c r="AC96" i="8" s="1"/>
  <c r="AD96" i="8" s="1"/>
  <c r="AQ96" i="8" s="1"/>
  <c r="K97" i="8"/>
  <c r="AC97" i="8" s="1"/>
  <c r="AD97" i="8" s="1"/>
  <c r="AQ97" i="8" s="1"/>
  <c r="K98" i="8"/>
  <c r="AC98" i="8" s="1"/>
  <c r="K99" i="8"/>
  <c r="AC99" i="8" s="1"/>
  <c r="AD99" i="8" s="1"/>
  <c r="AQ99" i="8" s="1"/>
  <c r="K100" i="8"/>
  <c r="AC100" i="8" s="1"/>
  <c r="AD100" i="8" s="1"/>
  <c r="AQ100" i="8" s="1"/>
  <c r="K101" i="8"/>
  <c r="AC101" i="8" s="1"/>
  <c r="AD101" i="8" s="1"/>
  <c r="AQ101" i="8" s="1"/>
  <c r="K102" i="8"/>
  <c r="AC102" i="8" s="1"/>
  <c r="K103" i="8"/>
  <c r="AC103" i="8" s="1"/>
  <c r="AD103" i="8" s="1"/>
  <c r="AQ103" i="8" s="1"/>
  <c r="K104" i="8"/>
  <c r="AC104" i="8" s="1"/>
  <c r="AD104" i="8" s="1"/>
  <c r="AQ104" i="8" s="1"/>
  <c r="K105" i="8"/>
  <c r="AC105" i="8" s="1"/>
  <c r="AD105" i="8" s="1"/>
  <c r="AQ105" i="8" s="1"/>
  <c r="K106" i="8"/>
  <c r="AC106" i="8" s="1"/>
  <c r="K107" i="8"/>
  <c r="AC107" i="8" s="1"/>
  <c r="AD107" i="8" s="1"/>
  <c r="AQ107" i="8" s="1"/>
  <c r="K108" i="8"/>
  <c r="AC108" i="8" s="1"/>
  <c r="AD108" i="8" s="1"/>
  <c r="AQ108" i="8" s="1"/>
  <c r="K109" i="8"/>
  <c r="AC109" i="8" s="1"/>
  <c r="AD109" i="8" s="1"/>
  <c r="AQ109" i="8" s="1"/>
  <c r="K110" i="8"/>
  <c r="AC110" i="8" s="1"/>
  <c r="AD110" i="8" s="1"/>
  <c r="AQ110" i="8" s="1"/>
  <c r="K111" i="8"/>
  <c r="AC111" i="8" s="1"/>
  <c r="AD111" i="8" s="1"/>
  <c r="AQ111" i="8" s="1"/>
  <c r="K112" i="8"/>
  <c r="AC112" i="8" s="1"/>
  <c r="AD112" i="8" s="1"/>
  <c r="AQ112" i="8" s="1"/>
  <c r="K113" i="8"/>
  <c r="AC113" i="8" s="1"/>
  <c r="AD113" i="8" s="1"/>
  <c r="AQ113" i="8" s="1"/>
  <c r="K114" i="8"/>
  <c r="AC114" i="8" s="1"/>
  <c r="K115" i="8"/>
  <c r="AC115" i="8" s="1"/>
  <c r="AD115" i="8" s="1"/>
  <c r="AQ115" i="8" s="1"/>
  <c r="K116" i="8"/>
  <c r="AC116" i="8" s="1"/>
  <c r="AD116" i="8" s="1"/>
  <c r="AQ116" i="8" s="1"/>
  <c r="K117" i="8"/>
  <c r="AC117" i="8" s="1"/>
  <c r="AD117" i="8" s="1"/>
  <c r="AQ117" i="8" s="1"/>
  <c r="K118" i="8"/>
  <c r="AC118" i="8" s="1"/>
  <c r="K119" i="8"/>
  <c r="AC119" i="8" s="1"/>
  <c r="AD119" i="8" s="1"/>
  <c r="AQ119" i="8" s="1"/>
  <c r="K120" i="8"/>
  <c r="AC120" i="8" s="1"/>
  <c r="AD120" i="8" s="1"/>
  <c r="AQ120" i="8" s="1"/>
  <c r="K121" i="8"/>
  <c r="AC121" i="8" s="1"/>
  <c r="AD121" i="8" s="1"/>
  <c r="AQ121" i="8" s="1"/>
  <c r="K122" i="8"/>
  <c r="AC122" i="8" s="1"/>
  <c r="K123" i="8"/>
  <c r="AC123" i="8" s="1"/>
  <c r="AD123" i="8" s="1"/>
  <c r="AQ123" i="8" s="1"/>
  <c r="K124" i="8"/>
  <c r="AC124" i="8" s="1"/>
  <c r="AD124" i="8" s="1"/>
  <c r="AQ124" i="8" s="1"/>
  <c r="K125" i="8"/>
  <c r="AC125" i="8" s="1"/>
  <c r="AD125" i="8" s="1"/>
  <c r="AQ125" i="8" s="1"/>
  <c r="K126" i="8"/>
  <c r="AC126" i="8" s="1"/>
  <c r="K127" i="8"/>
  <c r="AC127" i="8" s="1"/>
  <c r="AD127" i="8" s="1"/>
  <c r="AQ127" i="8" s="1"/>
  <c r="K128" i="8"/>
  <c r="AC128" i="8" s="1"/>
  <c r="AD128" i="8" s="1"/>
  <c r="AQ128" i="8" s="1"/>
  <c r="K129" i="8"/>
  <c r="AC129" i="8" s="1"/>
  <c r="AD129" i="8" s="1"/>
  <c r="AQ129" i="8" s="1"/>
  <c r="K130" i="8"/>
  <c r="AC130" i="8" s="1"/>
  <c r="K131" i="8"/>
  <c r="AC131" i="8" s="1"/>
  <c r="AD131" i="8" s="1"/>
  <c r="AQ131" i="8" s="1"/>
  <c r="K132" i="8"/>
  <c r="AC132" i="8" s="1"/>
  <c r="AD132" i="8" s="1"/>
  <c r="AQ132" i="8" s="1"/>
  <c r="K133" i="8"/>
  <c r="AC133" i="8" s="1"/>
  <c r="AD133" i="8" s="1"/>
  <c r="AQ133" i="8" s="1"/>
  <c r="K134" i="8"/>
  <c r="AC134" i="8" s="1"/>
  <c r="AD134" i="8" s="1"/>
  <c r="AQ134" i="8" s="1"/>
  <c r="K135" i="8"/>
  <c r="AC135" i="8" s="1"/>
  <c r="AD135" i="8" s="1"/>
  <c r="AQ135" i="8" s="1"/>
  <c r="K136" i="8"/>
  <c r="AC136" i="8" s="1"/>
  <c r="AD136" i="8" s="1"/>
  <c r="AQ136" i="8" s="1"/>
  <c r="K137" i="8"/>
  <c r="AC137" i="8" s="1"/>
  <c r="AD137" i="8" s="1"/>
  <c r="AQ137" i="8" s="1"/>
  <c r="K138" i="8"/>
  <c r="AC138" i="8" s="1"/>
  <c r="K139" i="8"/>
  <c r="AC139" i="8" s="1"/>
  <c r="AD139" i="8" s="1"/>
  <c r="AQ139" i="8" s="1"/>
  <c r="K140" i="8"/>
  <c r="AC140" i="8" s="1"/>
  <c r="AD140" i="8" s="1"/>
  <c r="AQ140" i="8" s="1"/>
  <c r="K141" i="8"/>
  <c r="AC141" i="8" s="1"/>
  <c r="AD141" i="8" s="1"/>
  <c r="AQ141" i="8" s="1"/>
  <c r="K142" i="8"/>
  <c r="AC142" i="8" s="1"/>
  <c r="K143" i="8"/>
  <c r="AC143" i="8" s="1"/>
  <c r="AD143" i="8" s="1"/>
  <c r="AQ143" i="8" s="1"/>
  <c r="K144" i="8"/>
  <c r="AC144" i="8" s="1"/>
  <c r="AD144" i="8" s="1"/>
  <c r="AQ144" i="8" s="1"/>
  <c r="K145" i="8"/>
  <c r="AC145" i="8" s="1"/>
  <c r="AD145" i="8" s="1"/>
  <c r="AQ145" i="8" s="1"/>
  <c r="K146" i="8"/>
  <c r="AC146" i="8" s="1"/>
  <c r="K147" i="8"/>
  <c r="AC147" i="8" s="1"/>
  <c r="AD147" i="8" s="1"/>
  <c r="AQ147" i="8" s="1"/>
  <c r="K148" i="8"/>
  <c r="AC148" i="8" s="1"/>
  <c r="AD148" i="8" s="1"/>
  <c r="AQ148" i="8" s="1"/>
  <c r="K149" i="8"/>
  <c r="AC149" i="8" s="1"/>
  <c r="AD149" i="8" s="1"/>
  <c r="AQ149" i="8" s="1"/>
  <c r="K150" i="8"/>
  <c r="AC150" i="8" s="1"/>
  <c r="K151" i="8"/>
  <c r="AC151" i="8" s="1"/>
  <c r="AD151" i="8" s="1"/>
  <c r="AQ151" i="8" s="1"/>
  <c r="K152" i="8"/>
  <c r="AC152" i="8" s="1"/>
  <c r="AD152" i="8" s="1"/>
  <c r="AQ152" i="8" s="1"/>
  <c r="K153" i="8"/>
  <c r="AC153" i="8" s="1"/>
  <c r="AD153" i="8" s="1"/>
  <c r="AQ153" i="8" s="1"/>
  <c r="K154" i="8"/>
  <c r="AC154" i="8" s="1"/>
  <c r="K155" i="8"/>
  <c r="AC155" i="8" s="1"/>
  <c r="AD155" i="8" s="1"/>
  <c r="AQ155" i="8" s="1"/>
  <c r="K156" i="8"/>
  <c r="AC156" i="8" s="1"/>
  <c r="AD156" i="8" s="1"/>
  <c r="AQ156" i="8" s="1"/>
  <c r="K157" i="8"/>
  <c r="AC157" i="8" s="1"/>
  <c r="AD157" i="8" s="1"/>
  <c r="AQ157" i="8" s="1"/>
  <c r="K158" i="8"/>
  <c r="AC158" i="8" s="1"/>
  <c r="K159" i="8"/>
  <c r="AC159" i="8" s="1"/>
  <c r="AD159" i="8" s="1"/>
  <c r="AQ159" i="8" s="1"/>
  <c r="K160" i="8"/>
  <c r="AC160" i="8" s="1"/>
  <c r="AD160" i="8" s="1"/>
  <c r="AQ160" i="8" s="1"/>
  <c r="K161" i="8"/>
  <c r="AC161" i="8" s="1"/>
  <c r="AD161" i="8" s="1"/>
  <c r="AQ161" i="8" s="1"/>
  <c r="K162" i="8"/>
  <c r="AC162" i="8" s="1"/>
  <c r="K163" i="8"/>
  <c r="AC163" i="8" s="1"/>
  <c r="AD163" i="8" s="1"/>
  <c r="AQ163" i="8" s="1"/>
  <c r="K164" i="8"/>
  <c r="AC164" i="8" s="1"/>
  <c r="AD164" i="8" s="1"/>
  <c r="AQ164" i="8" s="1"/>
  <c r="K165" i="8"/>
  <c r="AC165" i="8" s="1"/>
  <c r="AD165" i="8" s="1"/>
  <c r="AQ165" i="8" s="1"/>
  <c r="K166" i="8"/>
  <c r="AC166" i="8" s="1"/>
  <c r="K167" i="8"/>
  <c r="AC167" i="8" s="1"/>
  <c r="AD167" i="8" s="1"/>
  <c r="AQ167" i="8" s="1"/>
  <c r="K168" i="8"/>
  <c r="AC168" i="8" s="1"/>
  <c r="AD168" i="8" s="1"/>
  <c r="AQ168" i="8" s="1"/>
  <c r="K169" i="8"/>
  <c r="AC169" i="8" s="1"/>
  <c r="AD169" i="8" s="1"/>
  <c r="AQ169" i="8" s="1"/>
  <c r="K170" i="8"/>
  <c r="AC170" i="8" s="1"/>
  <c r="K171" i="8"/>
  <c r="AC171" i="8" s="1"/>
  <c r="AD171" i="8" s="1"/>
  <c r="AQ171" i="8" s="1"/>
  <c r="K172" i="8"/>
  <c r="AC172" i="8" s="1"/>
  <c r="AD172" i="8" s="1"/>
  <c r="AQ172" i="8" s="1"/>
  <c r="K173" i="8"/>
  <c r="AC173" i="8" s="1"/>
  <c r="AD173" i="8" s="1"/>
  <c r="AQ173" i="8" s="1"/>
  <c r="K174" i="8"/>
  <c r="AC174" i="8" s="1"/>
  <c r="K175" i="8"/>
  <c r="AC175" i="8" s="1"/>
  <c r="AD175" i="8" s="1"/>
  <c r="AQ175" i="8" s="1"/>
  <c r="K176" i="8"/>
  <c r="AC176" i="8" s="1"/>
  <c r="AD176" i="8" s="1"/>
  <c r="AQ176" i="8" s="1"/>
  <c r="K177" i="8"/>
  <c r="AC177" i="8" s="1"/>
  <c r="AD177" i="8" s="1"/>
  <c r="AQ177" i="8" s="1"/>
  <c r="K178" i="8"/>
  <c r="AC178" i="8" s="1"/>
  <c r="K179" i="8"/>
  <c r="AC179" i="8" s="1"/>
  <c r="AD179" i="8" s="1"/>
  <c r="AQ179" i="8" s="1"/>
  <c r="K180" i="8"/>
  <c r="AC180" i="8" s="1"/>
  <c r="AD180" i="8" s="1"/>
  <c r="AQ180" i="8" s="1"/>
  <c r="K181" i="8"/>
  <c r="AC181" i="8" s="1"/>
  <c r="AD181" i="8" s="1"/>
  <c r="AQ181" i="8" s="1"/>
  <c r="K182" i="8"/>
  <c r="AC182" i="8" s="1"/>
  <c r="K183" i="8"/>
  <c r="AC183" i="8" s="1"/>
  <c r="AD183" i="8" s="1"/>
  <c r="AQ183" i="8" s="1"/>
  <c r="K184" i="8"/>
  <c r="AC184" i="8" s="1"/>
  <c r="AD184" i="8" s="1"/>
  <c r="AQ184" i="8" s="1"/>
  <c r="K185" i="8"/>
  <c r="AC185" i="8" s="1"/>
  <c r="AD185" i="8" s="1"/>
  <c r="AQ185" i="8" s="1"/>
  <c r="K186" i="8"/>
  <c r="AC186" i="8" s="1"/>
  <c r="K187" i="8"/>
  <c r="AC187" i="8" s="1"/>
  <c r="AD187" i="8" s="1"/>
  <c r="AQ187" i="8" s="1"/>
  <c r="K188" i="8"/>
  <c r="AC188" i="8" s="1"/>
  <c r="AD188" i="8" s="1"/>
  <c r="AQ188" i="8" s="1"/>
  <c r="K189" i="8"/>
  <c r="AC189" i="8" s="1"/>
  <c r="AD189" i="8" s="1"/>
  <c r="AQ189" i="8" s="1"/>
  <c r="K190" i="8"/>
  <c r="AC190" i="8" s="1"/>
  <c r="K191" i="8"/>
  <c r="AC191" i="8" s="1"/>
  <c r="AD191" i="8" s="1"/>
  <c r="AQ191" i="8" s="1"/>
  <c r="K192" i="8"/>
  <c r="AC192" i="8" s="1"/>
  <c r="AD192" i="8" s="1"/>
  <c r="AQ192" i="8" s="1"/>
  <c r="K193" i="8"/>
  <c r="AC193" i="8" s="1"/>
  <c r="AD193" i="8" s="1"/>
  <c r="AQ193" i="8" s="1"/>
  <c r="K194" i="8"/>
  <c r="AC194" i="8" s="1"/>
  <c r="K195" i="8"/>
  <c r="AC195" i="8" s="1"/>
  <c r="AD195" i="8" s="1"/>
  <c r="AQ195" i="8" s="1"/>
  <c r="K196" i="8"/>
  <c r="AC196" i="8" s="1"/>
  <c r="AD196" i="8" s="1"/>
  <c r="AQ196" i="8" s="1"/>
  <c r="K197" i="8"/>
  <c r="AC197" i="8" s="1"/>
  <c r="AD197" i="8" s="1"/>
  <c r="AQ197" i="8" s="1"/>
  <c r="K198" i="8"/>
  <c r="AC198" i="8" s="1"/>
  <c r="K199" i="8"/>
  <c r="AC199" i="8" s="1"/>
  <c r="AD199" i="8" s="1"/>
  <c r="AQ199" i="8" s="1"/>
  <c r="K200" i="8"/>
  <c r="AC200" i="8" s="1"/>
  <c r="AD200" i="8" s="1"/>
  <c r="AQ200" i="8" s="1"/>
  <c r="K201" i="8"/>
  <c r="AC201" i="8" s="1"/>
  <c r="AD201" i="8" s="1"/>
  <c r="AQ201" i="8" s="1"/>
  <c r="K202" i="8"/>
  <c r="AC202" i="8" s="1"/>
  <c r="K203" i="8"/>
  <c r="AC203" i="8" s="1"/>
  <c r="AD203" i="8" s="1"/>
  <c r="AQ203" i="8" s="1"/>
  <c r="K204" i="8"/>
  <c r="AC204" i="8" s="1"/>
  <c r="AD204" i="8" s="1"/>
  <c r="AQ204" i="8" s="1"/>
  <c r="K205" i="8"/>
  <c r="AC205" i="8" s="1"/>
  <c r="AD205" i="8" s="1"/>
  <c r="AQ205" i="8" s="1"/>
  <c r="K206" i="8"/>
  <c r="AC206" i="8" s="1"/>
  <c r="K207" i="8"/>
  <c r="AC207" i="8" s="1"/>
  <c r="AD207" i="8" s="1"/>
  <c r="AQ207" i="8" s="1"/>
  <c r="K208" i="8"/>
  <c r="AC208" i="8" s="1"/>
  <c r="AD208" i="8" s="1"/>
  <c r="AQ208" i="8" s="1"/>
  <c r="K209" i="8"/>
  <c r="AC209" i="8" s="1"/>
  <c r="AD209" i="8" s="1"/>
  <c r="AQ209" i="8" s="1"/>
  <c r="K210" i="8"/>
  <c r="AC210" i="8" s="1"/>
  <c r="K211" i="8"/>
  <c r="AC211" i="8" s="1"/>
  <c r="AD211" i="8" s="1"/>
  <c r="AQ211" i="8" s="1"/>
  <c r="K212" i="8"/>
  <c r="AC212" i="8" s="1"/>
  <c r="AD212" i="8" s="1"/>
  <c r="AQ212" i="8" s="1"/>
  <c r="K213" i="8"/>
  <c r="AC213" i="8" s="1"/>
  <c r="AD213" i="8" s="1"/>
  <c r="AQ213" i="8" s="1"/>
  <c r="K214" i="8"/>
  <c r="AC214" i="8" s="1"/>
  <c r="K215" i="8"/>
  <c r="AC215" i="8" s="1"/>
  <c r="AD215" i="8" s="1"/>
  <c r="AQ215" i="8" s="1"/>
  <c r="K216" i="8"/>
  <c r="AC216" i="8" s="1"/>
  <c r="AD216" i="8" s="1"/>
  <c r="AQ216" i="8" s="1"/>
  <c r="K217" i="8"/>
  <c r="AC217" i="8" s="1"/>
  <c r="AD217" i="8" s="1"/>
  <c r="AQ217" i="8" s="1"/>
  <c r="K218" i="8"/>
  <c r="AC218" i="8" s="1"/>
  <c r="K219" i="8"/>
  <c r="AC219" i="8" s="1"/>
  <c r="AD219" i="8" s="1"/>
  <c r="AQ219" i="8" s="1"/>
  <c r="K220" i="8"/>
  <c r="AC220" i="8" s="1"/>
  <c r="AD220" i="8" s="1"/>
  <c r="AQ220" i="8" s="1"/>
  <c r="K221" i="8"/>
  <c r="AC221" i="8" s="1"/>
  <c r="AD221" i="8" s="1"/>
  <c r="AQ221" i="8" s="1"/>
  <c r="K222" i="8"/>
  <c r="AC222" i="8" s="1"/>
  <c r="K223" i="8"/>
  <c r="AC223" i="8" s="1"/>
  <c r="AD223" i="8" s="1"/>
  <c r="AQ223" i="8" s="1"/>
  <c r="K224" i="8"/>
  <c r="AC224" i="8" s="1"/>
  <c r="AD224" i="8" s="1"/>
  <c r="AQ224" i="8" s="1"/>
  <c r="K225" i="8"/>
  <c r="AC225" i="8" s="1"/>
  <c r="AD225" i="8" s="1"/>
  <c r="AQ225" i="8" s="1"/>
  <c r="K226" i="8"/>
  <c r="AC226" i="8" s="1"/>
  <c r="K227" i="8"/>
  <c r="AC227" i="8" s="1"/>
  <c r="AD227" i="8" s="1"/>
  <c r="AQ227" i="8" s="1"/>
  <c r="K228" i="8"/>
  <c r="AC228" i="8" s="1"/>
  <c r="AD228" i="8" s="1"/>
  <c r="AQ228" i="8" s="1"/>
  <c r="K229" i="8"/>
  <c r="AC229" i="8" s="1"/>
  <c r="AD229" i="8" s="1"/>
  <c r="AQ229" i="8" s="1"/>
  <c r="K230" i="8"/>
  <c r="AC230" i="8" s="1"/>
  <c r="K231" i="8"/>
  <c r="AC231" i="8" s="1"/>
  <c r="AD231" i="8" s="1"/>
  <c r="AQ231" i="8" s="1"/>
  <c r="K232" i="8"/>
  <c r="AC232" i="8" s="1"/>
  <c r="AD232" i="8" s="1"/>
  <c r="AQ232" i="8" s="1"/>
  <c r="K233" i="8"/>
  <c r="AC233" i="8" s="1"/>
  <c r="AD233" i="8" s="1"/>
  <c r="AQ233" i="8" s="1"/>
  <c r="K234" i="8"/>
  <c r="AC234" i="8" s="1"/>
  <c r="K235" i="8"/>
  <c r="AC235" i="8" s="1"/>
  <c r="AD235" i="8" s="1"/>
  <c r="AQ235" i="8" s="1"/>
  <c r="K236" i="8"/>
  <c r="AC236" i="8" s="1"/>
  <c r="AD236" i="8" s="1"/>
  <c r="AQ236" i="8" s="1"/>
  <c r="K237" i="8"/>
  <c r="AC237" i="8" s="1"/>
  <c r="AD237" i="8" s="1"/>
  <c r="AQ237" i="8" s="1"/>
  <c r="K238" i="8"/>
  <c r="AC238" i="8" s="1"/>
  <c r="AD238" i="8" s="1"/>
  <c r="AQ238" i="8" s="1"/>
  <c r="K239" i="8"/>
  <c r="AC239" i="8" s="1"/>
  <c r="AD239" i="8" s="1"/>
  <c r="AQ239" i="8" s="1"/>
  <c r="K240" i="8"/>
  <c r="AC240" i="8" s="1"/>
  <c r="AD240" i="8" s="1"/>
  <c r="AQ240" i="8" s="1"/>
  <c r="K241" i="8"/>
  <c r="AC241" i="8" s="1"/>
  <c r="AD241" i="8" s="1"/>
  <c r="AQ241" i="8" s="1"/>
  <c r="K242" i="8"/>
  <c r="AC242" i="8" s="1"/>
  <c r="K243" i="8"/>
  <c r="AC243" i="8" s="1"/>
  <c r="AD243" i="8" s="1"/>
  <c r="AQ243" i="8" s="1"/>
  <c r="K244" i="8"/>
  <c r="AC244" i="8" s="1"/>
  <c r="AD244" i="8" s="1"/>
  <c r="AQ244" i="8" s="1"/>
  <c r="K245" i="8"/>
  <c r="AC245" i="8" s="1"/>
  <c r="AD245" i="8" s="1"/>
  <c r="AQ245" i="8" s="1"/>
  <c r="K246" i="8"/>
  <c r="AC246" i="8" s="1"/>
  <c r="K247" i="8"/>
  <c r="AC247" i="8" s="1"/>
  <c r="AD247" i="8" s="1"/>
  <c r="AQ247" i="8" s="1"/>
  <c r="K248" i="8"/>
  <c r="AC248" i="8" s="1"/>
  <c r="AD248" i="8" s="1"/>
  <c r="AQ248" i="8" s="1"/>
  <c r="K249" i="8"/>
  <c r="AC249" i="8" s="1"/>
  <c r="AD249" i="8" s="1"/>
  <c r="AQ249" i="8" s="1"/>
  <c r="K250" i="8"/>
  <c r="AC250" i="8" s="1"/>
  <c r="K251" i="8"/>
  <c r="AC251" i="8" s="1"/>
  <c r="AD251" i="8" s="1"/>
  <c r="AQ251" i="8" s="1"/>
  <c r="K252" i="8"/>
  <c r="AC252" i="8" s="1"/>
  <c r="AD252" i="8" s="1"/>
  <c r="AQ252" i="8" s="1"/>
  <c r="K253" i="8"/>
  <c r="AC253" i="8" s="1"/>
  <c r="AD253" i="8" s="1"/>
  <c r="AQ253" i="8" s="1"/>
  <c r="K254" i="8"/>
  <c r="AC254" i="8" s="1"/>
  <c r="K255" i="8"/>
  <c r="AC255" i="8" s="1"/>
  <c r="AD255" i="8" s="1"/>
  <c r="AQ255" i="8" s="1"/>
  <c r="K256" i="8"/>
  <c r="AC256" i="8" s="1"/>
  <c r="AD256" i="8" s="1"/>
  <c r="AQ256" i="8" s="1"/>
  <c r="K257" i="8"/>
  <c r="AC257" i="8" s="1"/>
  <c r="AD257" i="8" s="1"/>
  <c r="AQ257" i="8" s="1"/>
  <c r="K258" i="8"/>
  <c r="AC258" i="8" s="1"/>
  <c r="K259" i="8"/>
  <c r="AC259" i="8" s="1"/>
  <c r="AD259" i="8" s="1"/>
  <c r="AQ259" i="8" s="1"/>
  <c r="K260" i="8"/>
  <c r="AC260" i="8" s="1"/>
  <c r="AD260" i="8" s="1"/>
  <c r="AQ260" i="8" s="1"/>
  <c r="K261" i="8"/>
  <c r="AC261" i="8" s="1"/>
  <c r="AD261" i="8" s="1"/>
  <c r="AQ261" i="8" s="1"/>
  <c r="K262" i="8"/>
  <c r="AC262" i="8" s="1"/>
  <c r="K263" i="8"/>
  <c r="AC263" i="8" s="1"/>
  <c r="AD263" i="8" s="1"/>
  <c r="AQ263" i="8" s="1"/>
  <c r="K264" i="8"/>
  <c r="AC264" i="8" s="1"/>
  <c r="AD264" i="8" s="1"/>
  <c r="AQ264" i="8" s="1"/>
  <c r="K265" i="8"/>
  <c r="AC265" i="8" s="1"/>
  <c r="AD265" i="8" s="1"/>
  <c r="AQ265" i="8" s="1"/>
  <c r="K266" i="8"/>
  <c r="AC266" i="8" s="1"/>
  <c r="K267" i="8"/>
  <c r="AC267" i="8" s="1"/>
  <c r="AD267" i="8" s="1"/>
  <c r="AQ267" i="8" s="1"/>
  <c r="K268" i="8"/>
  <c r="AC268" i="8" s="1"/>
  <c r="AD268" i="8" s="1"/>
  <c r="AQ268" i="8" s="1"/>
  <c r="K269" i="8"/>
  <c r="AC269" i="8" s="1"/>
  <c r="AD269" i="8" s="1"/>
  <c r="AQ269" i="8" s="1"/>
  <c r="K270" i="8"/>
  <c r="AC270" i="8" s="1"/>
  <c r="K271" i="8"/>
  <c r="AC271" i="8" s="1"/>
  <c r="AD271" i="8" s="1"/>
  <c r="AQ271" i="8" s="1"/>
  <c r="K272" i="8"/>
  <c r="AC272" i="8" s="1"/>
  <c r="AD272" i="8" s="1"/>
  <c r="AQ272" i="8" s="1"/>
  <c r="K273" i="8"/>
  <c r="AC273" i="8" s="1"/>
  <c r="AD273" i="8" s="1"/>
  <c r="AQ273" i="8" s="1"/>
  <c r="K274" i="8"/>
  <c r="AC274" i="8" s="1"/>
  <c r="K275" i="8"/>
  <c r="AC275" i="8" s="1"/>
  <c r="AD275" i="8" s="1"/>
  <c r="AQ275" i="8" s="1"/>
  <c r="K276" i="8"/>
  <c r="AC276" i="8" s="1"/>
  <c r="AD276" i="8" s="1"/>
  <c r="AQ276" i="8" s="1"/>
  <c r="K277" i="8"/>
  <c r="AC277" i="8" s="1"/>
  <c r="AD277" i="8" s="1"/>
  <c r="AQ277" i="8" s="1"/>
  <c r="K278" i="8"/>
  <c r="AC278" i="8" s="1"/>
  <c r="K279" i="8"/>
  <c r="AC279" i="8" s="1"/>
  <c r="AD279" i="8" s="1"/>
  <c r="AQ279" i="8" s="1"/>
  <c r="K280" i="8"/>
  <c r="AC280" i="8" s="1"/>
  <c r="AD280" i="8" s="1"/>
  <c r="AQ280" i="8" s="1"/>
  <c r="K281" i="8"/>
  <c r="AC281" i="8" s="1"/>
  <c r="AD281" i="8" s="1"/>
  <c r="AQ281" i="8" s="1"/>
  <c r="K282" i="8"/>
  <c r="AC282" i="8" s="1"/>
  <c r="K283" i="8"/>
  <c r="AC283" i="8" s="1"/>
  <c r="AD283" i="8" s="1"/>
  <c r="AQ283" i="8" s="1"/>
  <c r="K284" i="8"/>
  <c r="AC284" i="8" s="1"/>
  <c r="AD284" i="8" s="1"/>
  <c r="AQ284" i="8" s="1"/>
  <c r="K286" i="8"/>
  <c r="AC286" i="8" s="1"/>
  <c r="AD286" i="8" s="1"/>
  <c r="AQ286" i="8" s="1"/>
  <c r="K287" i="8"/>
  <c r="AC287" i="8" s="1"/>
  <c r="AD287" i="8" s="1"/>
  <c r="AQ287" i="8" s="1"/>
  <c r="K288" i="8"/>
  <c r="AC288" i="8" s="1"/>
  <c r="AD288" i="8" s="1"/>
  <c r="AQ288" i="8" s="1"/>
  <c r="K289" i="8"/>
  <c r="AC289" i="8" s="1"/>
  <c r="AD289" i="8" s="1"/>
  <c r="AQ289" i="8" s="1"/>
  <c r="K290" i="8"/>
  <c r="AC290" i="8" s="1"/>
  <c r="AD290" i="8" s="1"/>
  <c r="AQ290" i="8" s="1"/>
  <c r="K291" i="8"/>
  <c r="AC291" i="8" s="1"/>
  <c r="AD291" i="8" s="1"/>
  <c r="AQ291" i="8" s="1"/>
  <c r="K292" i="8"/>
  <c r="AC292" i="8" s="1"/>
  <c r="AD292" i="8" s="1"/>
  <c r="AQ292" i="8" s="1"/>
  <c r="K293" i="8"/>
  <c r="AC293" i="8" s="1"/>
  <c r="AD293" i="8" s="1"/>
  <c r="AQ293" i="8" s="1"/>
  <c r="K294" i="8"/>
  <c r="AC294" i="8" s="1"/>
  <c r="AD294" i="8" s="1"/>
  <c r="AQ294" i="8" s="1"/>
  <c r="K295" i="8"/>
  <c r="AC295" i="8" s="1"/>
  <c r="AD295" i="8" s="1"/>
  <c r="AQ295" i="8" s="1"/>
  <c r="K296" i="8"/>
  <c r="AC296" i="8" s="1"/>
  <c r="AD296" i="8" s="1"/>
  <c r="AQ296" i="8" s="1"/>
  <c r="K297" i="8"/>
  <c r="AC297" i="8" s="1"/>
  <c r="AD297" i="8" s="1"/>
  <c r="AQ297" i="8" s="1"/>
  <c r="K298" i="8"/>
  <c r="AC298" i="8" s="1"/>
  <c r="AD298" i="8" s="1"/>
  <c r="AQ298" i="8" s="1"/>
  <c r="K299" i="8"/>
  <c r="AC299" i="8" s="1"/>
  <c r="AD299" i="8" s="1"/>
  <c r="AQ299" i="8" s="1"/>
  <c r="K300" i="8"/>
  <c r="AC300" i="8" s="1"/>
  <c r="AD300" i="8" s="1"/>
  <c r="AQ300" i="8" s="1"/>
  <c r="K301" i="8"/>
  <c r="AC301" i="8" s="1"/>
  <c r="AD301" i="8" s="1"/>
  <c r="AQ301" i="8" s="1"/>
  <c r="K302" i="8"/>
  <c r="AC302" i="8" s="1"/>
  <c r="AD302" i="8" s="1"/>
  <c r="AQ302" i="8" s="1"/>
  <c r="K303" i="8"/>
  <c r="AC303" i="8" s="1"/>
  <c r="AD303" i="8" s="1"/>
  <c r="AQ303" i="8" s="1"/>
  <c r="K304" i="8"/>
  <c r="AC304" i="8" s="1"/>
  <c r="AD304" i="8" s="1"/>
  <c r="AQ304" i="8" s="1"/>
  <c r="K305" i="8"/>
  <c r="AC305" i="8" s="1"/>
  <c r="AD305" i="8" s="1"/>
  <c r="AQ305" i="8" s="1"/>
  <c r="K306" i="8"/>
  <c r="AC306" i="8" s="1"/>
  <c r="AD306" i="8" s="1"/>
  <c r="AQ306" i="8" s="1"/>
  <c r="K307" i="8"/>
  <c r="AC307" i="8" s="1"/>
  <c r="AD307" i="8" s="1"/>
  <c r="AQ307" i="8" s="1"/>
  <c r="K308" i="8"/>
  <c r="AC308" i="8" s="1"/>
  <c r="AD308" i="8" s="1"/>
  <c r="AQ308" i="8" s="1"/>
  <c r="K309" i="8"/>
  <c r="AC309" i="8" s="1"/>
  <c r="AD309" i="8" s="1"/>
  <c r="AQ309" i="8" s="1"/>
  <c r="K310" i="8"/>
  <c r="AC310" i="8" s="1"/>
  <c r="AD310" i="8" s="1"/>
  <c r="AQ310" i="8" s="1"/>
  <c r="K311" i="8"/>
  <c r="AC311" i="8" s="1"/>
  <c r="AD311" i="8" s="1"/>
  <c r="AQ311" i="8" s="1"/>
  <c r="K312" i="8"/>
  <c r="AC312" i="8" s="1"/>
  <c r="AD312" i="8" s="1"/>
  <c r="AQ312" i="8" s="1"/>
  <c r="K313" i="8"/>
  <c r="AC313" i="8" s="1"/>
  <c r="AD313" i="8" s="1"/>
  <c r="AQ313" i="8" s="1"/>
  <c r="K314" i="8"/>
  <c r="AC314" i="8" s="1"/>
  <c r="AD314" i="8" s="1"/>
  <c r="AQ314" i="8" s="1"/>
  <c r="K315" i="8"/>
  <c r="AC315" i="8" s="1"/>
  <c r="AD315" i="8" s="1"/>
  <c r="AQ315" i="8" s="1"/>
  <c r="K316" i="8"/>
  <c r="AC316" i="8" s="1"/>
  <c r="AD316" i="8" s="1"/>
  <c r="AQ316" i="8" s="1"/>
  <c r="K317" i="8"/>
  <c r="AC317" i="8" s="1"/>
  <c r="AD317" i="8" s="1"/>
  <c r="AQ317" i="8" s="1"/>
  <c r="K318" i="8"/>
  <c r="AC318" i="8" s="1"/>
  <c r="AD318" i="8" s="1"/>
  <c r="AQ318" i="8" s="1"/>
  <c r="K319" i="8"/>
  <c r="AC319" i="8" s="1"/>
  <c r="AD319" i="8" s="1"/>
  <c r="AQ319" i="8" s="1"/>
  <c r="K320" i="8"/>
  <c r="AC320" i="8" s="1"/>
  <c r="AD320" i="8" s="1"/>
  <c r="AQ320" i="8" s="1"/>
  <c r="K321" i="8"/>
  <c r="AC321" i="8" s="1"/>
  <c r="AD321" i="8" s="1"/>
  <c r="AQ321" i="8" s="1"/>
  <c r="K322" i="8"/>
  <c r="AC322" i="8" s="1"/>
  <c r="AD322" i="8" s="1"/>
  <c r="AQ322" i="8" s="1"/>
  <c r="K323" i="8"/>
  <c r="AC323" i="8" s="1"/>
  <c r="AD323" i="8" s="1"/>
  <c r="AQ323" i="8" s="1"/>
  <c r="K324" i="8"/>
  <c r="AC324" i="8" s="1"/>
  <c r="AD324" i="8" s="1"/>
  <c r="AQ324" i="8" s="1"/>
  <c r="K325" i="8"/>
  <c r="AC325" i="8" s="1"/>
  <c r="AD325" i="8" s="1"/>
  <c r="AQ325" i="8" s="1"/>
  <c r="K326" i="8"/>
  <c r="AC326" i="8" s="1"/>
  <c r="AD326" i="8" s="1"/>
  <c r="AQ326" i="8" s="1"/>
  <c r="K327" i="8"/>
  <c r="AC327" i="8" s="1"/>
  <c r="AD327" i="8" s="1"/>
  <c r="AQ327" i="8" s="1"/>
  <c r="K328" i="8"/>
  <c r="AC328" i="8" s="1"/>
  <c r="AD328" i="8" s="1"/>
  <c r="AQ328" i="8" s="1"/>
  <c r="K329" i="8"/>
  <c r="AC329" i="8" s="1"/>
  <c r="AD329" i="8" s="1"/>
  <c r="AQ329" i="8" s="1"/>
  <c r="K331" i="8"/>
  <c r="AC331" i="8" s="1"/>
  <c r="AD331" i="8" s="1"/>
  <c r="AQ331" i="8" s="1"/>
  <c r="K332" i="8"/>
  <c r="AC332" i="8" s="1"/>
  <c r="AD332" i="8" s="1"/>
  <c r="AQ332" i="8" s="1"/>
  <c r="K333" i="8"/>
  <c r="AC333" i="8" s="1"/>
  <c r="AD333" i="8" s="1"/>
  <c r="AQ333" i="8" s="1"/>
  <c r="K334" i="8"/>
  <c r="AC334" i="8" s="1"/>
  <c r="K335" i="8"/>
  <c r="AC335" i="8" s="1"/>
  <c r="AD335" i="8" s="1"/>
  <c r="AQ335" i="8" s="1"/>
  <c r="K336" i="8"/>
  <c r="AC336" i="8" s="1"/>
  <c r="AD336" i="8" s="1"/>
  <c r="AQ336" i="8" s="1"/>
  <c r="K337" i="8"/>
  <c r="AC337" i="8" s="1"/>
  <c r="AD337" i="8" s="1"/>
  <c r="AQ337" i="8" s="1"/>
  <c r="K338" i="8"/>
  <c r="AC338" i="8" s="1"/>
  <c r="K339" i="8"/>
  <c r="AC339" i="8" s="1"/>
  <c r="AD339" i="8" s="1"/>
  <c r="AQ339" i="8" s="1"/>
  <c r="K340" i="8"/>
  <c r="AC340" i="8" s="1"/>
  <c r="AD340" i="8" s="1"/>
  <c r="AQ340" i="8" s="1"/>
  <c r="K341" i="8"/>
  <c r="AC341" i="8" s="1"/>
  <c r="AD341" i="8" s="1"/>
  <c r="AQ341" i="8" s="1"/>
  <c r="K342" i="8"/>
  <c r="AC342" i="8" s="1"/>
  <c r="K343" i="8"/>
  <c r="AC343" i="8" s="1"/>
  <c r="AD343" i="8" s="1"/>
  <c r="AQ343" i="8" s="1"/>
  <c r="K344" i="8"/>
  <c r="AC344" i="8" s="1"/>
  <c r="AD344" i="8" s="1"/>
  <c r="AQ344" i="8" s="1"/>
  <c r="K345" i="8"/>
  <c r="AC345" i="8" s="1"/>
  <c r="AD345" i="8" s="1"/>
  <c r="AQ345" i="8" s="1"/>
  <c r="K346" i="8"/>
  <c r="AC346" i="8" s="1"/>
  <c r="AD346" i="8" s="1"/>
  <c r="AQ346" i="8" s="1"/>
  <c r="K347" i="8"/>
  <c r="AC347" i="8" s="1"/>
  <c r="AD347" i="8" s="1"/>
  <c r="AQ347" i="8" s="1"/>
  <c r="K348" i="8"/>
  <c r="AC348" i="8" s="1"/>
  <c r="AD348" i="8" s="1"/>
  <c r="AQ348" i="8" s="1"/>
  <c r="K349" i="8"/>
  <c r="AC349" i="8" s="1"/>
  <c r="AD349" i="8" s="1"/>
  <c r="AQ349" i="8" s="1"/>
  <c r="K350" i="8"/>
  <c r="AC350" i="8" s="1"/>
  <c r="K351" i="8"/>
  <c r="AC351" i="8" s="1"/>
  <c r="AD351" i="8" s="1"/>
  <c r="AQ351" i="8" s="1"/>
  <c r="K352" i="8"/>
  <c r="AC352" i="8" s="1"/>
  <c r="AD352" i="8" s="1"/>
  <c r="AQ352" i="8" s="1"/>
  <c r="K353" i="8"/>
  <c r="AC353" i="8" s="1"/>
  <c r="AD353" i="8" s="1"/>
  <c r="AQ353" i="8" s="1"/>
  <c r="K354" i="8"/>
  <c r="AC354" i="8" s="1"/>
  <c r="K355" i="8"/>
  <c r="AC355" i="8" s="1"/>
  <c r="AD355" i="8" s="1"/>
  <c r="AQ355" i="8" s="1"/>
  <c r="K356" i="8"/>
  <c r="AC356" i="8" s="1"/>
  <c r="AD356" i="8" s="1"/>
  <c r="AQ356" i="8" s="1"/>
  <c r="K357" i="8"/>
  <c r="AC357" i="8" s="1"/>
  <c r="AD357" i="8" s="1"/>
  <c r="AQ357" i="8" s="1"/>
  <c r="K358" i="8"/>
  <c r="AC358" i="8" s="1"/>
  <c r="K359" i="8"/>
  <c r="AC359" i="8" s="1"/>
  <c r="AD359" i="8" s="1"/>
  <c r="AQ359" i="8" s="1"/>
  <c r="K360" i="8"/>
  <c r="AC360" i="8" s="1"/>
  <c r="AD360" i="8" s="1"/>
  <c r="AQ360" i="8" s="1"/>
  <c r="K361" i="8"/>
  <c r="AC361" i="8" s="1"/>
  <c r="AD361" i="8" s="1"/>
  <c r="AQ361" i="8" s="1"/>
  <c r="K362" i="8"/>
  <c r="AC362" i="8" s="1"/>
  <c r="K363" i="8"/>
  <c r="AC363" i="8" s="1"/>
  <c r="AD363" i="8" s="1"/>
  <c r="AQ363" i="8" s="1"/>
  <c r="K364" i="8"/>
  <c r="AC364" i="8" s="1"/>
  <c r="AD364" i="8" s="1"/>
  <c r="AQ364" i="8" s="1"/>
  <c r="K365" i="8"/>
  <c r="AC365" i="8" s="1"/>
  <c r="AD365" i="8" s="1"/>
  <c r="AQ365" i="8" s="1"/>
  <c r="K366" i="8"/>
  <c r="AC366" i="8" s="1"/>
  <c r="AD366" i="8" s="1"/>
  <c r="AQ366" i="8" s="1"/>
  <c r="K367" i="8"/>
  <c r="AC367" i="8" s="1"/>
  <c r="AD367" i="8" s="1"/>
  <c r="AQ367" i="8" s="1"/>
  <c r="K368" i="8"/>
  <c r="AC368" i="8" s="1"/>
  <c r="AD368" i="8" s="1"/>
  <c r="AQ368" i="8" s="1"/>
  <c r="K369" i="8"/>
  <c r="AC369" i="8" s="1"/>
  <c r="AD369" i="8" s="1"/>
  <c r="AQ369" i="8" s="1"/>
  <c r="K370" i="8"/>
  <c r="AC370" i="8" s="1"/>
  <c r="K371" i="8"/>
  <c r="AC371" i="8" s="1"/>
  <c r="AD371" i="8" s="1"/>
  <c r="AQ371" i="8" s="1"/>
  <c r="K372" i="8"/>
  <c r="AC372" i="8" s="1"/>
  <c r="AD372" i="8" s="1"/>
  <c r="AQ372" i="8" s="1"/>
  <c r="K374" i="8"/>
  <c r="AC374" i="8" s="1"/>
  <c r="K375" i="8"/>
  <c r="AC375" i="8" s="1"/>
  <c r="AD375" i="8" s="1"/>
  <c r="AQ375" i="8" s="1"/>
  <c r="K376" i="8"/>
  <c r="AC376" i="8" s="1"/>
  <c r="AD376" i="8" s="1"/>
  <c r="AQ376" i="8" s="1"/>
  <c r="K377" i="8"/>
  <c r="AC377" i="8" s="1"/>
  <c r="AD377" i="8" s="1"/>
  <c r="AQ377" i="8" s="1"/>
  <c r="K378" i="8"/>
  <c r="AC378" i="8" s="1"/>
  <c r="K379" i="8"/>
  <c r="AC379" i="8" s="1"/>
  <c r="AD379" i="8" s="1"/>
  <c r="AQ379" i="8" s="1"/>
  <c r="K380" i="8"/>
  <c r="AC380" i="8" s="1"/>
  <c r="AD380" i="8" s="1"/>
  <c r="AQ380" i="8" s="1"/>
  <c r="K381" i="8"/>
  <c r="AC381" i="8" s="1"/>
  <c r="AD381" i="8" s="1"/>
  <c r="AQ381" i="8" s="1"/>
  <c r="K382" i="8"/>
  <c r="AC382" i="8" s="1"/>
  <c r="K383" i="8"/>
  <c r="AC383" i="8" s="1"/>
  <c r="AD383" i="8" s="1"/>
  <c r="AQ383" i="8" s="1"/>
  <c r="K384" i="8"/>
  <c r="AC384" i="8" s="1"/>
  <c r="AD384" i="8" s="1"/>
  <c r="AQ384" i="8" s="1"/>
  <c r="K385" i="8"/>
  <c r="AC385" i="8" s="1"/>
  <c r="AD385" i="8" s="1"/>
  <c r="AQ385" i="8" s="1"/>
  <c r="K386" i="8"/>
  <c r="AC386" i="8" s="1"/>
  <c r="AD386" i="8" s="1"/>
  <c r="AQ386" i="8" s="1"/>
  <c r="K388" i="8"/>
  <c r="AC388" i="8" s="1"/>
  <c r="AD388" i="8" s="1"/>
  <c r="AQ388" i="8" s="1"/>
  <c r="K389" i="8"/>
  <c r="AC389" i="8" s="1"/>
  <c r="AD389" i="8" s="1"/>
  <c r="AQ389" i="8" s="1"/>
  <c r="K393" i="8"/>
  <c r="AC393" i="8" s="1"/>
  <c r="AD393" i="8" s="1"/>
  <c r="AQ393" i="8" s="1"/>
  <c r="K394" i="8"/>
  <c r="AC394" i="8" s="1"/>
  <c r="K395" i="8"/>
  <c r="AC395" i="8" s="1"/>
  <c r="AD395" i="8" s="1"/>
  <c r="AQ395" i="8" s="1"/>
  <c r="K396" i="8"/>
  <c r="AC396" i="8" s="1"/>
  <c r="AD396" i="8" s="1"/>
  <c r="AQ396" i="8" s="1"/>
  <c r="K397" i="8"/>
  <c r="AC397" i="8" s="1"/>
  <c r="AD397" i="8" s="1"/>
  <c r="AQ397" i="8" s="1"/>
  <c r="K398" i="8"/>
  <c r="AC398" i="8" s="1"/>
  <c r="K399" i="8"/>
  <c r="AC399" i="8" s="1"/>
  <c r="AD399" i="8" s="1"/>
  <c r="AQ399" i="8" s="1"/>
  <c r="K400" i="8"/>
  <c r="AC400" i="8" s="1"/>
  <c r="AD400" i="8" s="1"/>
  <c r="AQ400" i="8" s="1"/>
  <c r="K401" i="8"/>
  <c r="AC401" i="8" s="1"/>
  <c r="AD401" i="8" s="1"/>
  <c r="AQ401" i="8" s="1"/>
  <c r="K403" i="8"/>
  <c r="AC403" i="8" s="1"/>
  <c r="AD403" i="8" s="1"/>
  <c r="AQ403" i="8" s="1"/>
  <c r="K404" i="8"/>
  <c r="AC404" i="8" s="1"/>
  <c r="AD404" i="8" s="1"/>
  <c r="AQ404" i="8" s="1"/>
  <c r="K405" i="8"/>
  <c r="AC405" i="8" s="1"/>
  <c r="AD405" i="8" s="1"/>
  <c r="AQ405" i="8" s="1"/>
  <c r="K406" i="8"/>
  <c r="AC406" i="8" s="1"/>
  <c r="K407" i="8"/>
  <c r="AC407" i="8" s="1"/>
  <c r="AD407" i="8" s="1"/>
  <c r="AQ407" i="8" s="1"/>
  <c r="K408" i="8"/>
  <c r="AC408" i="8" s="1"/>
  <c r="AD408" i="8" s="1"/>
  <c r="AQ408" i="8" s="1"/>
  <c r="K409" i="8"/>
  <c r="AC409" i="8" s="1"/>
  <c r="AD409" i="8" s="1"/>
  <c r="AQ409" i="8" s="1"/>
  <c r="K410" i="8"/>
  <c r="AC410" i="8" s="1"/>
  <c r="K411" i="8"/>
  <c r="AC411" i="8" s="1"/>
  <c r="AD411" i="8" s="1"/>
  <c r="AQ411" i="8" s="1"/>
  <c r="K412" i="8"/>
  <c r="AC412" i="8" s="1"/>
  <c r="AD412" i="8" s="1"/>
  <c r="AQ412" i="8" s="1"/>
  <c r="K413" i="8"/>
  <c r="AC413" i="8" s="1"/>
  <c r="AD413" i="8" s="1"/>
  <c r="AQ413" i="8" s="1"/>
  <c r="K414" i="8"/>
  <c r="AC414" i="8" s="1"/>
  <c r="K415" i="8"/>
  <c r="AC415" i="8" s="1"/>
  <c r="AD415" i="8" s="1"/>
  <c r="AQ415" i="8" s="1"/>
  <c r="K417" i="8"/>
  <c r="AC417" i="8" s="1"/>
  <c r="AD417" i="8" s="1"/>
  <c r="AQ417" i="8" s="1"/>
  <c r="K418" i="8"/>
  <c r="AC418" i="8" s="1"/>
  <c r="AD418" i="8" s="1"/>
  <c r="AQ418" i="8" s="1"/>
  <c r="K419" i="8"/>
  <c r="AC419" i="8" s="1"/>
  <c r="AD419" i="8" s="1"/>
  <c r="AQ419" i="8" s="1"/>
  <c r="K420" i="8"/>
  <c r="AC420" i="8" s="1"/>
  <c r="AD420" i="8" s="1"/>
  <c r="AQ420" i="8" s="1"/>
  <c r="K421" i="8"/>
  <c r="AC421" i="8" s="1"/>
  <c r="AD421" i="8" s="1"/>
  <c r="AQ421" i="8" s="1"/>
  <c r="K422" i="8"/>
  <c r="AC422" i="8" s="1"/>
  <c r="AD422" i="8" s="1"/>
  <c r="AQ422" i="8" s="1"/>
  <c r="K423" i="8"/>
  <c r="AC423" i="8" s="1"/>
  <c r="AD423" i="8" s="1"/>
  <c r="AQ423" i="8" s="1"/>
  <c r="K424" i="8"/>
  <c r="AC424" i="8" s="1"/>
  <c r="AD424" i="8" s="1"/>
  <c r="AQ424" i="8" s="1"/>
  <c r="K425" i="8"/>
  <c r="AC425" i="8" s="1"/>
  <c r="AD425" i="8" s="1"/>
  <c r="AQ425" i="8" s="1"/>
  <c r="K426" i="8"/>
  <c r="AC426" i="8" s="1"/>
  <c r="AD426" i="8" s="1"/>
  <c r="AQ426" i="8" s="1"/>
  <c r="K427" i="8"/>
  <c r="AC427" i="8" s="1"/>
  <c r="AD427" i="8" s="1"/>
  <c r="AQ427" i="8" s="1"/>
  <c r="K428" i="8"/>
  <c r="AC428" i="8" s="1"/>
  <c r="AD428" i="8" s="1"/>
  <c r="AQ428" i="8" s="1"/>
  <c r="K429" i="8"/>
  <c r="AC429" i="8" s="1"/>
  <c r="AD429" i="8" s="1"/>
  <c r="AQ429" i="8" s="1"/>
  <c r="K430" i="8"/>
  <c r="AC430" i="8" s="1"/>
  <c r="AD430" i="8" s="1"/>
  <c r="AQ430" i="8" s="1"/>
  <c r="K432" i="8"/>
  <c r="AC432" i="8" s="1"/>
  <c r="AD432" i="8" s="1"/>
  <c r="AQ432" i="8" s="1"/>
  <c r="K433" i="8"/>
  <c r="AC433" i="8" s="1"/>
  <c r="AD433" i="8" s="1"/>
  <c r="AQ433" i="8" s="1"/>
  <c r="K434" i="8"/>
  <c r="AC434" i="8" s="1"/>
  <c r="K435" i="8"/>
  <c r="AC435" i="8" s="1"/>
  <c r="AD435" i="8" s="1"/>
  <c r="AQ435" i="8" s="1"/>
  <c r="K436" i="8"/>
  <c r="AC436" i="8" s="1"/>
  <c r="AD436" i="8" s="1"/>
  <c r="AQ436" i="8" s="1"/>
  <c r="K437" i="8"/>
  <c r="AC437" i="8" s="1"/>
  <c r="AD437" i="8" s="1"/>
  <c r="AQ437" i="8" s="1"/>
  <c r="K438" i="8"/>
  <c r="AC438" i="8" s="1"/>
  <c r="K439" i="8"/>
  <c r="AC439" i="8" s="1"/>
  <c r="AD439" i="8" s="1"/>
  <c r="AQ439" i="8" s="1"/>
  <c r="K440" i="8"/>
  <c r="AC440" i="8" s="1"/>
  <c r="AD440" i="8" s="1"/>
  <c r="AQ440" i="8" s="1"/>
  <c r="K442" i="8"/>
  <c r="AC442" i="8" s="1"/>
  <c r="K443" i="8"/>
  <c r="AC443" i="8" s="1"/>
  <c r="AD443" i="8" s="1"/>
  <c r="AQ443" i="8" s="1"/>
  <c r="K444" i="8"/>
  <c r="AC444" i="8" s="1"/>
  <c r="AD444" i="8" s="1"/>
  <c r="AQ444" i="8" s="1"/>
  <c r="K445" i="8"/>
  <c r="AC445" i="8" s="1"/>
  <c r="AD445" i="8" s="1"/>
  <c r="AQ445" i="8" s="1"/>
  <c r="K446" i="8"/>
  <c r="AC446" i="8" s="1"/>
  <c r="K447" i="8"/>
  <c r="AC447" i="8" s="1"/>
  <c r="AD447" i="8" s="1"/>
  <c r="AQ447" i="8" s="1"/>
  <c r="K448" i="8"/>
  <c r="AC448" i="8" s="1"/>
  <c r="AD448" i="8" s="1"/>
  <c r="AQ448" i="8" s="1"/>
  <c r="K449" i="8"/>
  <c r="AC449" i="8" s="1"/>
  <c r="AD449" i="8" s="1"/>
  <c r="AQ449" i="8" s="1"/>
  <c r="K450" i="8"/>
  <c r="AC450" i="8" s="1"/>
  <c r="AD450" i="8" s="1"/>
  <c r="AQ450" i="8" s="1"/>
  <c r="K451" i="8"/>
  <c r="AC451" i="8" s="1"/>
  <c r="AD451" i="8" s="1"/>
  <c r="AQ451" i="8" s="1"/>
  <c r="K452" i="8"/>
  <c r="AC452" i="8" s="1"/>
  <c r="AD452" i="8" s="1"/>
  <c r="AQ452" i="8" s="1"/>
  <c r="K453" i="8"/>
  <c r="AC453" i="8" s="1"/>
  <c r="AD453" i="8" s="1"/>
  <c r="AQ453" i="8" s="1"/>
  <c r="K454" i="8"/>
  <c r="AC454" i="8" s="1"/>
  <c r="AD454" i="8" s="1"/>
  <c r="AQ454" i="8" s="1"/>
  <c r="K455" i="8"/>
  <c r="AC455" i="8" s="1"/>
  <c r="AD455" i="8" s="1"/>
  <c r="AQ455" i="8" s="1"/>
  <c r="K456" i="8"/>
  <c r="AC456" i="8" s="1"/>
  <c r="AD456" i="8" s="1"/>
  <c r="AQ456" i="8" s="1"/>
  <c r="K457" i="8"/>
  <c r="AC457" i="8" s="1"/>
  <c r="AD457" i="8" s="1"/>
  <c r="AQ457" i="8" s="1"/>
  <c r="K463" i="8"/>
  <c r="AC463" i="8" s="1"/>
  <c r="AD463" i="8" s="1"/>
  <c r="AQ463" i="8" s="1"/>
  <c r="K464" i="8"/>
  <c r="AC464" i="8" s="1"/>
  <c r="AD464" i="8" s="1"/>
  <c r="AQ464" i="8" s="1"/>
  <c r="K465" i="8"/>
  <c r="AC465" i="8" s="1"/>
  <c r="AD465" i="8" s="1"/>
  <c r="AQ465" i="8" s="1"/>
  <c r="K466" i="8"/>
  <c r="AC466" i="8" s="1"/>
  <c r="K467" i="8"/>
  <c r="AC467" i="8" s="1"/>
  <c r="AD467" i="8" s="1"/>
  <c r="AQ467" i="8" s="1"/>
  <c r="K468" i="8"/>
  <c r="AC468" i="8" s="1"/>
  <c r="AD468" i="8" s="1"/>
  <c r="AQ468" i="8" s="1"/>
  <c r="K470" i="8"/>
  <c r="AC470" i="8" s="1"/>
  <c r="AD470" i="8" s="1"/>
  <c r="AQ470" i="8" s="1"/>
  <c r="K471" i="8"/>
  <c r="AC471" i="8" s="1"/>
  <c r="AD471" i="8" s="1"/>
  <c r="AQ471" i="8" s="1"/>
  <c r="K472" i="8"/>
  <c r="AC472" i="8" s="1"/>
  <c r="AD472" i="8" s="1"/>
  <c r="AQ472" i="8" s="1"/>
  <c r="K473" i="8"/>
  <c r="AC473" i="8" s="1"/>
  <c r="AD473" i="8" s="1"/>
  <c r="AQ473" i="8" s="1"/>
  <c r="K474" i="8"/>
  <c r="AC474" i="8" s="1"/>
  <c r="AD474" i="8" s="1"/>
  <c r="AQ474" i="8" s="1"/>
  <c r="K475" i="8"/>
  <c r="AC475" i="8" s="1"/>
  <c r="AD475" i="8" s="1"/>
  <c r="AQ475" i="8" s="1"/>
  <c r="K476" i="8"/>
  <c r="AC476" i="8" s="1"/>
  <c r="AD476" i="8" s="1"/>
  <c r="AQ476" i="8" s="1"/>
  <c r="K477" i="8"/>
  <c r="AC477" i="8" s="1"/>
  <c r="AD477" i="8" s="1"/>
  <c r="AQ477" i="8" s="1"/>
  <c r="K478" i="8"/>
  <c r="AC478" i="8" s="1"/>
  <c r="AD478" i="8" s="1"/>
  <c r="AQ478" i="8" s="1"/>
  <c r="K479" i="8"/>
  <c r="AC479" i="8" s="1"/>
  <c r="AD479" i="8" s="1"/>
  <c r="AQ479" i="8" s="1"/>
  <c r="K481" i="8"/>
  <c r="AC481" i="8" s="1"/>
  <c r="AD481" i="8" s="1"/>
  <c r="AQ481" i="8" s="1"/>
  <c r="K482" i="8"/>
  <c r="AC482" i="8" s="1"/>
  <c r="AD482" i="8" s="1"/>
  <c r="AQ482" i="8" s="1"/>
  <c r="K483" i="8"/>
  <c r="AC483" i="8" s="1"/>
  <c r="AD483" i="8" s="1"/>
  <c r="AQ483" i="8" s="1"/>
  <c r="K484" i="8"/>
  <c r="AC484" i="8" s="1"/>
  <c r="AD484" i="8" s="1"/>
  <c r="AQ484" i="8" s="1"/>
  <c r="K485" i="8"/>
  <c r="AC485" i="8" s="1"/>
  <c r="AD485" i="8" s="1"/>
  <c r="AQ485" i="8" s="1"/>
  <c r="K486" i="8"/>
  <c r="AC486" i="8" s="1"/>
  <c r="K487" i="8"/>
  <c r="AC487" i="8" s="1"/>
  <c r="AD487" i="8" s="1"/>
  <c r="AQ487" i="8" s="1"/>
  <c r="K488" i="8"/>
  <c r="AC488" i="8" s="1"/>
  <c r="AD488" i="8" s="1"/>
  <c r="AQ488" i="8" s="1"/>
  <c r="K489" i="8"/>
  <c r="AC489" i="8" s="1"/>
  <c r="AD489" i="8" s="1"/>
  <c r="AQ489" i="8" s="1"/>
  <c r="K490" i="8"/>
  <c r="AC490" i="8" s="1"/>
  <c r="K491" i="8"/>
  <c r="AC491" i="8" s="1"/>
  <c r="AD491" i="8" s="1"/>
  <c r="AQ491" i="8" s="1"/>
  <c r="K492" i="8"/>
  <c r="AC492" i="8" s="1"/>
  <c r="AD492" i="8" s="1"/>
  <c r="AQ492" i="8" s="1"/>
  <c r="K493" i="8"/>
  <c r="AC493" i="8" s="1"/>
  <c r="AD493" i="8" s="1"/>
  <c r="AQ493" i="8" s="1"/>
  <c r="K494" i="8"/>
  <c r="AC494" i="8" s="1"/>
  <c r="K495" i="8"/>
  <c r="AC495" i="8" s="1"/>
  <c r="AD495" i="8" s="1"/>
  <c r="AQ495" i="8" s="1"/>
  <c r="K496" i="8"/>
  <c r="AC496" i="8" s="1"/>
  <c r="AD496" i="8" s="1"/>
  <c r="AQ496" i="8" s="1"/>
  <c r="K497" i="8"/>
  <c r="AC497" i="8" s="1"/>
  <c r="AD497" i="8" s="1"/>
  <c r="AQ497" i="8" s="1"/>
  <c r="K498" i="8"/>
  <c r="AC498" i="8" s="1"/>
  <c r="AD498" i="8" s="1"/>
  <c r="AQ498" i="8" s="1"/>
  <c r="K499" i="8"/>
  <c r="AC499" i="8" s="1"/>
  <c r="AD499" i="8" s="1"/>
  <c r="AQ499" i="8" s="1"/>
  <c r="K500" i="8"/>
  <c r="AC500" i="8" s="1"/>
  <c r="AD500" i="8" s="1"/>
  <c r="AQ500" i="8" s="1"/>
  <c r="K501" i="8"/>
  <c r="AC501" i="8" s="1"/>
  <c r="AD501" i="8" s="1"/>
  <c r="AQ501" i="8" s="1"/>
  <c r="K502" i="8"/>
  <c r="AC502" i="8" s="1"/>
  <c r="K504" i="8"/>
  <c r="AC504" i="8" s="1"/>
  <c r="AD504" i="8" s="1"/>
  <c r="AQ504" i="8" s="1"/>
  <c r="K505" i="8"/>
  <c r="AC505" i="8" s="1"/>
  <c r="AD505" i="8" s="1"/>
  <c r="AQ505" i="8" s="1"/>
  <c r="K506" i="8"/>
  <c r="AC506" i="8" s="1"/>
  <c r="K507" i="8"/>
  <c r="AC507" i="8" s="1"/>
  <c r="AD507" i="8" s="1"/>
  <c r="AQ507" i="8" s="1"/>
  <c r="K508" i="8"/>
  <c r="AC508" i="8" s="1"/>
  <c r="AD508" i="8" s="1"/>
  <c r="AQ508" i="8" s="1"/>
  <c r="K509" i="8"/>
  <c r="AC509" i="8" s="1"/>
  <c r="AD509" i="8" s="1"/>
  <c r="AQ509" i="8" s="1"/>
  <c r="K510" i="8"/>
  <c r="AC510" i="8" s="1"/>
  <c r="K511" i="8"/>
  <c r="AC511" i="8" s="1"/>
  <c r="AD511" i="8" s="1"/>
  <c r="AQ511" i="8" s="1"/>
  <c r="K512" i="8"/>
  <c r="AC512" i="8" s="1"/>
  <c r="AD512" i="8" s="1"/>
  <c r="AQ512" i="8" s="1"/>
  <c r="K513" i="8"/>
  <c r="AC513" i="8" s="1"/>
  <c r="AD513" i="8" s="1"/>
  <c r="AQ513" i="8" s="1"/>
  <c r="K514" i="8"/>
  <c r="AC514" i="8" s="1"/>
  <c r="AD514" i="8" s="1"/>
  <c r="AQ514" i="8" s="1"/>
  <c r="K515" i="8"/>
  <c r="AC515" i="8" s="1"/>
  <c r="AD515" i="8" s="1"/>
  <c r="AQ515" i="8" s="1"/>
  <c r="K516" i="8"/>
  <c r="AC516" i="8" s="1"/>
  <c r="AD516" i="8" s="1"/>
  <c r="AQ516" i="8" s="1"/>
  <c r="K517" i="8"/>
  <c r="AC517" i="8" s="1"/>
  <c r="AD517" i="8" s="1"/>
  <c r="AQ517" i="8" s="1"/>
  <c r="K518" i="8"/>
  <c r="AC518" i="8" s="1"/>
  <c r="K519" i="8"/>
  <c r="AC519" i="8" s="1"/>
  <c r="AD519" i="8" s="1"/>
  <c r="AQ519" i="8" s="1"/>
  <c r="K520" i="8"/>
  <c r="AC520" i="8" s="1"/>
  <c r="AD520" i="8" s="1"/>
  <c r="AQ520" i="8" s="1"/>
  <c r="K521" i="8"/>
  <c r="AC521" i="8" s="1"/>
  <c r="AD521" i="8" s="1"/>
  <c r="AQ521" i="8" s="1"/>
  <c r="K522" i="8"/>
  <c r="AC522" i="8" s="1"/>
  <c r="K523" i="8"/>
  <c r="AC523" i="8" s="1"/>
  <c r="AD523" i="8" s="1"/>
  <c r="AQ523" i="8" s="1"/>
  <c r="K524" i="8"/>
  <c r="AC524" i="8" s="1"/>
  <c r="AD524" i="8" s="1"/>
  <c r="AQ524" i="8" s="1"/>
  <c r="K525" i="8"/>
  <c r="AC525" i="8" s="1"/>
  <c r="AD525" i="8" s="1"/>
  <c r="AQ525" i="8" s="1"/>
  <c r="K526" i="8"/>
  <c r="AC526" i="8" s="1"/>
  <c r="K527" i="8"/>
  <c r="AC527" i="8" s="1"/>
  <c r="AD527" i="8" s="1"/>
  <c r="AQ527" i="8" s="1"/>
  <c r="K528" i="8"/>
  <c r="AC528" i="8" s="1"/>
  <c r="AD528" i="8" s="1"/>
  <c r="AQ528" i="8" s="1"/>
  <c r="K529" i="8"/>
  <c r="AC529" i="8" s="1"/>
  <c r="AD529" i="8" s="1"/>
  <c r="AQ529" i="8" s="1"/>
  <c r="K530" i="8"/>
  <c r="AC530" i="8" s="1"/>
  <c r="AD530" i="8" s="1"/>
  <c r="AQ530" i="8" s="1"/>
  <c r="K531" i="8"/>
  <c r="AC531" i="8" s="1"/>
  <c r="AD531" i="8" s="1"/>
  <c r="AQ531" i="8" s="1"/>
  <c r="K532" i="8"/>
  <c r="AC532" i="8" s="1"/>
  <c r="AD532" i="8" s="1"/>
  <c r="AQ532" i="8" s="1"/>
  <c r="K533" i="8"/>
  <c r="AC533" i="8" s="1"/>
  <c r="AD533" i="8" s="1"/>
  <c r="AQ533" i="8" s="1"/>
  <c r="K534" i="8"/>
  <c r="AC534" i="8" s="1"/>
  <c r="K535" i="8"/>
  <c r="AC535" i="8" s="1"/>
  <c r="AD535" i="8" s="1"/>
  <c r="AQ535" i="8" s="1"/>
  <c r="K536" i="8"/>
  <c r="AC536" i="8" s="1"/>
  <c r="AD536" i="8" s="1"/>
  <c r="AQ536" i="8" s="1"/>
  <c r="K537" i="8"/>
  <c r="AC537" i="8" s="1"/>
  <c r="AD537" i="8" s="1"/>
  <c r="AQ537" i="8" s="1"/>
  <c r="K538" i="8"/>
  <c r="AC538" i="8" s="1"/>
  <c r="K539" i="8"/>
  <c r="AC539" i="8" s="1"/>
  <c r="AD539" i="8" s="1"/>
  <c r="AQ539" i="8" s="1"/>
  <c r="K540" i="8"/>
  <c r="AC540" i="8" s="1"/>
  <c r="AD540" i="8" s="1"/>
  <c r="AQ540" i="8" s="1"/>
  <c r="K542" i="8"/>
  <c r="AC542" i="8" s="1"/>
  <c r="K543" i="8"/>
  <c r="AC543" i="8" s="1"/>
  <c r="AD543" i="8" s="1"/>
  <c r="AQ543" i="8" s="1"/>
  <c r="K544" i="8"/>
  <c r="AC544" i="8" s="1"/>
  <c r="AD544" i="8" s="1"/>
  <c r="AQ544" i="8" s="1"/>
  <c r="K545" i="8"/>
  <c r="AC545" i="8" s="1"/>
  <c r="AD545" i="8" s="1"/>
  <c r="AQ545" i="8" s="1"/>
  <c r="K546" i="8"/>
  <c r="AC546" i="8" s="1"/>
  <c r="K547" i="8"/>
  <c r="AC547" i="8" s="1"/>
  <c r="AD547" i="8" s="1"/>
  <c r="AQ547" i="8" s="1"/>
  <c r="K548" i="8"/>
  <c r="AC548" i="8" s="1"/>
  <c r="AD548" i="8" s="1"/>
  <c r="AQ548" i="8" s="1"/>
  <c r="K549" i="8"/>
  <c r="AC549" i="8" s="1"/>
  <c r="AD549" i="8" s="1"/>
  <c r="AQ549" i="8" s="1"/>
  <c r="K550" i="8"/>
  <c r="AC550" i="8" s="1"/>
  <c r="K551" i="8"/>
  <c r="AC551" i="8" s="1"/>
  <c r="AD551" i="8" s="1"/>
  <c r="AQ551" i="8" s="1"/>
  <c r="K552" i="8"/>
  <c r="AC552" i="8" s="1"/>
  <c r="AD552" i="8" s="1"/>
  <c r="AQ552" i="8" s="1"/>
  <c r="K553" i="8"/>
  <c r="AC553" i="8" s="1"/>
  <c r="AD553" i="8" s="1"/>
  <c r="AQ553" i="8" s="1"/>
  <c r="K554" i="8"/>
  <c r="AC554" i="8" s="1"/>
  <c r="K555" i="8"/>
  <c r="AC555" i="8" s="1"/>
  <c r="AD555" i="8" s="1"/>
  <c r="AQ555" i="8" s="1"/>
  <c r="K556" i="8"/>
  <c r="AC556" i="8" s="1"/>
  <c r="AD556" i="8" s="1"/>
  <c r="AQ556" i="8" s="1"/>
  <c r="K557" i="8"/>
  <c r="AC557" i="8" s="1"/>
  <c r="AD557" i="8" s="1"/>
  <c r="AQ557" i="8" s="1"/>
  <c r="K558" i="8"/>
  <c r="AC558" i="8" s="1"/>
  <c r="K559" i="8"/>
  <c r="AC559" i="8" s="1"/>
  <c r="AD559" i="8" s="1"/>
  <c r="AQ559" i="8" s="1"/>
  <c r="K560" i="8"/>
  <c r="AC560" i="8" s="1"/>
  <c r="AD560" i="8" s="1"/>
  <c r="AQ560" i="8" s="1"/>
  <c r="K561" i="8"/>
  <c r="AC561" i="8" s="1"/>
  <c r="AD561" i="8" s="1"/>
  <c r="AQ561" i="8" s="1"/>
  <c r="K562" i="8"/>
  <c r="AC562" i="8" s="1"/>
  <c r="K563" i="8"/>
  <c r="AC563" i="8" s="1"/>
  <c r="AD563" i="8" s="1"/>
  <c r="AQ563" i="8" s="1"/>
  <c r="K564" i="8"/>
  <c r="AC564" i="8" s="1"/>
  <c r="AD564" i="8" s="1"/>
  <c r="AQ564" i="8" s="1"/>
  <c r="K565" i="8"/>
  <c r="AC565" i="8" s="1"/>
  <c r="AD565" i="8" s="1"/>
  <c r="AQ565" i="8" s="1"/>
  <c r="K566" i="8"/>
  <c r="AC566" i="8" s="1"/>
  <c r="K567" i="8"/>
  <c r="AC567" i="8" s="1"/>
  <c r="AD567" i="8" s="1"/>
  <c r="AQ567" i="8" s="1"/>
  <c r="K568" i="8"/>
  <c r="AC568" i="8" s="1"/>
  <c r="AD568" i="8" s="1"/>
  <c r="AQ568" i="8" s="1"/>
  <c r="K569" i="8"/>
  <c r="AC569" i="8" s="1"/>
  <c r="AD569" i="8" s="1"/>
  <c r="AQ569" i="8" s="1"/>
  <c r="K570" i="8"/>
  <c r="AC570" i="8" s="1"/>
  <c r="K572" i="8"/>
  <c r="AC572" i="8" s="1"/>
  <c r="AD572" i="8" s="1"/>
  <c r="AQ572" i="8" s="1"/>
  <c r="K573" i="8"/>
  <c r="AC573" i="8" s="1"/>
  <c r="AD573" i="8" s="1"/>
  <c r="AQ573" i="8" s="1"/>
  <c r="K574" i="8"/>
  <c r="AC574" i="8" s="1"/>
  <c r="AD574" i="8" s="1"/>
  <c r="AQ574" i="8" s="1"/>
  <c r="K575" i="8"/>
  <c r="AC575" i="8" s="1"/>
  <c r="AD575" i="8" s="1"/>
  <c r="AQ575" i="8" s="1"/>
  <c r="K576" i="8"/>
  <c r="AC576" i="8" s="1"/>
  <c r="AD576" i="8" s="1"/>
  <c r="AQ576" i="8" s="1"/>
  <c r="K577" i="8"/>
  <c r="AC577" i="8" s="1"/>
  <c r="AD577" i="8" s="1"/>
  <c r="AQ577" i="8" s="1"/>
  <c r="K578" i="8"/>
  <c r="AC578" i="8" s="1"/>
  <c r="AD578" i="8" s="1"/>
  <c r="AQ578" i="8" s="1"/>
  <c r="K579" i="8"/>
  <c r="AC579" i="8" s="1"/>
  <c r="AD579" i="8" s="1"/>
  <c r="AQ579" i="8" s="1"/>
  <c r="K580" i="8"/>
  <c r="AC580" i="8" s="1"/>
  <c r="AD580" i="8" s="1"/>
  <c r="AQ580" i="8" s="1"/>
  <c r="K581" i="8"/>
  <c r="AC581" i="8" s="1"/>
  <c r="AD581" i="8" s="1"/>
  <c r="AQ581" i="8" s="1"/>
  <c r="K582" i="8"/>
  <c r="AC582" i="8" s="1"/>
  <c r="AD582" i="8" s="1"/>
  <c r="AQ582" i="8" s="1"/>
  <c r="K583" i="8"/>
  <c r="AC583" i="8" s="1"/>
  <c r="AD583" i="8" s="1"/>
  <c r="AQ583" i="8" s="1"/>
  <c r="K584" i="8"/>
  <c r="AC584" i="8" s="1"/>
  <c r="AD584" i="8" s="1"/>
  <c r="AQ584" i="8" s="1"/>
  <c r="K586" i="8"/>
  <c r="AC586" i="8" s="1"/>
  <c r="K587" i="8"/>
  <c r="AC587" i="8" s="1"/>
  <c r="AD587" i="8" s="1"/>
  <c r="AQ587" i="8" s="1"/>
  <c r="K588" i="8"/>
  <c r="AC588" i="8" s="1"/>
  <c r="AD588" i="8" s="1"/>
  <c r="AQ588" i="8" s="1"/>
  <c r="K589" i="8"/>
  <c r="AC589" i="8" s="1"/>
  <c r="AD589" i="8" s="1"/>
  <c r="AQ589" i="8" s="1"/>
  <c r="K590" i="8"/>
  <c r="AC590" i="8" s="1"/>
  <c r="K591" i="8"/>
  <c r="AC591" i="8" s="1"/>
  <c r="AD591" i="8" s="1"/>
  <c r="AQ591" i="8" s="1"/>
  <c r="K592" i="8"/>
  <c r="AC592" i="8" s="1"/>
  <c r="AD592" i="8" s="1"/>
  <c r="AQ592" i="8" s="1"/>
  <c r="K593" i="8"/>
  <c r="AC593" i="8" s="1"/>
  <c r="AD593" i="8" s="1"/>
  <c r="AQ593" i="8" s="1"/>
  <c r="K595" i="8"/>
  <c r="AC595" i="8" s="1"/>
  <c r="AD595" i="8" s="1"/>
  <c r="AQ595" i="8" s="1"/>
  <c r="K596" i="8"/>
  <c r="AC596" i="8" s="1"/>
  <c r="AD596" i="8" s="1"/>
  <c r="AQ596" i="8" s="1"/>
  <c r="K597" i="8"/>
  <c r="AC597" i="8" s="1"/>
  <c r="AD597" i="8" s="1"/>
  <c r="AQ597" i="8" s="1"/>
  <c r="K598" i="8"/>
  <c r="AC598" i="8" s="1"/>
  <c r="K599" i="8"/>
  <c r="AC599" i="8" s="1"/>
  <c r="AD599" i="8" s="1"/>
  <c r="AQ599" i="8" s="1"/>
  <c r="K600" i="8"/>
  <c r="AC600" i="8" s="1"/>
  <c r="AD600" i="8" s="1"/>
  <c r="AQ600" i="8" s="1"/>
  <c r="K601" i="8"/>
  <c r="AC601" i="8" s="1"/>
  <c r="AD601" i="8" s="1"/>
  <c r="AQ601" i="8" s="1"/>
  <c r="K602" i="8"/>
  <c r="AC602" i="8" s="1"/>
  <c r="K603" i="8"/>
  <c r="AC603" i="8" s="1"/>
  <c r="AD603" i="8" s="1"/>
  <c r="AQ603" i="8" s="1"/>
  <c r="K604" i="8"/>
  <c r="AC604" i="8" s="1"/>
  <c r="AD604" i="8" s="1"/>
  <c r="AQ604" i="8" s="1"/>
  <c r="K606" i="8"/>
  <c r="AC606" i="8" s="1"/>
  <c r="K607" i="8"/>
  <c r="AC607" i="8" s="1"/>
  <c r="AD607" i="8" s="1"/>
  <c r="AQ607" i="8" s="1"/>
  <c r="K608" i="8"/>
  <c r="AC608" i="8" s="1"/>
  <c r="AD608" i="8" s="1"/>
  <c r="AQ608" i="8" s="1"/>
  <c r="K609" i="8"/>
  <c r="AC609" i="8" s="1"/>
  <c r="AD609" i="8" s="1"/>
  <c r="AQ609" i="8" s="1"/>
  <c r="K610" i="8"/>
  <c r="AC610" i="8" s="1"/>
  <c r="K611" i="8"/>
  <c r="AC611" i="8" s="1"/>
  <c r="AD611" i="8" s="1"/>
  <c r="AQ611" i="8" s="1"/>
  <c r="K612" i="8"/>
  <c r="AC612" i="8" s="1"/>
  <c r="AD612" i="8" s="1"/>
  <c r="AQ612" i="8" s="1"/>
  <c r="K614" i="8"/>
  <c r="AC614" i="8" s="1"/>
  <c r="AD614" i="8" s="1"/>
  <c r="AQ614" i="8" s="1"/>
  <c r="K615" i="8"/>
  <c r="AC615" i="8" s="1"/>
  <c r="AD615" i="8" s="1"/>
  <c r="AQ615" i="8" s="1"/>
  <c r="K616" i="8"/>
  <c r="AC616" i="8" s="1"/>
  <c r="AD616" i="8" s="1"/>
  <c r="AQ616" i="8" s="1"/>
  <c r="K617" i="8"/>
  <c r="AC617" i="8" s="1"/>
  <c r="AD617" i="8" s="1"/>
  <c r="AQ617" i="8" s="1"/>
  <c r="K618" i="8"/>
  <c r="AC618" i="8" s="1"/>
  <c r="AD618" i="8" s="1"/>
  <c r="AQ618" i="8" s="1"/>
  <c r="K619" i="8"/>
  <c r="AC619" i="8" s="1"/>
  <c r="AD619" i="8" s="1"/>
  <c r="AQ619" i="8" s="1"/>
  <c r="K620" i="8"/>
  <c r="AC620" i="8" s="1"/>
  <c r="AD620" i="8" s="1"/>
  <c r="AQ620" i="8" s="1"/>
  <c r="K621" i="8"/>
  <c r="AC621" i="8" s="1"/>
  <c r="AD621" i="8" s="1"/>
  <c r="AQ621" i="8" s="1"/>
  <c r="K622" i="8"/>
  <c r="AC622" i="8" s="1"/>
  <c r="AD622" i="8" s="1"/>
  <c r="AQ622" i="8" s="1"/>
  <c r="K623" i="8"/>
  <c r="AC623" i="8" s="1"/>
  <c r="AD623" i="8" s="1"/>
  <c r="AQ623" i="8" s="1"/>
  <c r="K624" i="8"/>
  <c r="AC624" i="8" s="1"/>
  <c r="AD624" i="8" s="1"/>
  <c r="AQ624" i="8" s="1"/>
  <c r="K625" i="8"/>
  <c r="AC625" i="8" s="1"/>
  <c r="AD625" i="8" s="1"/>
  <c r="AQ625" i="8" s="1"/>
  <c r="K626" i="8"/>
  <c r="AC626" i="8" s="1"/>
  <c r="AD626" i="8" s="1"/>
  <c r="AQ626" i="8" s="1"/>
  <c r="K627" i="8"/>
  <c r="AC627" i="8" s="1"/>
  <c r="AD627" i="8" s="1"/>
  <c r="AQ627" i="8" s="1"/>
  <c r="K628" i="8"/>
  <c r="AC628" i="8" s="1"/>
  <c r="AD628" i="8" s="1"/>
  <c r="AQ628" i="8" s="1"/>
  <c r="K629" i="8"/>
  <c r="AC629" i="8" s="1"/>
  <c r="AD629" i="8" s="1"/>
  <c r="AQ629" i="8" s="1"/>
  <c r="K630" i="8"/>
  <c r="AC630" i="8" s="1"/>
  <c r="AD630" i="8" s="1"/>
  <c r="AQ630" i="8" s="1"/>
  <c r="K631" i="8"/>
  <c r="AC631" i="8" s="1"/>
  <c r="AD631" i="8" s="1"/>
  <c r="AQ631" i="8" s="1"/>
  <c r="K632" i="8"/>
  <c r="AC632" i="8" s="1"/>
  <c r="AD632" i="8" s="1"/>
  <c r="AQ632" i="8" s="1"/>
  <c r="K633" i="8"/>
  <c r="AC633" i="8" s="1"/>
  <c r="AD633" i="8" s="1"/>
  <c r="AQ633" i="8" s="1"/>
  <c r="K634" i="8"/>
  <c r="AC634" i="8" s="1"/>
  <c r="AD634" i="8" s="1"/>
  <c r="AQ634" i="8" s="1"/>
  <c r="K635" i="8"/>
  <c r="AC635" i="8" s="1"/>
  <c r="AD635" i="8" s="1"/>
  <c r="AQ635" i="8" s="1"/>
  <c r="K637" i="8"/>
  <c r="AC637" i="8" s="1"/>
  <c r="AD637" i="8" s="1"/>
  <c r="AQ637" i="8" s="1"/>
  <c r="K638" i="8"/>
  <c r="AC638" i="8" s="1"/>
  <c r="K639" i="8"/>
  <c r="AC639" i="8" s="1"/>
  <c r="AD639" i="8" s="1"/>
  <c r="AQ639" i="8" s="1"/>
  <c r="K640" i="8"/>
  <c r="AC640" i="8" s="1"/>
  <c r="AD640" i="8" s="1"/>
  <c r="AQ640" i="8" s="1"/>
  <c r="K641" i="8"/>
  <c r="AC641" i="8" s="1"/>
  <c r="AD641" i="8" s="1"/>
  <c r="AQ641" i="8" s="1"/>
  <c r="K642" i="8"/>
  <c r="AC642" i="8" s="1"/>
  <c r="AD642" i="8" s="1"/>
  <c r="AQ642" i="8" s="1"/>
  <c r="K643" i="8"/>
  <c r="AC643" i="8" s="1"/>
  <c r="AD643" i="8" s="1"/>
  <c r="AQ643" i="8" s="1"/>
  <c r="K644" i="8"/>
  <c r="AC644" i="8" s="1"/>
  <c r="AD644" i="8" s="1"/>
  <c r="AQ644" i="8" s="1"/>
  <c r="K645" i="8"/>
  <c r="AC645" i="8" s="1"/>
  <c r="AD645" i="8" s="1"/>
  <c r="AQ645" i="8" s="1"/>
  <c r="K646" i="8"/>
  <c r="AC646" i="8" s="1"/>
  <c r="K647" i="8"/>
  <c r="AC647" i="8" s="1"/>
  <c r="AD647" i="8" s="1"/>
  <c r="AQ647" i="8" s="1"/>
  <c r="K648" i="8"/>
  <c r="AC648" i="8" s="1"/>
  <c r="AD648" i="8" s="1"/>
  <c r="AQ648" i="8" s="1"/>
  <c r="K649" i="8"/>
  <c r="AC649" i="8" s="1"/>
  <c r="AD649" i="8" s="1"/>
  <c r="AQ649" i="8" s="1"/>
  <c r="K650" i="8"/>
  <c r="AC650" i="8" s="1"/>
  <c r="K651" i="8"/>
  <c r="AC651" i="8" s="1"/>
  <c r="AD651" i="8" s="1"/>
  <c r="AQ651" i="8" s="1"/>
  <c r="K652" i="8"/>
  <c r="AC652" i="8" s="1"/>
  <c r="AD652" i="8" s="1"/>
  <c r="AQ652" i="8" s="1"/>
  <c r="K653" i="8"/>
  <c r="AC653" i="8" s="1"/>
  <c r="AD653" i="8" s="1"/>
  <c r="AQ653" i="8" s="1"/>
  <c r="K654" i="8"/>
  <c r="AC654" i="8" s="1"/>
  <c r="K655" i="8"/>
  <c r="AC655" i="8" s="1"/>
  <c r="AD655" i="8" s="1"/>
  <c r="AQ655" i="8" s="1"/>
  <c r="K656" i="8"/>
  <c r="AC656" i="8" s="1"/>
  <c r="AD656" i="8" s="1"/>
  <c r="AQ656" i="8" s="1"/>
  <c r="K657" i="8"/>
  <c r="AC657" i="8" s="1"/>
  <c r="AD657" i="8" s="1"/>
  <c r="AQ657" i="8" s="1"/>
  <c r="K658" i="8"/>
  <c r="AC658" i="8" s="1"/>
  <c r="K659" i="8"/>
  <c r="AC659" i="8" s="1"/>
  <c r="AD659" i="8" s="1"/>
  <c r="AQ659" i="8" s="1"/>
  <c r="K660" i="8"/>
  <c r="AC660" i="8" s="1"/>
  <c r="AD660" i="8" s="1"/>
  <c r="AQ660" i="8" s="1"/>
  <c r="K662" i="8"/>
  <c r="AC662" i="8" s="1"/>
  <c r="K663" i="8"/>
  <c r="AC663" i="8" s="1"/>
  <c r="AD663" i="8" s="1"/>
  <c r="AQ663" i="8" s="1"/>
  <c r="K664" i="8"/>
  <c r="AC664" i="8" s="1"/>
  <c r="AD664" i="8" s="1"/>
  <c r="AQ664" i="8" s="1"/>
  <c r="K665" i="8"/>
  <c r="AC665" i="8" s="1"/>
  <c r="K666" i="8"/>
  <c r="AC666" i="8" s="1"/>
  <c r="K667" i="8"/>
  <c r="AC667" i="8" s="1"/>
  <c r="AD667" i="8" s="1"/>
  <c r="AQ667" i="8" s="1"/>
  <c r="K668" i="8"/>
  <c r="AC668" i="8" s="1"/>
  <c r="AD668" i="8" s="1"/>
  <c r="AQ668" i="8" s="1"/>
  <c r="K669" i="8"/>
  <c r="AC669" i="8" s="1"/>
  <c r="K670" i="8"/>
  <c r="AC670" i="8" s="1"/>
  <c r="K671" i="8"/>
  <c r="AC671" i="8" s="1"/>
  <c r="AD671" i="8" s="1"/>
  <c r="AQ671" i="8" s="1"/>
  <c r="K672" i="8"/>
  <c r="AC672" i="8" s="1"/>
  <c r="AD672" i="8" s="1"/>
  <c r="AQ672" i="8" s="1"/>
  <c r="K673" i="8"/>
  <c r="AC673" i="8" s="1"/>
  <c r="AD673" i="8" s="1"/>
  <c r="AQ673" i="8" s="1"/>
  <c r="K674" i="8"/>
  <c r="AC674" i="8" s="1"/>
  <c r="AD674" i="8" s="1"/>
  <c r="AQ674" i="8" s="1"/>
  <c r="K675" i="8"/>
  <c r="AC675" i="8" s="1"/>
  <c r="AD675" i="8" s="1"/>
  <c r="AQ675" i="8" s="1"/>
  <c r="K676" i="8"/>
  <c r="AC676" i="8" s="1"/>
  <c r="AD676" i="8" s="1"/>
  <c r="AQ676" i="8" s="1"/>
  <c r="K677" i="8"/>
  <c r="AC677" i="8" s="1"/>
  <c r="K678" i="8"/>
  <c r="AC678" i="8" s="1"/>
  <c r="K679" i="8"/>
  <c r="AC679" i="8" s="1"/>
  <c r="AD679" i="8" s="1"/>
  <c r="AQ679" i="8" s="1"/>
  <c r="K680" i="8"/>
  <c r="AC680" i="8" s="1"/>
  <c r="AD680" i="8" s="1"/>
  <c r="AQ680" i="8" s="1"/>
  <c r="K681" i="8"/>
  <c r="AC681" i="8" s="1"/>
  <c r="K682" i="8"/>
  <c r="AC682" i="8" s="1"/>
  <c r="K683" i="8"/>
  <c r="AC683" i="8" s="1"/>
  <c r="AD683" i="8" s="1"/>
  <c r="AQ683" i="8" s="1"/>
  <c r="K684" i="8"/>
  <c r="AC684" i="8" s="1"/>
  <c r="AD684" i="8" s="1"/>
  <c r="AQ684" i="8" s="1"/>
  <c r="K686" i="8"/>
  <c r="AC686" i="8" s="1"/>
  <c r="K687" i="8"/>
  <c r="AC687" i="8" s="1"/>
  <c r="AD687" i="8" s="1"/>
  <c r="AQ687" i="8" s="1"/>
  <c r="K688" i="8"/>
  <c r="AC688" i="8" s="1"/>
  <c r="AD688" i="8" s="1"/>
  <c r="AQ688" i="8" s="1"/>
  <c r="K689" i="8"/>
  <c r="AC689" i="8" s="1"/>
  <c r="AD689" i="8" s="1"/>
  <c r="AQ689" i="8" s="1"/>
  <c r="K690" i="8"/>
  <c r="AC690" i="8" s="1"/>
  <c r="K691" i="8"/>
  <c r="AC691" i="8" s="1"/>
  <c r="AD691" i="8" s="1"/>
  <c r="AQ691" i="8" s="1"/>
  <c r="K692" i="8"/>
  <c r="AC692" i="8" s="1"/>
  <c r="AD692" i="8" s="1"/>
  <c r="AQ692" i="8" s="1"/>
  <c r="K693" i="8"/>
  <c r="AC693" i="8" s="1"/>
  <c r="AD693" i="8" s="1"/>
  <c r="AQ693" i="8" s="1"/>
  <c r="K694" i="8"/>
  <c r="AC694" i="8" s="1"/>
  <c r="K695" i="8"/>
  <c r="AC695" i="8" s="1"/>
  <c r="AD695" i="8" s="1"/>
  <c r="AQ695" i="8" s="1"/>
  <c r="K697" i="8"/>
  <c r="AC697" i="8" s="1"/>
  <c r="AD697" i="8" s="1"/>
  <c r="AQ697" i="8" s="1"/>
  <c r="K698" i="8"/>
  <c r="AC698" i="8" s="1"/>
  <c r="AD698" i="8" s="1"/>
  <c r="AQ698" i="8" s="1"/>
  <c r="K699" i="8"/>
  <c r="AC699" i="8" s="1"/>
  <c r="AD699" i="8" s="1"/>
  <c r="AQ699" i="8" s="1"/>
  <c r="K700" i="8"/>
  <c r="AC700" i="8" s="1"/>
  <c r="AD700" i="8" s="1"/>
  <c r="AQ700" i="8" s="1"/>
  <c r="K701" i="8"/>
  <c r="AC701" i="8" s="1"/>
  <c r="AD701" i="8" s="1"/>
  <c r="AQ701" i="8" s="1"/>
  <c r="K702" i="8"/>
  <c r="AC702" i="8" s="1"/>
  <c r="AD702" i="8" s="1"/>
  <c r="AQ702" i="8" s="1"/>
  <c r="K703" i="8"/>
  <c r="AC703" i="8" s="1"/>
  <c r="AD703" i="8" s="1"/>
  <c r="AQ703" i="8" s="1"/>
  <c r="K704" i="8"/>
  <c r="AC704" i="8" s="1"/>
  <c r="AD704" i="8" s="1"/>
  <c r="AQ704" i="8" s="1"/>
  <c r="K705" i="8"/>
  <c r="AC705" i="8" s="1"/>
  <c r="AD705" i="8" s="1"/>
  <c r="AQ705" i="8" s="1"/>
  <c r="K706" i="8"/>
  <c r="AC706" i="8" s="1"/>
  <c r="AD706" i="8" s="1"/>
  <c r="AQ706" i="8" s="1"/>
  <c r="K708" i="8"/>
  <c r="AC708" i="8" s="1"/>
  <c r="AD708" i="8" s="1"/>
  <c r="AQ708" i="8" s="1"/>
  <c r="K709" i="8"/>
  <c r="AC709" i="8" s="1"/>
  <c r="AD709" i="8" s="1"/>
  <c r="AQ709" i="8" s="1"/>
  <c r="K710" i="8"/>
  <c r="AC710" i="8" s="1"/>
  <c r="K711" i="8"/>
  <c r="AC711" i="8" s="1"/>
  <c r="AD711" i="8" s="1"/>
  <c r="AQ711" i="8" s="1"/>
  <c r="K712" i="8"/>
  <c r="AC712" i="8" s="1"/>
  <c r="AD712" i="8" s="1"/>
  <c r="AQ712" i="8" s="1"/>
  <c r="K713" i="8"/>
  <c r="AC713" i="8" s="1"/>
  <c r="AD713" i="8" s="1"/>
  <c r="AQ713" i="8" s="1"/>
  <c r="K714" i="8"/>
  <c r="AC714" i="8" s="1"/>
  <c r="K715" i="8"/>
  <c r="AC715" i="8" s="1"/>
  <c r="AD715" i="8" s="1"/>
  <c r="AQ715" i="8" s="1"/>
  <c r="K716" i="8"/>
  <c r="AC716" i="8" s="1"/>
  <c r="AD716" i="8" s="1"/>
  <c r="AQ716" i="8" s="1"/>
  <c r="K717" i="8"/>
  <c r="AC717" i="8" s="1"/>
  <c r="AD717" i="8" s="1"/>
  <c r="AQ717" i="8" s="1"/>
  <c r="K718" i="8"/>
  <c r="AC718" i="8" s="1"/>
  <c r="K719" i="8"/>
  <c r="AC719" i="8" s="1"/>
  <c r="AD719" i="8" s="1"/>
  <c r="AQ719" i="8" s="1"/>
  <c r="K720" i="8"/>
  <c r="AC720" i="8" s="1"/>
  <c r="AD720" i="8" s="1"/>
  <c r="AQ720" i="8" s="1"/>
  <c r="K721" i="8"/>
  <c r="AC721" i="8" s="1"/>
  <c r="AD721" i="8" s="1"/>
  <c r="AQ721" i="8" s="1"/>
  <c r="K722" i="8"/>
  <c r="AC722" i="8" s="1"/>
  <c r="K723" i="8"/>
  <c r="AC723" i="8" s="1"/>
  <c r="AD723" i="8" s="1"/>
  <c r="AQ723" i="8" s="1"/>
  <c r="K724" i="8"/>
  <c r="AC724" i="8" s="1"/>
  <c r="AD724" i="8" s="1"/>
  <c r="AQ724" i="8" s="1"/>
  <c r="K725" i="8"/>
  <c r="AC725" i="8" s="1"/>
  <c r="AD725" i="8" s="1"/>
  <c r="AQ725" i="8" s="1"/>
  <c r="K727" i="8"/>
  <c r="AC727" i="8" s="1"/>
  <c r="AD727" i="8" s="1"/>
  <c r="AQ727" i="8" s="1"/>
  <c r="K728" i="8"/>
  <c r="AC728" i="8" s="1"/>
  <c r="AD728" i="8" s="1"/>
  <c r="AQ728" i="8" s="1"/>
  <c r="K729" i="8"/>
  <c r="AC729" i="8" s="1"/>
  <c r="K730" i="8"/>
  <c r="AC730" i="8" s="1"/>
  <c r="K731" i="8"/>
  <c r="AC731" i="8" s="1"/>
  <c r="AD731" i="8" s="1"/>
  <c r="AQ731" i="8" s="1"/>
  <c r="K732" i="8"/>
  <c r="AC732" i="8" s="1"/>
  <c r="AD732" i="8" s="1"/>
  <c r="AQ732" i="8" s="1"/>
  <c r="K733" i="8"/>
  <c r="AC733" i="8" s="1"/>
  <c r="K734" i="8"/>
  <c r="AC734" i="8" s="1"/>
  <c r="K735" i="8"/>
  <c r="AC735" i="8" s="1"/>
  <c r="AD735" i="8" s="1"/>
  <c r="AQ735" i="8" s="1"/>
  <c r="K736" i="8"/>
  <c r="AC736" i="8" s="1"/>
  <c r="AD736" i="8" s="1"/>
  <c r="AQ736" i="8" s="1"/>
  <c r="K737" i="8"/>
  <c r="AC737" i="8" s="1"/>
  <c r="K738" i="8"/>
  <c r="AC738" i="8" s="1"/>
  <c r="AD738" i="8" s="1"/>
  <c r="AQ738" i="8" s="1"/>
  <c r="K739" i="8"/>
  <c r="AC739" i="8" s="1"/>
  <c r="AD739" i="8" s="1"/>
  <c r="AQ739" i="8" s="1"/>
  <c r="K740" i="8"/>
  <c r="AC740" i="8" s="1"/>
  <c r="AD740" i="8" s="1"/>
  <c r="AQ740" i="8" s="1"/>
  <c r="K741" i="8"/>
  <c r="AC741" i="8" s="1"/>
  <c r="AD741" i="8" s="1"/>
  <c r="AQ741" i="8" s="1"/>
  <c r="K742" i="8"/>
  <c r="AC742" i="8" s="1"/>
  <c r="K743" i="8"/>
  <c r="AC743" i="8" s="1"/>
  <c r="AD743" i="8" s="1"/>
  <c r="AQ743" i="8" s="1"/>
  <c r="K744" i="8"/>
  <c r="AC744" i="8" s="1"/>
  <c r="AD744" i="8" s="1"/>
  <c r="AQ744" i="8" s="1"/>
  <c r="K745" i="8"/>
  <c r="AC745" i="8" s="1"/>
  <c r="K746" i="8"/>
  <c r="AC746" i="8" s="1"/>
  <c r="K747" i="8"/>
  <c r="AC747" i="8" s="1"/>
  <c r="AD747" i="8" s="1"/>
  <c r="AQ747" i="8" s="1"/>
  <c r="K748" i="8"/>
  <c r="AC748" i="8" s="1"/>
  <c r="AD748" i="8" s="1"/>
  <c r="AQ748" i="8" s="1"/>
  <c r="K749" i="8"/>
  <c r="AC749" i="8" s="1"/>
  <c r="K750" i="8"/>
  <c r="AC750" i="8" s="1"/>
  <c r="K751" i="8"/>
  <c r="AC751" i="8" s="1"/>
  <c r="AD751" i="8" s="1"/>
  <c r="AQ751" i="8" s="1"/>
  <c r="K752" i="8"/>
  <c r="AC752" i="8" s="1"/>
  <c r="AD752" i="8" s="1"/>
  <c r="AQ752" i="8" s="1"/>
  <c r="K753" i="8"/>
  <c r="AC753" i="8" s="1"/>
  <c r="K754" i="8"/>
  <c r="AC754" i="8" s="1"/>
  <c r="AD754" i="8" s="1"/>
  <c r="AQ754" i="8" s="1"/>
  <c r="K755" i="8"/>
  <c r="AC755" i="8" s="1"/>
  <c r="AD755" i="8" s="1"/>
  <c r="AQ755" i="8" s="1"/>
  <c r="K756" i="8"/>
  <c r="AC756" i="8" s="1"/>
  <c r="AD756" i="8" s="1"/>
  <c r="AQ756" i="8" s="1"/>
  <c r="K757" i="8"/>
  <c r="AC757" i="8" s="1"/>
  <c r="AD757" i="8" s="1"/>
  <c r="AQ757" i="8" s="1"/>
  <c r="K758" i="8"/>
  <c r="AC758" i="8" s="1"/>
  <c r="K759" i="8"/>
  <c r="AC759" i="8" s="1"/>
  <c r="AD759" i="8" s="1"/>
  <c r="AQ759" i="8" s="1"/>
  <c r="K760" i="8"/>
  <c r="AC760" i="8" s="1"/>
  <c r="AD760" i="8" s="1"/>
  <c r="AQ760" i="8" s="1"/>
  <c r="K761" i="8"/>
  <c r="AC761" i="8" s="1"/>
  <c r="K762" i="8"/>
  <c r="AC762" i="8" s="1"/>
  <c r="K763" i="8"/>
  <c r="AC763" i="8" s="1"/>
  <c r="AD763" i="8" s="1"/>
  <c r="AQ763" i="8" s="1"/>
  <c r="K764" i="8"/>
  <c r="AC764" i="8" s="1"/>
  <c r="AD764" i="8" s="1"/>
  <c r="AQ764" i="8" s="1"/>
  <c r="K765" i="8"/>
  <c r="AC765" i="8" s="1"/>
  <c r="K766" i="8"/>
  <c r="AC766" i="8" s="1"/>
  <c r="K767" i="8"/>
  <c r="AC767" i="8" s="1"/>
  <c r="AD767" i="8" s="1"/>
  <c r="AQ767" i="8" s="1"/>
  <c r="K768" i="8"/>
  <c r="AC768" i="8" s="1"/>
  <c r="AD768" i="8" s="1"/>
  <c r="AQ768" i="8" s="1"/>
  <c r="K769" i="8"/>
  <c r="AC769" i="8" s="1"/>
  <c r="K770" i="8"/>
  <c r="AC770" i="8" s="1"/>
  <c r="AD770" i="8" s="1"/>
  <c r="AQ770" i="8" s="1"/>
  <c r="K771" i="8"/>
  <c r="AC771" i="8" s="1"/>
  <c r="AD771" i="8" s="1"/>
  <c r="AQ771" i="8" s="1"/>
  <c r="K772" i="8"/>
  <c r="AC772" i="8" s="1"/>
  <c r="AD772" i="8" s="1"/>
  <c r="AQ772" i="8" s="1"/>
  <c r="K773" i="8"/>
  <c r="AC773" i="8" s="1"/>
  <c r="AD773" i="8" s="1"/>
  <c r="AQ773" i="8" s="1"/>
  <c r="K774" i="8"/>
  <c r="AC774" i="8" s="1"/>
  <c r="K775" i="8"/>
  <c r="AC775" i="8" s="1"/>
  <c r="AD775" i="8" s="1"/>
  <c r="AQ775" i="8" s="1"/>
  <c r="K776" i="8"/>
  <c r="AC776" i="8" s="1"/>
  <c r="AD776" i="8" s="1"/>
  <c r="AQ776" i="8" s="1"/>
  <c r="K777" i="8"/>
  <c r="AC777" i="8" s="1"/>
  <c r="K778" i="8"/>
  <c r="AC778" i="8" s="1"/>
  <c r="K779" i="8"/>
  <c r="AC779" i="8" s="1"/>
  <c r="AD779" i="8" s="1"/>
  <c r="AQ779" i="8" s="1"/>
  <c r="K780" i="8"/>
  <c r="AC780" i="8" s="1"/>
  <c r="AD780" i="8" s="1"/>
  <c r="AQ780" i="8" s="1"/>
  <c r="K781" i="8"/>
  <c r="AC781" i="8" s="1"/>
  <c r="K782" i="8"/>
  <c r="AC782" i="8" s="1"/>
  <c r="K783" i="8"/>
  <c r="AC783" i="8" s="1"/>
  <c r="AD783" i="8" s="1"/>
  <c r="AQ783" i="8" s="1"/>
  <c r="K784" i="8"/>
  <c r="AC784" i="8" s="1"/>
  <c r="AD784" i="8" s="1"/>
  <c r="AQ784" i="8" s="1"/>
  <c r="K785" i="8"/>
  <c r="AC785" i="8" s="1"/>
  <c r="K786" i="8"/>
  <c r="AC786" i="8" s="1"/>
  <c r="K787" i="8"/>
  <c r="AC787" i="8" s="1"/>
  <c r="AD787" i="8" s="1"/>
  <c r="AQ787" i="8" s="1"/>
  <c r="K788" i="8"/>
  <c r="AC788" i="8" s="1"/>
  <c r="AD788" i="8" s="1"/>
  <c r="AQ788" i="8" s="1"/>
  <c r="K789" i="8"/>
  <c r="AC789" i="8" s="1"/>
  <c r="AD789" i="8" s="1"/>
  <c r="AQ789" i="8" s="1"/>
  <c r="K790" i="8"/>
  <c r="AC790" i="8" s="1"/>
  <c r="K791" i="8"/>
  <c r="AC791" i="8" s="1"/>
  <c r="AD791" i="8" s="1"/>
  <c r="AQ791" i="8" s="1"/>
  <c r="K792" i="8"/>
  <c r="AC792" i="8" s="1"/>
  <c r="AD792" i="8" s="1"/>
  <c r="AQ792" i="8" s="1"/>
  <c r="K793" i="8"/>
  <c r="AC793" i="8" s="1"/>
  <c r="K794" i="8"/>
  <c r="AC794" i="8" s="1"/>
  <c r="K795" i="8"/>
  <c r="AC795" i="8" s="1"/>
  <c r="AD795" i="8" s="1"/>
  <c r="AQ795" i="8" s="1"/>
  <c r="K796" i="8"/>
  <c r="AC796" i="8" s="1"/>
  <c r="AD796" i="8" s="1"/>
  <c r="AQ796" i="8" s="1"/>
  <c r="K797" i="8"/>
  <c r="AC797" i="8" s="1"/>
  <c r="K798" i="8"/>
  <c r="AC798" i="8" s="1"/>
  <c r="K799" i="8"/>
  <c r="AC799" i="8" s="1"/>
  <c r="AD799" i="8" s="1"/>
  <c r="AQ799" i="8" s="1"/>
  <c r="K800" i="8"/>
  <c r="AC800" i="8" s="1"/>
  <c r="AD800" i="8" s="1"/>
  <c r="AQ800" i="8" s="1"/>
  <c r="K801" i="8"/>
  <c r="AC801" i="8" s="1"/>
  <c r="K802" i="8"/>
  <c r="AC802" i="8" s="1"/>
  <c r="K803" i="8"/>
  <c r="AC803" i="8" s="1"/>
  <c r="AD803" i="8" s="1"/>
  <c r="AQ803" i="8" s="1"/>
  <c r="K804" i="8"/>
  <c r="AC804" i="8" s="1"/>
  <c r="AD804" i="8" s="1"/>
  <c r="AQ804" i="8" s="1"/>
  <c r="K805" i="8"/>
  <c r="AC805" i="8" s="1"/>
  <c r="AD805" i="8" s="1"/>
  <c r="AQ805" i="8" s="1"/>
  <c r="K806" i="8"/>
  <c r="AC806" i="8" s="1"/>
  <c r="K807" i="8"/>
  <c r="AC807" i="8" s="1"/>
  <c r="AD807" i="8" s="1"/>
  <c r="AQ807" i="8" s="1"/>
  <c r="K808" i="8"/>
  <c r="AC808" i="8" s="1"/>
  <c r="AD808" i="8" s="1"/>
  <c r="AQ808" i="8" s="1"/>
  <c r="K809" i="8"/>
  <c r="AC809" i="8" s="1"/>
  <c r="K810" i="8"/>
  <c r="AC810" i="8" s="1"/>
  <c r="K811" i="8"/>
  <c r="AC811" i="8" s="1"/>
  <c r="AD811" i="8" s="1"/>
  <c r="AQ811" i="8" s="1"/>
  <c r="K812" i="8"/>
  <c r="AC812" i="8" s="1"/>
  <c r="AD812" i="8" s="1"/>
  <c r="AQ812" i="8" s="1"/>
  <c r="K813" i="8"/>
  <c r="AC813" i="8" s="1"/>
  <c r="K814" i="8"/>
  <c r="AC814" i="8" s="1"/>
  <c r="K815" i="8"/>
  <c r="AC815" i="8" s="1"/>
  <c r="AD815" i="8" s="1"/>
  <c r="AQ815" i="8" s="1"/>
  <c r="K816" i="8"/>
  <c r="AC816" i="8" s="1"/>
  <c r="AD816" i="8" s="1"/>
  <c r="AQ816" i="8" s="1"/>
  <c r="K817" i="8"/>
  <c r="AC817" i="8" s="1"/>
  <c r="K818" i="8"/>
  <c r="AC818" i="8" s="1"/>
  <c r="AD818" i="8" s="1"/>
  <c r="AQ818" i="8" s="1"/>
  <c r="K819" i="8"/>
  <c r="AC819" i="8" s="1"/>
  <c r="AD819" i="8" s="1"/>
  <c r="AQ819" i="8" s="1"/>
  <c r="K820" i="8"/>
  <c r="AC820" i="8" s="1"/>
  <c r="AD820" i="8" s="1"/>
  <c r="AQ820" i="8" s="1"/>
  <c r="K821" i="8"/>
  <c r="AC821" i="8" s="1"/>
  <c r="AD821" i="8" s="1"/>
  <c r="AQ821" i="8" s="1"/>
  <c r="K822" i="8"/>
  <c r="AC822" i="8" s="1"/>
  <c r="K823" i="8"/>
  <c r="AC823" i="8" s="1"/>
  <c r="AD823" i="8" s="1"/>
  <c r="AQ823" i="8" s="1"/>
  <c r="K824" i="8"/>
  <c r="AC824" i="8" s="1"/>
  <c r="AD824" i="8" s="1"/>
  <c r="AQ824" i="8" s="1"/>
  <c r="K825" i="8"/>
  <c r="AC825" i="8" s="1"/>
  <c r="K826" i="8"/>
  <c r="AC826" i="8" s="1"/>
  <c r="K827" i="8"/>
  <c r="AC827" i="8" s="1"/>
  <c r="AD827" i="8" s="1"/>
  <c r="AQ827" i="8" s="1"/>
  <c r="K828" i="8"/>
  <c r="AC828" i="8" s="1"/>
  <c r="AD828" i="8" s="1"/>
  <c r="AQ828" i="8" s="1"/>
  <c r="K829" i="8"/>
  <c r="AC829" i="8" s="1"/>
  <c r="K830" i="8"/>
  <c r="AC830" i="8" s="1"/>
  <c r="K831" i="8"/>
  <c r="AC831" i="8" s="1"/>
  <c r="AD831" i="8" s="1"/>
  <c r="AQ831" i="8" s="1"/>
  <c r="K832" i="8"/>
  <c r="AC832" i="8" s="1"/>
  <c r="AD832" i="8" s="1"/>
  <c r="AQ832" i="8" s="1"/>
  <c r="K833" i="8"/>
  <c r="AC833" i="8" s="1"/>
  <c r="K834" i="8"/>
  <c r="AC834" i="8" s="1"/>
  <c r="AD834" i="8" s="1"/>
  <c r="AQ834" i="8" s="1"/>
  <c r="K835" i="8"/>
  <c r="AC835" i="8" s="1"/>
  <c r="AD835" i="8" s="1"/>
  <c r="AQ835" i="8" s="1"/>
  <c r="K836" i="8"/>
  <c r="AC836" i="8" s="1"/>
  <c r="AD836" i="8" s="1"/>
  <c r="AQ836" i="8" s="1"/>
  <c r="K837" i="8"/>
  <c r="AC837" i="8" s="1"/>
  <c r="AD837" i="8" s="1"/>
  <c r="AQ837" i="8" s="1"/>
  <c r="K838" i="8"/>
  <c r="AC838" i="8" s="1"/>
  <c r="K839" i="8"/>
  <c r="AC839" i="8" s="1"/>
  <c r="AD839" i="8" s="1"/>
  <c r="AQ839" i="8" s="1"/>
  <c r="K840" i="8"/>
  <c r="AC840" i="8" s="1"/>
  <c r="AD840" i="8" s="1"/>
  <c r="AQ840" i="8" s="1"/>
  <c r="K841" i="8"/>
  <c r="AC841" i="8" s="1"/>
  <c r="K842" i="8"/>
  <c r="AC842" i="8" s="1"/>
  <c r="K843" i="8"/>
  <c r="AC843" i="8" s="1"/>
  <c r="AD843" i="8" s="1"/>
  <c r="AQ843" i="8" s="1"/>
  <c r="K844" i="8"/>
  <c r="AC844" i="8" s="1"/>
  <c r="AD844" i="8" s="1"/>
  <c r="AQ844" i="8" s="1"/>
  <c r="K845" i="8"/>
  <c r="AC845" i="8" s="1"/>
  <c r="K3" i="4"/>
  <c r="AA3" i="4" s="1"/>
  <c r="K4" i="4"/>
  <c r="AA4" i="4" s="1"/>
  <c r="K5" i="4"/>
  <c r="AA5" i="4" s="1"/>
  <c r="K6" i="4"/>
  <c r="AA6" i="4" s="1"/>
  <c r="K7" i="4"/>
  <c r="AA7" i="4" s="1"/>
  <c r="K8" i="4"/>
  <c r="AA8" i="4" s="1"/>
  <c r="K9" i="4"/>
  <c r="AA9" i="4" s="1"/>
  <c r="K10" i="4"/>
  <c r="AA10" i="4" s="1"/>
  <c r="K11" i="4"/>
  <c r="AA11" i="4" s="1"/>
  <c r="K12" i="4"/>
  <c r="AA12" i="4" s="1"/>
  <c r="K13" i="4"/>
  <c r="AA13" i="4" s="1"/>
  <c r="K14" i="4"/>
  <c r="AA14" i="4" s="1"/>
  <c r="K15" i="4"/>
  <c r="AA15" i="4" s="1"/>
  <c r="K16" i="4"/>
  <c r="AA16" i="4" s="1"/>
  <c r="K17" i="4"/>
  <c r="AA17" i="4" s="1"/>
  <c r="K18" i="4"/>
  <c r="AA18" i="4" s="1"/>
  <c r="K19" i="4"/>
  <c r="AA19" i="4" s="1"/>
  <c r="K20" i="4"/>
  <c r="AA20" i="4" s="1"/>
  <c r="K21" i="4"/>
  <c r="AA21" i="4" s="1"/>
  <c r="K22" i="4"/>
  <c r="AA22" i="4" s="1"/>
  <c r="K23" i="4"/>
  <c r="AA23" i="4" s="1"/>
  <c r="K24" i="4"/>
  <c r="AA24" i="4" s="1"/>
  <c r="K25" i="4"/>
  <c r="AA25" i="4" s="1"/>
  <c r="K26" i="4"/>
  <c r="AA26" i="4" s="1"/>
  <c r="K27" i="4"/>
  <c r="AA27" i="4" s="1"/>
  <c r="K28" i="4"/>
  <c r="AA28" i="4" s="1"/>
  <c r="K29" i="4"/>
  <c r="AA29" i="4" s="1"/>
  <c r="K30" i="4"/>
  <c r="AA30" i="4" s="1"/>
  <c r="K31" i="4"/>
  <c r="AA31" i="4" s="1"/>
  <c r="K32" i="4"/>
  <c r="AA32" i="4" s="1"/>
  <c r="K33" i="4"/>
  <c r="AA33" i="4" s="1"/>
  <c r="K34" i="4"/>
  <c r="AA34" i="4" s="1"/>
  <c r="K35" i="4"/>
  <c r="AA35" i="4" s="1"/>
  <c r="K36" i="4"/>
  <c r="AA36" i="4" s="1"/>
  <c r="K37" i="4"/>
  <c r="AA37" i="4" s="1"/>
  <c r="K38" i="4"/>
  <c r="AA38" i="4" s="1"/>
  <c r="K39" i="4"/>
  <c r="AA39" i="4" s="1"/>
  <c r="K40" i="4"/>
  <c r="AA40" i="4" s="1"/>
  <c r="K41" i="4"/>
  <c r="AA41" i="4" s="1"/>
  <c r="K42" i="4"/>
  <c r="AA42" i="4" s="1"/>
  <c r="K43" i="4"/>
  <c r="AA43" i="4" s="1"/>
  <c r="K44" i="4"/>
  <c r="AA44" i="4" s="1"/>
  <c r="K45" i="4"/>
  <c r="AA45" i="4" s="1"/>
  <c r="K46" i="4"/>
  <c r="AA46" i="4" s="1"/>
  <c r="K47" i="4"/>
  <c r="AA47" i="4" s="1"/>
  <c r="K48" i="4"/>
  <c r="AA48" i="4" s="1"/>
  <c r="K49" i="4"/>
  <c r="AA49" i="4" s="1"/>
  <c r="K50" i="4"/>
  <c r="AA50" i="4" s="1"/>
  <c r="K51" i="4"/>
  <c r="AA51" i="4" s="1"/>
  <c r="K52" i="4"/>
  <c r="AA52" i="4" s="1"/>
  <c r="K53" i="4"/>
  <c r="AA53" i="4" s="1"/>
  <c r="K54" i="4"/>
  <c r="AA54" i="4" s="1"/>
  <c r="K55" i="4"/>
  <c r="AA55" i="4" s="1"/>
  <c r="K56" i="4"/>
  <c r="AA56" i="4" s="1"/>
  <c r="K57" i="4"/>
  <c r="AA57" i="4" s="1"/>
  <c r="K58" i="4"/>
  <c r="AA58" i="4" s="1"/>
  <c r="K59" i="4"/>
  <c r="AA59" i="4" s="1"/>
  <c r="K60" i="4"/>
  <c r="AA60" i="4" s="1"/>
  <c r="K61" i="4"/>
  <c r="AA61" i="4" s="1"/>
  <c r="K62" i="4"/>
  <c r="AA62" i="4" s="1"/>
  <c r="K63" i="4"/>
  <c r="AA63" i="4" s="1"/>
  <c r="K64" i="4"/>
  <c r="AA64" i="4" s="1"/>
  <c r="K65" i="4"/>
  <c r="AA65" i="4" s="1"/>
  <c r="K66" i="4"/>
  <c r="AA66" i="4" s="1"/>
  <c r="K67" i="4"/>
  <c r="AA67" i="4" s="1"/>
  <c r="K68" i="4"/>
  <c r="AA68" i="4" s="1"/>
  <c r="K69" i="4"/>
  <c r="AA69" i="4" s="1"/>
  <c r="K70" i="4"/>
  <c r="AA70" i="4" s="1"/>
  <c r="K71" i="4"/>
  <c r="AA71" i="4" s="1"/>
  <c r="K72" i="4"/>
  <c r="AA72" i="4" s="1"/>
  <c r="K73" i="4"/>
  <c r="AA73" i="4" s="1"/>
  <c r="K74" i="4"/>
  <c r="AA74" i="4" s="1"/>
  <c r="K75" i="4"/>
  <c r="AA75" i="4" s="1"/>
  <c r="K76" i="4"/>
  <c r="AA76" i="4" s="1"/>
  <c r="K77" i="4"/>
  <c r="AA77" i="4" s="1"/>
  <c r="K78" i="4"/>
  <c r="AA78" i="4" s="1"/>
  <c r="K79" i="4"/>
  <c r="AA79" i="4" s="1"/>
  <c r="K80" i="4"/>
  <c r="AA80" i="4" s="1"/>
  <c r="K81" i="4"/>
  <c r="AA81" i="4" s="1"/>
  <c r="K82" i="4"/>
  <c r="AA82" i="4" s="1"/>
  <c r="K83" i="4"/>
  <c r="AA83" i="4" s="1"/>
  <c r="K3" i="3"/>
  <c r="AA3" i="3" s="1"/>
  <c r="K4" i="3"/>
  <c r="AA4" i="3" s="1"/>
  <c r="K5" i="3"/>
  <c r="AA5" i="3" s="1"/>
  <c r="K6" i="3"/>
  <c r="AA6" i="3" s="1"/>
  <c r="K7" i="3"/>
  <c r="AA7" i="3" s="1"/>
  <c r="K8" i="3"/>
  <c r="AA8" i="3" s="1"/>
  <c r="K9" i="3"/>
  <c r="AA9" i="3" s="1"/>
  <c r="K10" i="3"/>
  <c r="AA10" i="3" s="1"/>
  <c r="K11" i="3"/>
  <c r="K12" i="3"/>
  <c r="AA12" i="3" s="1"/>
  <c r="K13" i="3"/>
  <c r="AA13" i="3" s="1"/>
  <c r="K14" i="3"/>
  <c r="AA14" i="3" s="1"/>
  <c r="K15" i="3"/>
  <c r="K16" i="3"/>
  <c r="AA16" i="3" s="1"/>
  <c r="K17" i="3"/>
  <c r="AA17" i="3" s="1"/>
  <c r="K18" i="3"/>
  <c r="AA18" i="3" s="1"/>
  <c r="K19" i="3"/>
  <c r="AA19" i="3" s="1"/>
  <c r="K20" i="3"/>
  <c r="AA20" i="3" s="1"/>
  <c r="K21" i="3"/>
  <c r="AA21" i="3" s="1"/>
  <c r="K22" i="3"/>
  <c r="AA22" i="3" s="1"/>
  <c r="K23" i="3"/>
  <c r="AA23" i="3" s="1"/>
  <c r="K24" i="3"/>
  <c r="AA24" i="3" s="1"/>
  <c r="K25" i="3"/>
  <c r="AA25" i="3" s="1"/>
  <c r="K26" i="3"/>
  <c r="AA26" i="3" s="1"/>
  <c r="K28" i="3"/>
  <c r="AA28" i="3" s="1"/>
  <c r="K29" i="3"/>
  <c r="AA29" i="3" s="1"/>
  <c r="K30" i="3"/>
  <c r="AA30" i="3" s="1"/>
  <c r="K31" i="3"/>
  <c r="AA31" i="3" s="1"/>
  <c r="K32" i="3"/>
  <c r="AA32" i="3" s="1"/>
  <c r="K33" i="3"/>
  <c r="AA33" i="3" s="1"/>
  <c r="K34" i="3"/>
  <c r="AA34" i="3" s="1"/>
  <c r="K35" i="3"/>
  <c r="AA35" i="3" s="1"/>
  <c r="K36" i="3"/>
  <c r="AA36" i="3" s="1"/>
  <c r="K37" i="3"/>
  <c r="AA37" i="3" s="1"/>
  <c r="K38" i="3"/>
  <c r="AA38" i="3" s="1"/>
  <c r="K40" i="3"/>
  <c r="AA40" i="3" s="1"/>
  <c r="K41" i="3"/>
  <c r="AA41" i="3" s="1"/>
  <c r="K42" i="3"/>
  <c r="AA42" i="3" s="1"/>
  <c r="K43" i="3"/>
  <c r="AA43" i="3" s="1"/>
  <c r="K44" i="3"/>
  <c r="AA44" i="3" s="1"/>
  <c r="K45" i="3"/>
  <c r="AA45" i="3" s="1"/>
  <c r="K46" i="3"/>
  <c r="AA46" i="3" s="1"/>
  <c r="K47" i="3"/>
  <c r="AA47" i="3" s="1"/>
  <c r="K48" i="3"/>
  <c r="AA48" i="3" s="1"/>
  <c r="K49" i="3"/>
  <c r="K50" i="3"/>
  <c r="AA50" i="3" s="1"/>
  <c r="K51" i="3"/>
  <c r="AA51" i="3" s="1"/>
  <c r="K52" i="3"/>
  <c r="AA52" i="3" s="1"/>
  <c r="K53" i="3"/>
  <c r="K54" i="3"/>
  <c r="AA54" i="3" s="1"/>
  <c r="K55" i="3"/>
  <c r="AA55" i="3" s="1"/>
  <c r="K56" i="3"/>
  <c r="AA56" i="3" s="1"/>
  <c r="K57" i="3"/>
  <c r="AA57" i="3" s="1"/>
  <c r="K58" i="3"/>
  <c r="AA58" i="3" s="1"/>
  <c r="K59" i="3"/>
  <c r="AA59" i="3" s="1"/>
  <c r="K60" i="3"/>
  <c r="AA60" i="3" s="1"/>
  <c r="K61" i="3"/>
  <c r="AA61" i="3" s="1"/>
  <c r="K62" i="3"/>
  <c r="AA62" i="3" s="1"/>
  <c r="K64" i="3"/>
  <c r="AA64" i="3" s="1"/>
  <c r="K65" i="3"/>
  <c r="AA65" i="3" s="1"/>
  <c r="K66" i="3"/>
  <c r="AA66" i="3" s="1"/>
  <c r="K67" i="3"/>
  <c r="AA67" i="3" s="1"/>
  <c r="K68" i="3"/>
  <c r="AA68" i="3" s="1"/>
  <c r="K69" i="3"/>
  <c r="AA69" i="3" s="1"/>
  <c r="K70" i="3"/>
  <c r="K71" i="3"/>
  <c r="AA71" i="3" s="1"/>
  <c r="K72" i="3"/>
  <c r="AA72" i="3" s="1"/>
  <c r="K73" i="3"/>
  <c r="AA73" i="3" s="1"/>
  <c r="K75" i="3"/>
  <c r="AA75" i="3" s="1"/>
  <c r="K76" i="3"/>
  <c r="AA76" i="3" s="1"/>
  <c r="K77" i="3"/>
  <c r="AA77" i="3" s="1"/>
  <c r="K78" i="3"/>
  <c r="AA78" i="3" s="1"/>
  <c r="K79" i="3"/>
  <c r="AA79" i="3" s="1"/>
  <c r="K80" i="3"/>
  <c r="AA80" i="3" s="1"/>
  <c r="K81" i="3"/>
  <c r="AA81" i="3" s="1"/>
  <c r="K82" i="3"/>
  <c r="AA82" i="3" s="1"/>
  <c r="K83" i="3"/>
  <c r="AA83" i="3" s="1"/>
  <c r="K84" i="3"/>
  <c r="AA84" i="3" s="1"/>
  <c r="K86" i="3"/>
  <c r="AA86" i="3" s="1"/>
  <c r="K87" i="3"/>
  <c r="AA87" i="3" s="1"/>
  <c r="K88" i="3"/>
  <c r="K89" i="3"/>
  <c r="AA89" i="3" s="1"/>
  <c r="K90" i="3"/>
  <c r="AA90" i="3" s="1"/>
  <c r="K91" i="3"/>
  <c r="AA91" i="3" s="1"/>
  <c r="K92" i="3"/>
  <c r="AA92" i="3" s="1"/>
  <c r="K93" i="3"/>
  <c r="AA93" i="3" s="1"/>
  <c r="K94" i="3"/>
  <c r="AA94" i="3" s="1"/>
  <c r="K95" i="3"/>
  <c r="AA95" i="3" s="1"/>
  <c r="K96" i="3"/>
  <c r="AA96" i="3" s="1"/>
  <c r="K97" i="3"/>
  <c r="AA97" i="3" s="1"/>
  <c r="K98" i="3"/>
  <c r="AA98" i="3" s="1"/>
  <c r="K99" i="3"/>
  <c r="AA99" i="3" s="1"/>
  <c r="K100" i="3"/>
  <c r="AA100" i="3" s="1"/>
  <c r="K101" i="3"/>
  <c r="AA101" i="3" s="1"/>
  <c r="K102" i="3"/>
  <c r="AA102" i="3" s="1"/>
  <c r="K103" i="3"/>
  <c r="AA103" i="3" s="1"/>
  <c r="K105" i="3"/>
  <c r="AA105" i="3" s="1"/>
  <c r="K106" i="3"/>
  <c r="AA106" i="3" s="1"/>
  <c r="K107" i="3"/>
  <c r="AA107" i="3" s="1"/>
  <c r="K108" i="3"/>
  <c r="AA108" i="3" s="1"/>
  <c r="K109" i="3"/>
  <c r="AA109" i="3" s="1"/>
  <c r="K110" i="3"/>
  <c r="AA110" i="3" s="1"/>
  <c r="K111" i="3"/>
  <c r="AA111" i="3" s="1"/>
  <c r="K112" i="3"/>
  <c r="AA112" i="3" s="1"/>
  <c r="K113" i="3"/>
  <c r="AA113" i="3" s="1"/>
  <c r="K114" i="3"/>
  <c r="AA114" i="3" s="1"/>
  <c r="K115" i="3"/>
  <c r="AA115" i="3" s="1"/>
  <c r="K116" i="3"/>
  <c r="AA116" i="3" s="1"/>
  <c r="K117" i="3"/>
  <c r="AA117" i="3" s="1"/>
  <c r="K118" i="3"/>
  <c r="AA118" i="3" s="1"/>
  <c r="K119" i="3"/>
  <c r="AA119" i="3" s="1"/>
  <c r="K120" i="3"/>
  <c r="AA120" i="3" s="1"/>
  <c r="K121" i="3"/>
  <c r="AA121" i="3" s="1"/>
  <c r="K122" i="3"/>
  <c r="AA122" i="3" s="1"/>
  <c r="K123" i="3"/>
  <c r="AA123" i="3" s="1"/>
  <c r="K124" i="3"/>
  <c r="AA124" i="3" s="1"/>
  <c r="K125" i="3"/>
  <c r="AA125" i="3" s="1"/>
  <c r="K126" i="3"/>
  <c r="AA126" i="3" s="1"/>
  <c r="K127" i="3"/>
  <c r="AA127" i="3" s="1"/>
  <c r="K128" i="3"/>
  <c r="AA128" i="3" s="1"/>
  <c r="K129" i="3"/>
  <c r="AA129" i="3" s="1"/>
  <c r="K130" i="3"/>
  <c r="AA130" i="3" s="1"/>
  <c r="K131" i="3"/>
  <c r="AA131" i="3" s="1"/>
  <c r="K132" i="3"/>
  <c r="AA132" i="3" s="1"/>
  <c r="K133" i="3"/>
  <c r="AA133" i="3" s="1"/>
  <c r="K134" i="3"/>
  <c r="AA134" i="3" s="1"/>
  <c r="K135" i="3"/>
  <c r="AA135" i="3" s="1"/>
  <c r="K136" i="3"/>
  <c r="AA136" i="3" s="1"/>
  <c r="K137" i="3"/>
  <c r="K138" i="3"/>
  <c r="AA138" i="3" s="1"/>
  <c r="K139" i="3"/>
  <c r="AA139" i="3" s="1"/>
  <c r="K140" i="3"/>
  <c r="AA140" i="3" s="1"/>
  <c r="K141" i="3"/>
  <c r="AA141" i="3" s="1"/>
  <c r="K142" i="3"/>
  <c r="AA142" i="3" s="1"/>
  <c r="K143" i="3"/>
  <c r="AA143" i="3" s="1"/>
  <c r="K144" i="3"/>
  <c r="AA144" i="3" s="1"/>
  <c r="K145" i="3"/>
  <c r="AA145" i="3" s="1"/>
  <c r="K146" i="3"/>
  <c r="AA146" i="3" s="1"/>
  <c r="K147" i="3"/>
  <c r="AA147" i="3" s="1"/>
  <c r="K148" i="3"/>
  <c r="AA148" i="3" s="1"/>
  <c r="K149" i="3"/>
  <c r="K150" i="3"/>
  <c r="AA150" i="3" s="1"/>
  <c r="K151" i="3"/>
  <c r="AA151" i="3" s="1"/>
  <c r="K152" i="3"/>
  <c r="AA152" i="3" s="1"/>
  <c r="K153" i="3"/>
  <c r="AA153" i="3" s="1"/>
  <c r="K154" i="3"/>
  <c r="AA154" i="3" s="1"/>
  <c r="K155" i="3"/>
  <c r="AA155" i="3" s="1"/>
  <c r="K156" i="3"/>
  <c r="AA156" i="3" s="1"/>
  <c r="K157" i="3"/>
  <c r="AA157" i="3" s="1"/>
  <c r="K158" i="3"/>
  <c r="AA158" i="3" s="1"/>
  <c r="K159" i="3"/>
  <c r="AA159" i="3" s="1"/>
  <c r="K160" i="3"/>
  <c r="AA160" i="3" s="1"/>
  <c r="K161" i="3"/>
  <c r="AA161" i="3" s="1"/>
  <c r="K162" i="3"/>
  <c r="AA162" i="3" s="1"/>
  <c r="K163" i="3"/>
  <c r="AA163" i="3" s="1"/>
  <c r="K164" i="3"/>
  <c r="AA164" i="3" s="1"/>
  <c r="K165" i="3"/>
  <c r="AA165" i="3" s="1"/>
  <c r="K166" i="3"/>
  <c r="AA166" i="3" s="1"/>
  <c r="K167" i="3"/>
  <c r="AA167" i="3" s="1"/>
  <c r="K168" i="3"/>
  <c r="AA168" i="3" s="1"/>
  <c r="K169" i="3"/>
  <c r="AA169" i="3" s="1"/>
  <c r="K170" i="3"/>
  <c r="AA170" i="3" s="1"/>
  <c r="K171" i="3"/>
  <c r="AA171" i="3" s="1"/>
  <c r="K172" i="3"/>
  <c r="AA172" i="3" s="1"/>
  <c r="K173" i="3"/>
  <c r="AA173" i="3" s="1"/>
  <c r="K174" i="3"/>
  <c r="AA174" i="3" s="1"/>
  <c r="K175" i="3"/>
  <c r="AA175" i="3" s="1"/>
  <c r="K176" i="3"/>
  <c r="AA176" i="3" s="1"/>
  <c r="K177" i="3"/>
  <c r="AA177" i="3" s="1"/>
  <c r="K178" i="3"/>
  <c r="AA178" i="3" s="1"/>
  <c r="K179" i="3"/>
  <c r="AA179" i="3" s="1"/>
  <c r="K180" i="3"/>
  <c r="AA180" i="3" s="1"/>
  <c r="K181" i="3"/>
  <c r="AA181" i="3" s="1"/>
  <c r="K182" i="3"/>
  <c r="AA182" i="3" s="1"/>
  <c r="K183" i="3"/>
  <c r="AA183" i="3" s="1"/>
  <c r="K184" i="3"/>
  <c r="AA184" i="3" s="1"/>
  <c r="K185" i="3"/>
  <c r="AA185" i="3" s="1"/>
  <c r="K186" i="3"/>
  <c r="AA186" i="3" s="1"/>
  <c r="K187" i="3"/>
  <c r="AA187" i="3" s="1"/>
  <c r="K188" i="3"/>
  <c r="AA188" i="3" s="1"/>
  <c r="K189" i="3"/>
  <c r="AA189" i="3" s="1"/>
  <c r="K190" i="3"/>
  <c r="AA190" i="3" s="1"/>
  <c r="K191" i="3"/>
  <c r="AA191" i="3" s="1"/>
  <c r="K192" i="3"/>
  <c r="AA192" i="3" s="1"/>
  <c r="K193" i="3"/>
  <c r="AA193" i="3" s="1"/>
  <c r="K194" i="3"/>
  <c r="AA194" i="3" s="1"/>
  <c r="K195" i="3"/>
  <c r="AA195" i="3" s="1"/>
  <c r="K196" i="3"/>
  <c r="AA196" i="3" s="1"/>
  <c r="K197" i="3"/>
  <c r="AA197" i="3" s="1"/>
  <c r="K198" i="3"/>
  <c r="AA198" i="3" s="1"/>
  <c r="K199" i="3"/>
  <c r="AA199" i="3" s="1"/>
  <c r="K200" i="3"/>
  <c r="AA200" i="3" s="1"/>
  <c r="K201" i="3"/>
  <c r="AA201" i="3" s="1"/>
  <c r="K202" i="3"/>
  <c r="AA202" i="3" s="1"/>
  <c r="K203" i="3"/>
  <c r="AA203" i="3" s="1"/>
  <c r="K204" i="3"/>
  <c r="AA204" i="3" s="1"/>
  <c r="K205" i="3"/>
  <c r="AA205" i="3" s="1"/>
  <c r="K206" i="3"/>
  <c r="AA206" i="3" s="1"/>
  <c r="K207" i="3"/>
  <c r="AA207" i="3" s="1"/>
  <c r="K208" i="3"/>
  <c r="AA208" i="3" s="1"/>
  <c r="K209" i="3"/>
  <c r="AA209" i="3" s="1"/>
  <c r="K210" i="3"/>
  <c r="AA210" i="3" s="1"/>
  <c r="K211" i="3"/>
  <c r="AA211" i="3" s="1"/>
  <c r="K212" i="3"/>
  <c r="AA212" i="3" s="1"/>
  <c r="K213" i="3"/>
  <c r="AA213" i="3" s="1"/>
  <c r="K214" i="3"/>
  <c r="AA214" i="3" s="1"/>
  <c r="K215" i="3"/>
  <c r="AA215" i="3" s="1"/>
  <c r="K216" i="3"/>
  <c r="AA216" i="3" s="1"/>
  <c r="K217" i="3"/>
  <c r="AA217" i="3" s="1"/>
  <c r="K218" i="3"/>
  <c r="AA218" i="3" s="1"/>
  <c r="K219" i="3"/>
  <c r="AA219" i="3" s="1"/>
  <c r="K220" i="3"/>
  <c r="AA220" i="3" s="1"/>
  <c r="K221" i="3"/>
  <c r="AA221" i="3" s="1"/>
  <c r="K222" i="3"/>
  <c r="AA222" i="3" s="1"/>
  <c r="K223" i="3"/>
  <c r="AA223" i="3" s="1"/>
  <c r="K4" i="2"/>
  <c r="AA4" i="2" s="1"/>
  <c r="K5" i="2"/>
  <c r="AA5" i="2" s="1"/>
  <c r="K6" i="2"/>
  <c r="AA6" i="2" s="1"/>
  <c r="K7" i="2"/>
  <c r="AA7" i="2" s="1"/>
  <c r="K8" i="2"/>
  <c r="AA8" i="2" s="1"/>
  <c r="K9" i="2"/>
  <c r="AA9" i="2" s="1"/>
  <c r="K10" i="2"/>
  <c r="AA10" i="2" s="1"/>
  <c r="K11" i="2"/>
  <c r="AA11" i="2" s="1"/>
  <c r="K12" i="2"/>
  <c r="AA12" i="2" s="1"/>
  <c r="K13" i="2"/>
  <c r="AA13" i="2" s="1"/>
  <c r="K14" i="2"/>
  <c r="AA14" i="2" s="1"/>
  <c r="K15" i="2"/>
  <c r="AA15" i="2" s="1"/>
  <c r="K16" i="2"/>
  <c r="AA16" i="2" s="1"/>
  <c r="K17" i="2"/>
  <c r="AA17" i="2" s="1"/>
  <c r="K18" i="2"/>
  <c r="AA18" i="2" s="1"/>
  <c r="K19" i="2"/>
  <c r="AA19" i="2" s="1"/>
  <c r="K20" i="2"/>
  <c r="AA20" i="2" s="1"/>
  <c r="K21" i="2"/>
  <c r="AA21" i="2" s="1"/>
  <c r="K22" i="2"/>
  <c r="AA22" i="2" s="1"/>
  <c r="K23" i="2"/>
  <c r="AA23" i="2" s="1"/>
  <c r="K24" i="2"/>
  <c r="AA24" i="2" s="1"/>
  <c r="K25" i="2"/>
  <c r="AA25" i="2" s="1"/>
  <c r="K26" i="2"/>
  <c r="AA26" i="2" s="1"/>
  <c r="K27" i="2"/>
  <c r="AA27" i="2" s="1"/>
  <c r="K28" i="2"/>
  <c r="AA28" i="2" s="1"/>
  <c r="K29" i="2"/>
  <c r="AA29" i="2" s="1"/>
  <c r="K30" i="2"/>
  <c r="AA30" i="2" s="1"/>
  <c r="K31" i="2"/>
  <c r="AA31" i="2" s="1"/>
  <c r="K32" i="2"/>
  <c r="AA32" i="2" s="1"/>
  <c r="K33" i="2"/>
  <c r="AA33" i="2" s="1"/>
  <c r="K34" i="2"/>
  <c r="AA34" i="2" s="1"/>
  <c r="K35" i="2"/>
  <c r="AA35" i="2" s="1"/>
  <c r="K36" i="2"/>
  <c r="AA36" i="2" s="1"/>
  <c r="K37" i="2"/>
  <c r="AA37" i="2" s="1"/>
  <c r="K38" i="2"/>
  <c r="AA38" i="2" s="1"/>
  <c r="K39" i="2"/>
  <c r="AA39" i="2" s="1"/>
  <c r="K40" i="2"/>
  <c r="AA40" i="2" s="1"/>
  <c r="K41" i="2"/>
  <c r="AA41" i="2" s="1"/>
  <c r="K42" i="2"/>
  <c r="AA42" i="2" s="1"/>
  <c r="K43" i="2"/>
  <c r="AA43" i="2" s="1"/>
  <c r="K44" i="2"/>
  <c r="AA44" i="2" s="1"/>
  <c r="K45" i="2"/>
  <c r="AA45" i="2" s="1"/>
  <c r="K46" i="2"/>
  <c r="AA46" i="2" s="1"/>
  <c r="K47" i="2"/>
  <c r="AA47" i="2" s="1"/>
  <c r="K49" i="2"/>
  <c r="AA49" i="2" s="1"/>
  <c r="K50" i="2"/>
  <c r="AA50" i="2" s="1"/>
  <c r="K51" i="2"/>
  <c r="AA51" i="2" s="1"/>
  <c r="K52" i="2"/>
  <c r="AA52" i="2" s="1"/>
  <c r="K53" i="2"/>
  <c r="AA53" i="2" s="1"/>
  <c r="K54" i="2"/>
  <c r="AA54" i="2" s="1"/>
  <c r="K55" i="2"/>
  <c r="AA55" i="2" s="1"/>
  <c r="K56" i="2"/>
  <c r="AA56" i="2" s="1"/>
  <c r="K57" i="2"/>
  <c r="AA57" i="2" s="1"/>
  <c r="K58" i="2"/>
  <c r="AA58" i="2" s="1"/>
  <c r="K59" i="2"/>
  <c r="AA59" i="2" s="1"/>
  <c r="K60" i="2"/>
  <c r="AA60" i="2" s="1"/>
  <c r="K61" i="2"/>
  <c r="AA61" i="2" s="1"/>
  <c r="K62" i="2"/>
  <c r="AA62" i="2" s="1"/>
  <c r="K63" i="2"/>
  <c r="AA63" i="2" s="1"/>
  <c r="K64" i="2"/>
  <c r="AA64" i="2" s="1"/>
  <c r="K65" i="2"/>
  <c r="AA65" i="2" s="1"/>
  <c r="K66" i="2"/>
  <c r="AA66" i="2" s="1"/>
  <c r="K67" i="2"/>
  <c r="AA67" i="2" s="1"/>
  <c r="K68" i="2"/>
  <c r="AA68" i="2" s="1"/>
  <c r="K69" i="2"/>
  <c r="AA69" i="2" s="1"/>
  <c r="K70" i="2"/>
  <c r="AA70" i="2" s="1"/>
  <c r="K71" i="2"/>
  <c r="AA71" i="2" s="1"/>
  <c r="K72" i="2"/>
  <c r="AA72" i="2" s="1"/>
  <c r="K73" i="2"/>
  <c r="AA73" i="2" s="1"/>
  <c r="K74" i="2"/>
  <c r="AA74" i="2" s="1"/>
  <c r="K75" i="2"/>
  <c r="AA75" i="2" s="1"/>
  <c r="K76" i="2"/>
  <c r="AA76" i="2" s="1"/>
  <c r="K77" i="2"/>
  <c r="AA77" i="2" s="1"/>
  <c r="K78" i="2"/>
  <c r="AA78" i="2" s="1"/>
  <c r="K79" i="2"/>
  <c r="AA79" i="2" s="1"/>
  <c r="K80" i="2"/>
  <c r="AA80" i="2" s="1"/>
  <c r="K81" i="2"/>
  <c r="AA81" i="2" s="1"/>
  <c r="K82" i="2"/>
  <c r="AA82" i="2" s="1"/>
  <c r="K83" i="2"/>
  <c r="AA83" i="2" s="1"/>
  <c r="K84" i="2"/>
  <c r="AA84" i="2" s="1"/>
  <c r="K85" i="2"/>
  <c r="AA85" i="2" s="1"/>
  <c r="K86" i="2"/>
  <c r="AA86" i="2" s="1"/>
  <c r="K87" i="2"/>
  <c r="AA87" i="2" s="1"/>
  <c r="K88" i="2"/>
  <c r="AA88" i="2" s="1"/>
  <c r="K89" i="2"/>
  <c r="AA89" i="2" s="1"/>
  <c r="K90" i="2"/>
  <c r="AA90" i="2" s="1"/>
  <c r="K92" i="2"/>
  <c r="AA92" i="2" s="1"/>
  <c r="K93" i="2"/>
  <c r="AA93" i="2" s="1"/>
  <c r="K94" i="2"/>
  <c r="AA94" i="2" s="1"/>
  <c r="K95" i="2"/>
  <c r="AA95" i="2" s="1"/>
  <c r="K96" i="2"/>
  <c r="AA96" i="2" s="1"/>
  <c r="K97" i="2"/>
  <c r="AA97" i="2" s="1"/>
  <c r="K98" i="2"/>
  <c r="AA98" i="2" s="1"/>
  <c r="K99" i="2"/>
  <c r="AA99" i="2" s="1"/>
  <c r="K100" i="2"/>
  <c r="AA100" i="2" s="1"/>
  <c r="K101" i="2"/>
  <c r="AA101" i="2" s="1"/>
  <c r="K102" i="2"/>
  <c r="AA102" i="2" s="1"/>
  <c r="K103" i="2"/>
  <c r="AA103" i="2" s="1"/>
  <c r="K104" i="2"/>
  <c r="AA104" i="2" s="1"/>
  <c r="K106" i="2"/>
  <c r="AA106" i="2" s="1"/>
  <c r="K107" i="2"/>
  <c r="AA107" i="2" s="1"/>
  <c r="K111" i="2"/>
  <c r="AA111" i="2" s="1"/>
  <c r="K112" i="2"/>
  <c r="AA112" i="2" s="1"/>
  <c r="K113" i="2"/>
  <c r="AA113" i="2" s="1"/>
  <c r="K114" i="2"/>
  <c r="AA114" i="2" s="1"/>
  <c r="K115" i="2"/>
  <c r="AA115" i="2" s="1"/>
  <c r="K116" i="2"/>
  <c r="AA116" i="2" s="1"/>
  <c r="K117" i="2"/>
  <c r="AA117" i="2" s="1"/>
  <c r="K118" i="2"/>
  <c r="AA118" i="2" s="1"/>
  <c r="K119" i="2"/>
  <c r="AA119" i="2" s="1"/>
  <c r="K121" i="2"/>
  <c r="AA121" i="2" s="1"/>
  <c r="K122" i="2"/>
  <c r="AA122" i="2" s="1"/>
  <c r="K123" i="2"/>
  <c r="AA123" i="2" s="1"/>
  <c r="K124" i="2"/>
  <c r="AA124" i="2" s="1"/>
  <c r="K125" i="2"/>
  <c r="AA125" i="2" s="1"/>
  <c r="K126" i="2"/>
  <c r="AA126" i="2" s="1"/>
  <c r="K127" i="2"/>
  <c r="AA127" i="2" s="1"/>
  <c r="K128" i="2"/>
  <c r="AA128" i="2" s="1"/>
  <c r="K129" i="2"/>
  <c r="AA129" i="2" s="1"/>
  <c r="K130" i="2"/>
  <c r="AA130" i="2" s="1"/>
  <c r="K131" i="2"/>
  <c r="AA131" i="2" s="1"/>
  <c r="K132" i="2"/>
  <c r="AA132" i="2" s="1"/>
  <c r="K133" i="2"/>
  <c r="AA133" i="2" s="1"/>
  <c r="K135" i="2"/>
  <c r="AA135" i="2" s="1"/>
  <c r="K136" i="2"/>
  <c r="AA136" i="2" s="1"/>
  <c r="K137" i="2"/>
  <c r="AA137" i="2" s="1"/>
  <c r="K138" i="2"/>
  <c r="AA138" i="2" s="1"/>
  <c r="K139" i="2"/>
  <c r="AA139" i="2" s="1"/>
  <c r="K140" i="2"/>
  <c r="AA140" i="2" s="1"/>
  <c r="K141" i="2"/>
  <c r="AA141" i="2" s="1"/>
  <c r="K142" i="2"/>
  <c r="AA142" i="2" s="1"/>
  <c r="K143" i="2"/>
  <c r="AA143" i="2" s="1"/>
  <c r="K144" i="2"/>
  <c r="AA144" i="2" s="1"/>
  <c r="K145" i="2"/>
  <c r="AA145" i="2" s="1"/>
  <c r="K146" i="2"/>
  <c r="AA146" i="2" s="1"/>
  <c r="K147" i="2"/>
  <c r="AA147" i="2" s="1"/>
  <c r="K148" i="2"/>
  <c r="AA148" i="2" s="1"/>
  <c r="K150" i="2"/>
  <c r="AA150" i="2" s="1"/>
  <c r="K151" i="2"/>
  <c r="AA151" i="2" s="1"/>
  <c r="K152" i="2"/>
  <c r="AA152" i="2" s="1"/>
  <c r="K153" i="2"/>
  <c r="AA153" i="2" s="1"/>
  <c r="K154" i="2"/>
  <c r="AA154" i="2" s="1"/>
  <c r="K155" i="2"/>
  <c r="AA155" i="2" s="1"/>
  <c r="K156" i="2"/>
  <c r="AA156" i="2" s="1"/>
  <c r="K157" i="2"/>
  <c r="AA157" i="2" s="1"/>
  <c r="K158" i="2"/>
  <c r="AA158" i="2" s="1"/>
  <c r="K160" i="2"/>
  <c r="AA160" i="2" s="1"/>
  <c r="K161" i="2"/>
  <c r="AA161" i="2" s="1"/>
  <c r="K162" i="2"/>
  <c r="AA162" i="2" s="1"/>
  <c r="K163" i="2"/>
  <c r="AA163" i="2" s="1"/>
  <c r="K164" i="2"/>
  <c r="AA164" i="2" s="1"/>
  <c r="K165" i="2"/>
  <c r="AA165" i="2" s="1"/>
  <c r="K166" i="2"/>
  <c r="AA166" i="2" s="1"/>
  <c r="K167" i="2"/>
  <c r="AA167" i="2" s="1"/>
  <c r="K168" i="2"/>
  <c r="AA168" i="2" s="1"/>
  <c r="K169" i="2"/>
  <c r="AA169" i="2" s="1"/>
  <c r="K170" i="2"/>
  <c r="AA170" i="2" s="1"/>
  <c r="K171" i="2"/>
  <c r="AA171" i="2" s="1"/>
  <c r="K172" i="2"/>
  <c r="AA172" i="2" s="1"/>
  <c r="K173" i="2"/>
  <c r="AA173" i="2" s="1"/>
  <c r="K174" i="2"/>
  <c r="AA174" i="2" s="1"/>
  <c r="K175" i="2"/>
  <c r="AA175" i="2" s="1"/>
  <c r="K181" i="2"/>
  <c r="AA181" i="2" s="1"/>
  <c r="K182" i="2"/>
  <c r="AA182" i="2" s="1"/>
  <c r="K183" i="2"/>
  <c r="AA183" i="2" s="1"/>
  <c r="K184" i="2"/>
  <c r="AA184" i="2" s="1"/>
  <c r="K185" i="2"/>
  <c r="AA185" i="2" s="1"/>
  <c r="K186" i="2"/>
  <c r="AA186" i="2" s="1"/>
  <c r="K188" i="2"/>
  <c r="AA188" i="2" s="1"/>
  <c r="K189" i="2"/>
  <c r="AA189" i="2" s="1"/>
  <c r="K190" i="2"/>
  <c r="AA190" i="2" s="1"/>
  <c r="K191" i="2"/>
  <c r="AA191" i="2" s="1"/>
  <c r="K192" i="2"/>
  <c r="AA192" i="2" s="1"/>
  <c r="K193" i="2"/>
  <c r="AA193" i="2" s="1"/>
  <c r="K194" i="2"/>
  <c r="AA194" i="2" s="1"/>
  <c r="K195" i="2"/>
  <c r="AA195" i="2" s="1"/>
  <c r="K196" i="2"/>
  <c r="AA196" i="2" s="1"/>
  <c r="K197" i="2"/>
  <c r="AA197" i="2" s="1"/>
  <c r="K199" i="2"/>
  <c r="AA199" i="2" s="1"/>
  <c r="K200" i="2"/>
  <c r="AA200" i="2" s="1"/>
  <c r="K201" i="2"/>
  <c r="AA201" i="2" s="1"/>
  <c r="K202" i="2"/>
  <c r="AA202" i="2" s="1"/>
  <c r="K203" i="2"/>
  <c r="AA203" i="2" s="1"/>
  <c r="K204" i="2"/>
  <c r="AA204" i="2" s="1"/>
  <c r="K205" i="2"/>
  <c r="AA205" i="2" s="1"/>
  <c r="K206" i="2"/>
  <c r="AA206" i="2" s="1"/>
  <c r="K207" i="2"/>
  <c r="AA207" i="2" s="1"/>
  <c r="K208" i="2"/>
  <c r="AA208" i="2" s="1"/>
  <c r="K209" i="2"/>
  <c r="AA209" i="2" s="1"/>
  <c r="K210" i="2"/>
  <c r="AA210" i="2" s="1"/>
  <c r="K211" i="2"/>
  <c r="AA211" i="2" s="1"/>
  <c r="K212" i="2"/>
  <c r="AA212" i="2" s="1"/>
  <c r="K213" i="2"/>
  <c r="AA213" i="2" s="1"/>
  <c r="K214" i="2"/>
  <c r="AA214" i="2" s="1"/>
  <c r="K215" i="2"/>
  <c r="AA215" i="2" s="1"/>
  <c r="K216" i="2"/>
  <c r="AA216" i="2" s="1"/>
  <c r="K217" i="2"/>
  <c r="AA217" i="2" s="1"/>
  <c r="K218" i="2"/>
  <c r="AA218" i="2" s="1"/>
  <c r="K219" i="2"/>
  <c r="AA219" i="2" s="1"/>
  <c r="K220" i="2"/>
  <c r="AA220" i="2" s="1"/>
  <c r="K222" i="2"/>
  <c r="AA222" i="2" s="1"/>
  <c r="K223" i="2"/>
  <c r="AA223" i="2" s="1"/>
  <c r="K224" i="2"/>
  <c r="AA224" i="2" s="1"/>
  <c r="K225" i="2"/>
  <c r="AA225" i="2" s="1"/>
  <c r="K226" i="2"/>
  <c r="AA226" i="2" s="1"/>
  <c r="K227" i="2"/>
  <c r="AA227" i="2" s="1"/>
  <c r="K228" i="2"/>
  <c r="AA228" i="2" s="1"/>
  <c r="K229" i="2"/>
  <c r="AA229" i="2" s="1"/>
  <c r="K230" i="2"/>
  <c r="AA230" i="2" s="1"/>
  <c r="K231" i="2"/>
  <c r="AA231" i="2" s="1"/>
  <c r="K232" i="2"/>
  <c r="AA232" i="2" s="1"/>
  <c r="K233" i="2"/>
  <c r="AA233" i="2" s="1"/>
  <c r="K234" i="2"/>
  <c r="AA234" i="2" s="1"/>
  <c r="K235" i="2"/>
  <c r="AA235" i="2" s="1"/>
  <c r="K236" i="2"/>
  <c r="AA236" i="2" s="1"/>
  <c r="K237" i="2"/>
  <c r="AA237" i="2" s="1"/>
  <c r="K238" i="2"/>
  <c r="AA238" i="2" s="1"/>
  <c r="K239" i="2"/>
  <c r="AA239" i="2" s="1"/>
  <c r="K240" i="2"/>
  <c r="AA240" i="2" s="1"/>
  <c r="K241" i="2"/>
  <c r="AA241" i="2" s="1"/>
  <c r="K242" i="2"/>
  <c r="AA242" i="2" s="1"/>
  <c r="K243" i="2"/>
  <c r="AA243" i="2" s="1"/>
  <c r="K244" i="2"/>
  <c r="AA244" i="2" s="1"/>
  <c r="K245" i="2"/>
  <c r="AA245" i="2" s="1"/>
  <c r="K246" i="2"/>
  <c r="AA246" i="2" s="1"/>
  <c r="K247" i="2"/>
  <c r="AA247" i="2" s="1"/>
  <c r="K248" i="2"/>
  <c r="AA248" i="2" s="1"/>
  <c r="K249" i="2"/>
  <c r="AA249" i="2" s="1"/>
  <c r="K250" i="2"/>
  <c r="AA250" i="2" s="1"/>
  <c r="K251" i="2"/>
  <c r="AA251" i="2" s="1"/>
  <c r="K252" i="2"/>
  <c r="AA252" i="2" s="1"/>
  <c r="K253" i="2"/>
  <c r="AA253" i="2" s="1"/>
  <c r="K254" i="2"/>
  <c r="AA254" i="2" s="1"/>
  <c r="K255" i="2"/>
  <c r="AA255" i="2" s="1"/>
  <c r="K256" i="2"/>
  <c r="AA256" i="2" s="1"/>
  <c r="K257" i="2"/>
  <c r="AA257" i="2" s="1"/>
  <c r="K258" i="2"/>
  <c r="AA258" i="2" s="1"/>
  <c r="K260" i="2"/>
  <c r="AA260" i="2" s="1"/>
  <c r="K261" i="2"/>
  <c r="AA261" i="2" s="1"/>
  <c r="K262" i="2"/>
  <c r="AA262" i="2" s="1"/>
  <c r="K263" i="2"/>
  <c r="AA263" i="2" s="1"/>
  <c r="K264" i="2"/>
  <c r="AA264" i="2" s="1"/>
  <c r="K265" i="2"/>
  <c r="AA265" i="2" s="1"/>
  <c r="K266" i="2"/>
  <c r="AA266" i="2" s="1"/>
  <c r="K267" i="2"/>
  <c r="AA267" i="2" s="1"/>
  <c r="K268" i="2"/>
  <c r="AA268" i="2" s="1"/>
  <c r="K269" i="2"/>
  <c r="AA269" i="2" s="1"/>
  <c r="K270" i="2"/>
  <c r="AA270" i="2" s="1"/>
  <c r="K271" i="2"/>
  <c r="AA271" i="2" s="1"/>
  <c r="K272" i="2"/>
  <c r="AA272" i="2" s="1"/>
  <c r="K273" i="2"/>
  <c r="AA273" i="2" s="1"/>
  <c r="K274" i="2"/>
  <c r="AA274" i="2" s="1"/>
  <c r="K275" i="2"/>
  <c r="AA275" i="2" s="1"/>
  <c r="K276" i="2"/>
  <c r="AA276" i="2" s="1"/>
  <c r="K277" i="2"/>
  <c r="AA277" i="2" s="1"/>
  <c r="K278" i="2"/>
  <c r="AA278" i="2" s="1"/>
  <c r="K279" i="2"/>
  <c r="AA279" i="2" s="1"/>
  <c r="K280" i="2"/>
  <c r="AA280" i="2" s="1"/>
  <c r="K281" i="2"/>
  <c r="AA281" i="2" s="1"/>
  <c r="K282" i="2"/>
  <c r="AA282" i="2" s="1"/>
  <c r="K283" i="2"/>
  <c r="AA283" i="2" s="1"/>
  <c r="K284" i="2"/>
  <c r="AA284" i="2" s="1"/>
  <c r="K285" i="2"/>
  <c r="AA285" i="2" s="1"/>
  <c r="K286" i="2"/>
  <c r="AA286" i="2" s="1"/>
  <c r="K287" i="2"/>
  <c r="AA287" i="2" s="1"/>
  <c r="K288" i="2"/>
  <c r="AA288" i="2" s="1"/>
  <c r="K290" i="2"/>
  <c r="AA290" i="2" s="1"/>
  <c r="K291" i="2"/>
  <c r="AA291" i="2" s="1"/>
  <c r="K292" i="2"/>
  <c r="AA292" i="2" s="1"/>
  <c r="K293" i="2"/>
  <c r="AA293" i="2" s="1"/>
  <c r="K294" i="2"/>
  <c r="AA294" i="2" s="1"/>
  <c r="K295" i="2"/>
  <c r="AA295" i="2" s="1"/>
  <c r="K296" i="2"/>
  <c r="AA296" i="2" s="1"/>
  <c r="K297" i="2"/>
  <c r="AA297" i="2" s="1"/>
  <c r="K298" i="2"/>
  <c r="AA298" i="2" s="1"/>
  <c r="K299" i="2"/>
  <c r="AA299" i="2" s="1"/>
  <c r="K300" i="2"/>
  <c r="AA300" i="2" s="1"/>
  <c r="K301" i="2"/>
  <c r="AA301" i="2" s="1"/>
  <c r="K302" i="2"/>
  <c r="AA302" i="2" s="1"/>
  <c r="K304" i="2"/>
  <c r="AA304" i="2" s="1"/>
  <c r="K305" i="2"/>
  <c r="AA305" i="2" s="1"/>
  <c r="K306" i="2"/>
  <c r="AA306" i="2" s="1"/>
  <c r="K307" i="2"/>
  <c r="AA307" i="2" s="1"/>
  <c r="K308" i="2"/>
  <c r="AA308" i="2" s="1"/>
  <c r="K309" i="2"/>
  <c r="AA309" i="2" s="1"/>
  <c r="K310" i="2"/>
  <c r="AA310" i="2" s="1"/>
  <c r="K311" i="2"/>
  <c r="AA311" i="2" s="1"/>
  <c r="K313" i="2"/>
  <c r="AA313" i="2" s="1"/>
  <c r="K314" i="2"/>
  <c r="AA314" i="2" s="1"/>
  <c r="K315" i="2"/>
  <c r="AA315" i="2" s="1"/>
  <c r="K316" i="2"/>
  <c r="AA316" i="2" s="1"/>
  <c r="K317" i="2"/>
  <c r="AA317" i="2" s="1"/>
  <c r="K318" i="2"/>
  <c r="AA318" i="2" s="1"/>
  <c r="K319" i="2"/>
  <c r="AA319" i="2" s="1"/>
  <c r="K320" i="2"/>
  <c r="AA320" i="2" s="1"/>
  <c r="K321" i="2"/>
  <c r="AA321" i="2" s="1"/>
  <c r="K322" i="2"/>
  <c r="AA322" i="2" s="1"/>
  <c r="K324" i="2"/>
  <c r="AA324" i="2" s="1"/>
  <c r="K325" i="2"/>
  <c r="AA325" i="2" s="1"/>
  <c r="K326" i="2"/>
  <c r="AA326" i="2" s="1"/>
  <c r="K327" i="2"/>
  <c r="AA327" i="2" s="1"/>
  <c r="K328" i="2"/>
  <c r="AA328" i="2" s="1"/>
  <c r="K329" i="2"/>
  <c r="AA329" i="2" s="1"/>
  <c r="K330" i="2"/>
  <c r="AA330" i="2" s="1"/>
  <c r="K332" i="2"/>
  <c r="AA332" i="2" s="1"/>
  <c r="K333" i="2"/>
  <c r="AA333" i="2" s="1"/>
  <c r="K334" i="2"/>
  <c r="AA334" i="2" s="1"/>
  <c r="K335" i="2"/>
  <c r="AA335" i="2" s="1"/>
  <c r="K336" i="2"/>
  <c r="AA336" i="2" s="1"/>
  <c r="K337" i="2"/>
  <c r="AA337" i="2" s="1"/>
  <c r="K338" i="2"/>
  <c r="AA338" i="2" s="1"/>
  <c r="K339" i="2"/>
  <c r="AA339" i="2" s="1"/>
  <c r="K340" i="2"/>
  <c r="AA340" i="2" s="1"/>
  <c r="K341" i="2"/>
  <c r="AA341" i="2" s="1"/>
  <c r="K3" i="1"/>
  <c r="AA3" i="1" s="1"/>
  <c r="K4" i="1"/>
  <c r="AA4" i="1" s="1"/>
  <c r="K5" i="1"/>
  <c r="AA5" i="1" s="1"/>
  <c r="K6" i="1"/>
  <c r="AA6" i="1" s="1"/>
  <c r="K7" i="1"/>
  <c r="AA7" i="1" s="1"/>
  <c r="K8" i="1"/>
  <c r="AA8" i="1" s="1"/>
  <c r="K9" i="1"/>
  <c r="AA9" i="1" s="1"/>
  <c r="K10" i="1"/>
  <c r="AA10" i="1" s="1"/>
  <c r="K11" i="1"/>
  <c r="AA11" i="1" s="1"/>
  <c r="K12" i="1"/>
  <c r="AA12" i="1" s="1"/>
  <c r="K13" i="1"/>
  <c r="AA13" i="1" s="1"/>
  <c r="K14" i="1"/>
  <c r="AA14" i="1" s="1"/>
  <c r="K15" i="1"/>
  <c r="AA15" i="1" s="1"/>
  <c r="K16" i="1"/>
  <c r="AA16" i="1" s="1"/>
  <c r="K17" i="1"/>
  <c r="AA17" i="1" s="1"/>
  <c r="K18" i="1"/>
  <c r="AA18" i="1" s="1"/>
  <c r="K19" i="1"/>
  <c r="AA19" i="1" s="1"/>
  <c r="K20" i="1"/>
  <c r="AA20" i="1" s="1"/>
  <c r="K21" i="1"/>
  <c r="AA21" i="1" s="1"/>
  <c r="K22" i="1"/>
  <c r="AA22" i="1" s="1"/>
  <c r="K23" i="1"/>
  <c r="AA23" i="1" s="1"/>
  <c r="K24" i="1"/>
  <c r="AA24" i="1" s="1"/>
  <c r="K25" i="1"/>
  <c r="AA25" i="1" s="1"/>
  <c r="K26" i="1"/>
  <c r="AA26" i="1" s="1"/>
  <c r="K27" i="1"/>
  <c r="AA27" i="1" s="1"/>
  <c r="K28" i="1"/>
  <c r="AA28" i="1" s="1"/>
  <c r="K29" i="1"/>
  <c r="AA29" i="1" s="1"/>
  <c r="K30" i="1"/>
  <c r="AA30" i="1" s="1"/>
  <c r="K31" i="1"/>
  <c r="AA31" i="1" s="1"/>
  <c r="K32" i="1"/>
  <c r="AA32" i="1" s="1"/>
  <c r="K33" i="1"/>
  <c r="AA33" i="1" s="1"/>
  <c r="K34" i="1"/>
  <c r="AA34" i="1" s="1"/>
  <c r="K35" i="1"/>
  <c r="AA35" i="1" s="1"/>
  <c r="K36" i="1"/>
  <c r="AA36" i="1" s="1"/>
  <c r="K37" i="1"/>
  <c r="AA37" i="1" s="1"/>
  <c r="K38" i="1"/>
  <c r="AA38" i="1" s="1"/>
  <c r="K39" i="1"/>
  <c r="AA39" i="1" s="1"/>
  <c r="K40" i="1"/>
  <c r="AA40" i="1" s="1"/>
  <c r="K41" i="1"/>
  <c r="AA41" i="1" s="1"/>
  <c r="K42" i="1"/>
  <c r="AA42" i="1" s="1"/>
  <c r="K43" i="1"/>
  <c r="AA43" i="1" s="1"/>
  <c r="K44" i="1"/>
  <c r="AA44" i="1" s="1"/>
  <c r="K45" i="1"/>
  <c r="AA45" i="1" s="1"/>
  <c r="K46" i="1"/>
  <c r="AA46" i="1" s="1"/>
  <c r="K47" i="1"/>
  <c r="AA47" i="1" s="1"/>
  <c r="K48" i="1"/>
  <c r="AA48" i="1" s="1"/>
  <c r="K49" i="1"/>
  <c r="AA49" i="1" s="1"/>
  <c r="K50" i="1"/>
  <c r="AA50" i="1" s="1"/>
  <c r="K51" i="1"/>
  <c r="AA51" i="1" s="1"/>
  <c r="K52" i="1"/>
  <c r="AA52" i="1" s="1"/>
  <c r="K53" i="1"/>
  <c r="AA53" i="1" s="1"/>
  <c r="K54" i="1"/>
  <c r="AA54" i="1" s="1"/>
  <c r="K55" i="1"/>
  <c r="AA55" i="1" s="1"/>
  <c r="K56" i="1"/>
  <c r="AA56" i="1" s="1"/>
  <c r="K57" i="1"/>
  <c r="AA57" i="1" s="1"/>
  <c r="K58" i="1"/>
  <c r="AA58" i="1" s="1"/>
  <c r="K59" i="1"/>
  <c r="AA59" i="1" s="1"/>
  <c r="K60" i="1"/>
  <c r="AA60" i="1" s="1"/>
  <c r="K61" i="1"/>
  <c r="AA61" i="1" s="1"/>
  <c r="K62" i="1"/>
  <c r="AA62" i="1" s="1"/>
  <c r="K63" i="1"/>
  <c r="AA63" i="1" s="1"/>
  <c r="K64" i="1"/>
  <c r="AA64" i="1" s="1"/>
  <c r="K65" i="1"/>
  <c r="AA65" i="1" s="1"/>
  <c r="K66" i="1"/>
  <c r="AA66" i="1" s="1"/>
  <c r="K67" i="1"/>
  <c r="AA67" i="1" s="1"/>
  <c r="K68" i="1"/>
  <c r="AA68" i="1" s="1"/>
  <c r="K69" i="1"/>
  <c r="AA69" i="1" s="1"/>
  <c r="K70" i="1"/>
  <c r="AA70" i="1" s="1"/>
  <c r="K71" i="1"/>
  <c r="AA71" i="1" s="1"/>
  <c r="K72" i="1"/>
  <c r="AA72" i="1" s="1"/>
  <c r="K73" i="1"/>
  <c r="AA73" i="1" s="1"/>
  <c r="K74" i="1"/>
  <c r="AA74" i="1" s="1"/>
  <c r="K75" i="1"/>
  <c r="AA75" i="1" s="1"/>
  <c r="K76" i="1"/>
  <c r="AA76" i="1" s="1"/>
  <c r="K77" i="1"/>
  <c r="AA77" i="1" s="1"/>
  <c r="K78" i="1"/>
  <c r="AA78" i="1" s="1"/>
  <c r="K79" i="1"/>
  <c r="AA79" i="1" s="1"/>
  <c r="K80" i="1"/>
  <c r="AA80" i="1" s="1"/>
  <c r="K81" i="1"/>
  <c r="AA81" i="1" s="1"/>
  <c r="K82" i="1"/>
  <c r="AA82" i="1" s="1"/>
  <c r="K83" i="1"/>
  <c r="AA83" i="1" s="1"/>
  <c r="K84" i="1"/>
  <c r="AA84" i="1" s="1"/>
  <c r="K85" i="1"/>
  <c r="AA85" i="1" s="1"/>
  <c r="K86" i="1"/>
  <c r="AA86" i="1" s="1"/>
  <c r="K87" i="1"/>
  <c r="AA87" i="1" s="1"/>
  <c r="K88" i="1"/>
  <c r="AA88" i="1" s="1"/>
  <c r="K89" i="1"/>
  <c r="AA89" i="1" s="1"/>
  <c r="K90" i="1"/>
  <c r="AA90" i="1" s="1"/>
  <c r="K91" i="1"/>
  <c r="AA91" i="1" s="1"/>
  <c r="K92" i="1"/>
  <c r="AA92" i="1" s="1"/>
  <c r="K93" i="1"/>
  <c r="AA93" i="1" s="1"/>
  <c r="K94" i="1"/>
  <c r="AA94" i="1" s="1"/>
  <c r="K95" i="1"/>
  <c r="AA95" i="1" s="1"/>
  <c r="K96" i="1"/>
  <c r="AA96" i="1" s="1"/>
  <c r="K97" i="1"/>
  <c r="AA97" i="1" s="1"/>
  <c r="K98" i="1"/>
  <c r="AA98" i="1" s="1"/>
  <c r="K99" i="1"/>
  <c r="AA99" i="1" s="1"/>
  <c r="K100" i="1"/>
  <c r="AA100" i="1" s="1"/>
  <c r="K101" i="1"/>
  <c r="AA101" i="1" s="1"/>
  <c r="K102" i="1"/>
  <c r="AA102" i="1" s="1"/>
  <c r="K103" i="1"/>
  <c r="AA103" i="1" s="1"/>
  <c r="K104" i="1"/>
  <c r="AA104" i="1" s="1"/>
  <c r="K105" i="1"/>
  <c r="AA105" i="1" s="1"/>
  <c r="K106" i="1"/>
  <c r="AA106" i="1" s="1"/>
  <c r="K107" i="1"/>
  <c r="AA107" i="1" s="1"/>
  <c r="K108" i="1"/>
  <c r="AA108" i="1" s="1"/>
  <c r="K109" i="1"/>
  <c r="AA109" i="1" s="1"/>
  <c r="K110" i="1"/>
  <c r="AA110" i="1" s="1"/>
  <c r="K111" i="1"/>
  <c r="AA111" i="1" s="1"/>
  <c r="K112" i="1"/>
  <c r="AA112" i="1" s="1"/>
  <c r="K113" i="1"/>
  <c r="AA113" i="1" s="1"/>
  <c r="K114" i="1"/>
  <c r="AA114" i="1" s="1"/>
  <c r="K115" i="1"/>
  <c r="AA115" i="1" s="1"/>
  <c r="K116" i="1"/>
  <c r="AA116" i="1" s="1"/>
  <c r="K117" i="1"/>
  <c r="AA117" i="1" s="1"/>
  <c r="K118" i="1"/>
  <c r="AA118" i="1" s="1"/>
  <c r="K119" i="1"/>
  <c r="AA119" i="1" s="1"/>
  <c r="K120" i="1"/>
  <c r="AA120" i="1" s="1"/>
  <c r="K121" i="1"/>
  <c r="AA121" i="1" s="1"/>
  <c r="K122" i="1"/>
  <c r="AA122" i="1" s="1"/>
  <c r="K123" i="1"/>
  <c r="AA123" i="1" s="1"/>
  <c r="K124" i="1"/>
  <c r="AA124" i="1" s="1"/>
  <c r="K125" i="1"/>
  <c r="AA125" i="1" s="1"/>
  <c r="K126" i="1"/>
  <c r="AA126" i="1" s="1"/>
  <c r="K127" i="1"/>
  <c r="AA127" i="1" s="1"/>
  <c r="K128" i="1"/>
  <c r="AA128" i="1" s="1"/>
  <c r="K129" i="1"/>
  <c r="AA129" i="1" s="1"/>
  <c r="K130" i="1"/>
  <c r="AA130" i="1" s="1"/>
  <c r="K131" i="1"/>
  <c r="AA131" i="1" s="1"/>
  <c r="K132" i="1"/>
  <c r="AA132" i="1" s="1"/>
  <c r="K133" i="1"/>
  <c r="AA133" i="1" s="1"/>
  <c r="K134" i="1"/>
  <c r="AA134" i="1" s="1"/>
  <c r="K135" i="1"/>
  <c r="AA135" i="1" s="1"/>
  <c r="K136" i="1"/>
  <c r="AA136" i="1" s="1"/>
  <c r="K137" i="1"/>
  <c r="AA137" i="1" s="1"/>
  <c r="K138" i="1"/>
  <c r="AA138" i="1" s="1"/>
  <c r="K139" i="1"/>
  <c r="AA139" i="1" s="1"/>
  <c r="K140" i="1"/>
  <c r="AA140" i="1" s="1"/>
  <c r="K141" i="1"/>
  <c r="AA141" i="1" s="1"/>
  <c r="K142" i="1"/>
  <c r="AA142" i="1" s="1"/>
  <c r="K143" i="1"/>
  <c r="AA143" i="1" s="1"/>
  <c r="K144" i="1"/>
  <c r="AA144" i="1" s="1"/>
  <c r="K145" i="1"/>
  <c r="AA145" i="1" s="1"/>
  <c r="K146" i="1"/>
  <c r="AA146" i="1" s="1"/>
  <c r="K147" i="1"/>
  <c r="AA147" i="1" s="1"/>
  <c r="K148" i="1"/>
  <c r="AA148" i="1" s="1"/>
  <c r="K149" i="1"/>
  <c r="AA149" i="1" s="1"/>
  <c r="K150" i="1"/>
  <c r="AA150" i="1" s="1"/>
  <c r="K151" i="1"/>
  <c r="AA151" i="1" s="1"/>
  <c r="K152" i="1"/>
  <c r="AA152" i="1" s="1"/>
  <c r="K153" i="1"/>
  <c r="AA153" i="1" s="1"/>
  <c r="K154" i="1"/>
  <c r="AA154" i="1" s="1"/>
  <c r="K155" i="1"/>
  <c r="AA155" i="1" s="1"/>
  <c r="K156" i="1"/>
  <c r="AA156" i="1" s="1"/>
  <c r="K157" i="1"/>
  <c r="AA157" i="1" s="1"/>
  <c r="K158" i="1"/>
  <c r="AA158" i="1" s="1"/>
  <c r="K159" i="1"/>
  <c r="AA159" i="1" s="1"/>
  <c r="K160" i="1"/>
  <c r="AA160" i="1" s="1"/>
  <c r="K161" i="1"/>
  <c r="AA161" i="1" s="1"/>
  <c r="K162" i="1"/>
  <c r="AA162" i="1" s="1"/>
  <c r="K163" i="1"/>
  <c r="AA163" i="1" s="1"/>
  <c r="K164" i="1"/>
  <c r="AA164" i="1" s="1"/>
  <c r="K165" i="1"/>
  <c r="AA165" i="1" s="1"/>
  <c r="K166" i="1"/>
  <c r="AA166" i="1" s="1"/>
  <c r="K167" i="1"/>
  <c r="AA167" i="1" s="1"/>
  <c r="K168" i="1"/>
  <c r="AA168" i="1" s="1"/>
  <c r="K169" i="1"/>
  <c r="AA169" i="1" s="1"/>
  <c r="K170" i="1"/>
  <c r="AA170" i="1" s="1"/>
  <c r="K171" i="1"/>
  <c r="AA171" i="1" s="1"/>
  <c r="K172" i="1"/>
  <c r="AA172" i="1" s="1"/>
  <c r="K173" i="1"/>
  <c r="AA173" i="1" s="1"/>
  <c r="K174" i="1"/>
  <c r="AA174" i="1" s="1"/>
  <c r="K175" i="1"/>
  <c r="AA175" i="1" s="1"/>
  <c r="K176" i="1"/>
  <c r="AA176" i="1" s="1"/>
  <c r="K177" i="1"/>
  <c r="AA177" i="1" s="1"/>
  <c r="K178" i="1"/>
  <c r="AA178" i="1" s="1"/>
  <c r="K179" i="1"/>
  <c r="AA179" i="1" s="1"/>
  <c r="K180" i="1"/>
  <c r="AA180" i="1" s="1"/>
  <c r="K181" i="1"/>
  <c r="AA181" i="1" s="1"/>
  <c r="K182" i="1"/>
  <c r="AA182" i="1" s="1"/>
  <c r="K183" i="1"/>
  <c r="AA183" i="1" s="1"/>
  <c r="K184" i="1"/>
  <c r="AA184" i="1" s="1"/>
  <c r="K185" i="1"/>
  <c r="AA185" i="1" s="1"/>
  <c r="K186" i="1"/>
  <c r="AA186" i="1" s="1"/>
  <c r="K187" i="1"/>
  <c r="AA187" i="1" s="1"/>
  <c r="K188" i="1"/>
  <c r="AA188" i="1" s="1"/>
  <c r="K189" i="1"/>
  <c r="AA189" i="1" s="1"/>
  <c r="K190" i="1"/>
  <c r="AA190" i="1" s="1"/>
  <c r="K191" i="1"/>
  <c r="AA191" i="1" s="1"/>
  <c r="K192" i="1"/>
  <c r="AA192" i="1" s="1"/>
  <c r="K193" i="1"/>
  <c r="AA193" i="1" s="1"/>
  <c r="K194" i="1"/>
  <c r="AA194" i="1" s="1"/>
  <c r="K195" i="1"/>
  <c r="AA195" i="1" s="1"/>
  <c r="K196" i="1"/>
  <c r="AA196" i="1" s="1"/>
  <c r="K197" i="1"/>
  <c r="AA197" i="1" s="1"/>
  <c r="K198" i="1"/>
  <c r="AA198" i="1" s="1"/>
  <c r="K199" i="1"/>
  <c r="AA199" i="1" s="1"/>
  <c r="K200" i="1"/>
  <c r="AA200" i="1" s="1"/>
  <c r="K201" i="1"/>
  <c r="AA201" i="1" s="1"/>
  <c r="K202" i="1"/>
  <c r="AA202" i="1" s="1"/>
  <c r="K203" i="1"/>
  <c r="AA203" i="1" s="1"/>
  <c r="K204" i="1"/>
  <c r="AA204" i="1" s="1"/>
  <c r="K205" i="1"/>
  <c r="AA205" i="1" s="1"/>
  <c r="K206" i="1"/>
  <c r="AA206" i="1" s="1"/>
  <c r="K207" i="1"/>
  <c r="AA207" i="1" s="1"/>
  <c r="K208" i="1"/>
  <c r="AA208" i="1" s="1"/>
  <c r="K209" i="1"/>
  <c r="AA209" i="1" s="1"/>
  <c r="K210" i="1"/>
  <c r="AA210" i="1" s="1"/>
  <c r="K211" i="1"/>
  <c r="AA211" i="1" s="1"/>
  <c r="K212" i="1"/>
  <c r="AA212" i="1" s="1"/>
  <c r="K213" i="1"/>
  <c r="AA213" i="1" s="1"/>
  <c r="K214" i="1"/>
  <c r="AA214" i="1" s="1"/>
  <c r="K215" i="1"/>
  <c r="AA215" i="1" s="1"/>
  <c r="K216" i="1"/>
  <c r="AA216" i="1" s="1"/>
  <c r="K217" i="1"/>
  <c r="AA217" i="1" s="1"/>
  <c r="K218" i="1"/>
  <c r="AA218" i="1" s="1"/>
  <c r="K219" i="1"/>
  <c r="AA219" i="1" s="1"/>
  <c r="K220" i="1"/>
  <c r="AA220" i="1" s="1"/>
  <c r="K221" i="1"/>
  <c r="AA221" i="1" s="1"/>
  <c r="K222" i="1"/>
  <c r="AA222" i="1" s="1"/>
  <c r="K223" i="1"/>
  <c r="AA223" i="1" s="1"/>
  <c r="K224" i="1"/>
  <c r="AA224" i="1" s="1"/>
  <c r="K225" i="1"/>
  <c r="AA225" i="1" s="1"/>
  <c r="K226" i="1"/>
  <c r="AA226" i="1" s="1"/>
  <c r="K227" i="1"/>
  <c r="AA227" i="1" s="1"/>
  <c r="K228" i="1"/>
  <c r="AA228" i="1" s="1"/>
  <c r="K229" i="1"/>
  <c r="AA229" i="1" s="1"/>
  <c r="K230" i="1"/>
  <c r="AA230" i="1" s="1"/>
  <c r="K231" i="1"/>
  <c r="AA231" i="1" s="1"/>
  <c r="K232" i="1"/>
  <c r="AA232" i="1" s="1"/>
  <c r="K233" i="1"/>
  <c r="AA233" i="1" s="1"/>
  <c r="K234" i="1"/>
  <c r="AA234" i="1" s="1"/>
  <c r="K235" i="1"/>
  <c r="AA235" i="1" s="1"/>
  <c r="K236" i="1"/>
  <c r="AA236" i="1" s="1"/>
  <c r="K237" i="1"/>
  <c r="AA237" i="1" s="1"/>
  <c r="K238" i="1"/>
  <c r="AA238" i="1" s="1"/>
  <c r="K239" i="1"/>
  <c r="AA239" i="1" s="1"/>
  <c r="K240" i="1"/>
  <c r="AA240" i="1" s="1"/>
  <c r="K241" i="1"/>
  <c r="AA241" i="1" s="1"/>
  <c r="K242" i="1"/>
  <c r="AA242" i="1" s="1"/>
  <c r="K243" i="1"/>
  <c r="AA243" i="1" s="1"/>
  <c r="K244" i="1"/>
  <c r="AA244" i="1" s="1"/>
  <c r="K245" i="1"/>
  <c r="AA245" i="1" s="1"/>
  <c r="K246" i="1"/>
  <c r="AA246" i="1" s="1"/>
  <c r="K247" i="1"/>
  <c r="AA247" i="1" s="1"/>
  <c r="K248" i="1"/>
  <c r="AA248" i="1" s="1"/>
  <c r="K249" i="1"/>
  <c r="AA249" i="1" s="1"/>
  <c r="K250" i="1"/>
  <c r="AA250" i="1" s="1"/>
  <c r="K251" i="1"/>
  <c r="AA251" i="1" s="1"/>
  <c r="K252" i="1"/>
  <c r="AA252" i="1" s="1"/>
  <c r="K253" i="1"/>
  <c r="AA253" i="1" s="1"/>
  <c r="K254" i="1"/>
  <c r="AA254" i="1" s="1"/>
  <c r="K255" i="1"/>
  <c r="AA255" i="1" s="1"/>
  <c r="K256" i="1"/>
  <c r="AA256" i="1" s="1"/>
  <c r="K257" i="1"/>
  <c r="AA257" i="1" s="1"/>
  <c r="K258" i="1"/>
  <c r="AA258" i="1" s="1"/>
  <c r="K259" i="1"/>
  <c r="AA259" i="1" s="1"/>
  <c r="K260" i="1"/>
  <c r="AA260" i="1" s="1"/>
  <c r="K261" i="1"/>
  <c r="AA261" i="1" s="1"/>
  <c r="K262" i="1"/>
  <c r="AA262" i="1" s="1"/>
  <c r="K263" i="1"/>
  <c r="AA263" i="1" s="1"/>
  <c r="K264" i="1"/>
  <c r="AA264" i="1" s="1"/>
  <c r="K265" i="1"/>
  <c r="AA265" i="1" s="1"/>
  <c r="K266" i="1"/>
  <c r="AA266" i="1" s="1"/>
  <c r="K267" i="1"/>
  <c r="AA267" i="1" s="1"/>
  <c r="K268" i="1"/>
  <c r="AA268" i="1" s="1"/>
  <c r="K269" i="1"/>
  <c r="AA269" i="1" s="1"/>
  <c r="K270" i="1"/>
  <c r="AA270" i="1" s="1"/>
  <c r="K271" i="1"/>
  <c r="AA271" i="1" s="1"/>
  <c r="K272" i="1"/>
  <c r="AA272" i="1" s="1"/>
  <c r="K273" i="1"/>
  <c r="AA273" i="1" s="1"/>
  <c r="K274" i="1"/>
  <c r="AA274" i="1" s="1"/>
  <c r="K275" i="1"/>
  <c r="AA275" i="1" s="1"/>
  <c r="K276" i="1"/>
  <c r="AA276" i="1" s="1"/>
  <c r="K277" i="1"/>
  <c r="AA277" i="1" s="1"/>
  <c r="K278" i="1"/>
  <c r="AA278" i="1" s="1"/>
  <c r="K279" i="1"/>
  <c r="AA279" i="1" s="1"/>
  <c r="K280" i="1"/>
  <c r="AA280" i="1" s="1"/>
  <c r="K281" i="1"/>
  <c r="AA281" i="1" s="1"/>
  <c r="K282" i="1"/>
  <c r="AA282" i="1" s="1"/>
  <c r="K283" i="1"/>
  <c r="AA283" i="1" s="1"/>
  <c r="K2" i="1"/>
  <c r="AE3" i="8"/>
  <c r="AE4" i="8"/>
  <c r="AE5" i="8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E33" i="8"/>
  <c r="AE34" i="8"/>
  <c r="AE35" i="8"/>
  <c r="AE36" i="8"/>
  <c r="AE37" i="8"/>
  <c r="AE38" i="8"/>
  <c r="AE39" i="8"/>
  <c r="AE40" i="8"/>
  <c r="AE41" i="8"/>
  <c r="AE42" i="8"/>
  <c r="AE43" i="8"/>
  <c r="AE44" i="8"/>
  <c r="AE45" i="8"/>
  <c r="AE46" i="8"/>
  <c r="AE47" i="8"/>
  <c r="AE48" i="8"/>
  <c r="AE49" i="8"/>
  <c r="AE50" i="8"/>
  <c r="AE51" i="8"/>
  <c r="AE52" i="8"/>
  <c r="AE53" i="8"/>
  <c r="AE54" i="8"/>
  <c r="AE55" i="8"/>
  <c r="AE56" i="8"/>
  <c r="AE57" i="8"/>
  <c r="AE58" i="8"/>
  <c r="AE59" i="8"/>
  <c r="AE60" i="8"/>
  <c r="AE61" i="8"/>
  <c r="AE62" i="8"/>
  <c r="AE63" i="8"/>
  <c r="AE64" i="8"/>
  <c r="AE65" i="8"/>
  <c r="AE66" i="8"/>
  <c r="AE67" i="8"/>
  <c r="AE68" i="8"/>
  <c r="AE69" i="8"/>
  <c r="AE70" i="8"/>
  <c r="AE71" i="8"/>
  <c r="AE72" i="8"/>
  <c r="AE73" i="8"/>
  <c r="AE74" i="8"/>
  <c r="AE75" i="8"/>
  <c r="AE76" i="8"/>
  <c r="AE77" i="8"/>
  <c r="AE78" i="8"/>
  <c r="AE79" i="8"/>
  <c r="AE80" i="8"/>
  <c r="AE81" i="8"/>
  <c r="AE82" i="8"/>
  <c r="AE83" i="8"/>
  <c r="AE84" i="8"/>
  <c r="AE85" i="8"/>
  <c r="AE86" i="8"/>
  <c r="AE87" i="8"/>
  <c r="AE88" i="8"/>
  <c r="AE89" i="8"/>
  <c r="AE90" i="8"/>
  <c r="AE91" i="8"/>
  <c r="AE92" i="8"/>
  <c r="AE93" i="8"/>
  <c r="AE94" i="8"/>
  <c r="AE95" i="8"/>
  <c r="AE96" i="8"/>
  <c r="AE97" i="8"/>
  <c r="AE98" i="8"/>
  <c r="AE99" i="8"/>
  <c r="AE100" i="8"/>
  <c r="AE101" i="8"/>
  <c r="AE102" i="8"/>
  <c r="AE103" i="8"/>
  <c r="AE104" i="8"/>
  <c r="AE105" i="8"/>
  <c r="AE106" i="8"/>
  <c r="AE107" i="8"/>
  <c r="AE108" i="8"/>
  <c r="AE109" i="8"/>
  <c r="AE110" i="8"/>
  <c r="AE111" i="8"/>
  <c r="AE112" i="8"/>
  <c r="AE113" i="8"/>
  <c r="AE114" i="8"/>
  <c r="AE115" i="8"/>
  <c r="AE116" i="8"/>
  <c r="AE117" i="8"/>
  <c r="AE118" i="8"/>
  <c r="AE119" i="8"/>
  <c r="AE120" i="8"/>
  <c r="AE121" i="8"/>
  <c r="AE122" i="8"/>
  <c r="AE123" i="8"/>
  <c r="AE124" i="8"/>
  <c r="AE125" i="8"/>
  <c r="AE126" i="8"/>
  <c r="AE127" i="8"/>
  <c r="AE128" i="8"/>
  <c r="AE129" i="8"/>
  <c r="AE130" i="8"/>
  <c r="AE131" i="8"/>
  <c r="AE132" i="8"/>
  <c r="AE133" i="8"/>
  <c r="AE134" i="8"/>
  <c r="AE135" i="8"/>
  <c r="AE136" i="8"/>
  <c r="AE137" i="8"/>
  <c r="AE138" i="8"/>
  <c r="AE139" i="8"/>
  <c r="AE140" i="8"/>
  <c r="AE141" i="8"/>
  <c r="AE142" i="8"/>
  <c r="AE143" i="8"/>
  <c r="AE144" i="8"/>
  <c r="AE145" i="8"/>
  <c r="AE146" i="8"/>
  <c r="AE147" i="8"/>
  <c r="AE148" i="8"/>
  <c r="AE149" i="8"/>
  <c r="AE150" i="8"/>
  <c r="AE151" i="8"/>
  <c r="AE152" i="8"/>
  <c r="AE153" i="8"/>
  <c r="AE154" i="8"/>
  <c r="AE155" i="8"/>
  <c r="AE156" i="8"/>
  <c r="AE157" i="8"/>
  <c r="AE158" i="8"/>
  <c r="AE159" i="8"/>
  <c r="AE160" i="8"/>
  <c r="AE161" i="8"/>
  <c r="AE162" i="8"/>
  <c r="AE163" i="8"/>
  <c r="AE164" i="8"/>
  <c r="AE165" i="8"/>
  <c r="AE166" i="8"/>
  <c r="AE167" i="8"/>
  <c r="AE168" i="8"/>
  <c r="AE169" i="8"/>
  <c r="AE170" i="8"/>
  <c r="AE171" i="8"/>
  <c r="AE172" i="8"/>
  <c r="AE173" i="8"/>
  <c r="AE174" i="8"/>
  <c r="AE175" i="8"/>
  <c r="AE176" i="8"/>
  <c r="AE177" i="8"/>
  <c r="AE178" i="8"/>
  <c r="AE179" i="8"/>
  <c r="AE180" i="8"/>
  <c r="AE181" i="8"/>
  <c r="AE182" i="8"/>
  <c r="AE183" i="8"/>
  <c r="AE184" i="8"/>
  <c r="AE185" i="8"/>
  <c r="AE186" i="8"/>
  <c r="AE187" i="8"/>
  <c r="AE188" i="8"/>
  <c r="AE189" i="8"/>
  <c r="AE190" i="8"/>
  <c r="AE191" i="8"/>
  <c r="AE192" i="8"/>
  <c r="AE193" i="8"/>
  <c r="AE194" i="8"/>
  <c r="AE195" i="8"/>
  <c r="AE196" i="8"/>
  <c r="AE197" i="8"/>
  <c r="AE198" i="8"/>
  <c r="AE199" i="8"/>
  <c r="AE200" i="8"/>
  <c r="AE201" i="8"/>
  <c r="AE202" i="8"/>
  <c r="AE203" i="8"/>
  <c r="AE204" i="8"/>
  <c r="AE205" i="8"/>
  <c r="AE206" i="8"/>
  <c r="AE207" i="8"/>
  <c r="AE208" i="8"/>
  <c r="AE209" i="8"/>
  <c r="AE210" i="8"/>
  <c r="AE211" i="8"/>
  <c r="AE212" i="8"/>
  <c r="AE213" i="8"/>
  <c r="AE214" i="8"/>
  <c r="AE215" i="8"/>
  <c r="AE216" i="8"/>
  <c r="AE217" i="8"/>
  <c r="AE218" i="8"/>
  <c r="AE219" i="8"/>
  <c r="AE220" i="8"/>
  <c r="AE221" i="8"/>
  <c r="AE222" i="8"/>
  <c r="AE223" i="8"/>
  <c r="AE224" i="8"/>
  <c r="AE225" i="8"/>
  <c r="AE226" i="8"/>
  <c r="AE227" i="8"/>
  <c r="AE228" i="8"/>
  <c r="AE229" i="8"/>
  <c r="AE230" i="8"/>
  <c r="AE231" i="8"/>
  <c r="AE232" i="8"/>
  <c r="AE233" i="8"/>
  <c r="AE234" i="8"/>
  <c r="AE235" i="8"/>
  <c r="AE236" i="8"/>
  <c r="AE237" i="8"/>
  <c r="AE238" i="8"/>
  <c r="AE239" i="8"/>
  <c r="AE240" i="8"/>
  <c r="AE241" i="8"/>
  <c r="AE242" i="8"/>
  <c r="AE243" i="8"/>
  <c r="AE244" i="8"/>
  <c r="AE245" i="8"/>
  <c r="AE246" i="8"/>
  <c r="AE247" i="8"/>
  <c r="AE248" i="8"/>
  <c r="AE249" i="8"/>
  <c r="AE250" i="8"/>
  <c r="AE251" i="8"/>
  <c r="AE252" i="8"/>
  <c r="AE253" i="8"/>
  <c r="AE254" i="8"/>
  <c r="AE255" i="8"/>
  <c r="AE256" i="8"/>
  <c r="AE257" i="8"/>
  <c r="AE258" i="8"/>
  <c r="AE259" i="8"/>
  <c r="AE260" i="8"/>
  <c r="AE261" i="8"/>
  <c r="AE262" i="8"/>
  <c r="AE263" i="8"/>
  <c r="AE264" i="8"/>
  <c r="AE265" i="8"/>
  <c r="AE266" i="8"/>
  <c r="AE267" i="8"/>
  <c r="AE268" i="8"/>
  <c r="AE269" i="8"/>
  <c r="AE270" i="8"/>
  <c r="AE271" i="8"/>
  <c r="AE272" i="8"/>
  <c r="AE273" i="8"/>
  <c r="AE274" i="8"/>
  <c r="AE275" i="8"/>
  <c r="AE276" i="8"/>
  <c r="AE277" i="8"/>
  <c r="AE278" i="8"/>
  <c r="AE279" i="8"/>
  <c r="AE280" i="8"/>
  <c r="AE281" i="8"/>
  <c r="AE282" i="8"/>
  <c r="AE283" i="8"/>
  <c r="AE284" i="8"/>
  <c r="AE285" i="8"/>
  <c r="AE286" i="8"/>
  <c r="AE287" i="8"/>
  <c r="AE288" i="8"/>
  <c r="AE289" i="8"/>
  <c r="AE290" i="8"/>
  <c r="AE291" i="8"/>
  <c r="AE292" i="8"/>
  <c r="AE293" i="8"/>
  <c r="AE294" i="8"/>
  <c r="AE295" i="8"/>
  <c r="AE296" i="8"/>
  <c r="AE297" i="8"/>
  <c r="AE298" i="8"/>
  <c r="AE299" i="8"/>
  <c r="AE300" i="8"/>
  <c r="AE301" i="8"/>
  <c r="AE302" i="8"/>
  <c r="AE303" i="8"/>
  <c r="AE304" i="8"/>
  <c r="AE305" i="8"/>
  <c r="AE306" i="8"/>
  <c r="AE307" i="8"/>
  <c r="AE308" i="8"/>
  <c r="AE309" i="8"/>
  <c r="AE310" i="8"/>
  <c r="AE311" i="8"/>
  <c r="AE312" i="8"/>
  <c r="AE313" i="8"/>
  <c r="AE314" i="8"/>
  <c r="AE315" i="8"/>
  <c r="AE316" i="8"/>
  <c r="AE317" i="8"/>
  <c r="AE318" i="8"/>
  <c r="AE319" i="8"/>
  <c r="AE320" i="8"/>
  <c r="AE321" i="8"/>
  <c r="AE322" i="8"/>
  <c r="AE323" i="8"/>
  <c r="AE324" i="8"/>
  <c r="AE325" i="8"/>
  <c r="AE326" i="8"/>
  <c r="AE327" i="8"/>
  <c r="AE328" i="8"/>
  <c r="AE329" i="8"/>
  <c r="AE330" i="8"/>
  <c r="AE331" i="8"/>
  <c r="AE332" i="8"/>
  <c r="AE333" i="8"/>
  <c r="AE334" i="8"/>
  <c r="AE335" i="8"/>
  <c r="AE336" i="8"/>
  <c r="AE337" i="8"/>
  <c r="AE338" i="8"/>
  <c r="AE339" i="8"/>
  <c r="AE340" i="8"/>
  <c r="AE341" i="8"/>
  <c r="AE342" i="8"/>
  <c r="AE343" i="8"/>
  <c r="AE344" i="8"/>
  <c r="AE345" i="8"/>
  <c r="AE346" i="8"/>
  <c r="AE347" i="8"/>
  <c r="AE348" i="8"/>
  <c r="AE349" i="8"/>
  <c r="AE350" i="8"/>
  <c r="AE351" i="8"/>
  <c r="AE352" i="8"/>
  <c r="AE353" i="8"/>
  <c r="AE354" i="8"/>
  <c r="AE355" i="8"/>
  <c r="AE356" i="8"/>
  <c r="AE357" i="8"/>
  <c r="AE358" i="8"/>
  <c r="AE359" i="8"/>
  <c r="AE360" i="8"/>
  <c r="AE361" i="8"/>
  <c r="AE362" i="8"/>
  <c r="AE363" i="8"/>
  <c r="AE364" i="8"/>
  <c r="AE365" i="8"/>
  <c r="AE366" i="8"/>
  <c r="AE367" i="8"/>
  <c r="AE368" i="8"/>
  <c r="AE369" i="8"/>
  <c r="AE370" i="8"/>
  <c r="AE371" i="8"/>
  <c r="AE372" i="8"/>
  <c r="AE373" i="8"/>
  <c r="AE374" i="8"/>
  <c r="AE375" i="8"/>
  <c r="AE376" i="8"/>
  <c r="AE377" i="8"/>
  <c r="AE378" i="8"/>
  <c r="AE379" i="8"/>
  <c r="AE380" i="8"/>
  <c r="AE381" i="8"/>
  <c r="AE382" i="8"/>
  <c r="AE383" i="8"/>
  <c r="AE384" i="8"/>
  <c r="AE385" i="8"/>
  <c r="AE386" i="8"/>
  <c r="AE387" i="8"/>
  <c r="AE388" i="8"/>
  <c r="AE389" i="8"/>
  <c r="AE390" i="8"/>
  <c r="AE391" i="8"/>
  <c r="AE392" i="8"/>
  <c r="AE393" i="8"/>
  <c r="AE394" i="8"/>
  <c r="AE395" i="8"/>
  <c r="AE396" i="8"/>
  <c r="AE397" i="8"/>
  <c r="AE398" i="8"/>
  <c r="AE399" i="8"/>
  <c r="AE400" i="8"/>
  <c r="AE401" i="8"/>
  <c r="AE402" i="8"/>
  <c r="AE403" i="8"/>
  <c r="AE404" i="8"/>
  <c r="AE405" i="8"/>
  <c r="AE406" i="8"/>
  <c r="AE407" i="8"/>
  <c r="AE408" i="8"/>
  <c r="AE409" i="8"/>
  <c r="AE410" i="8"/>
  <c r="AE411" i="8"/>
  <c r="AE412" i="8"/>
  <c r="AE413" i="8"/>
  <c r="AE414" i="8"/>
  <c r="AE415" i="8"/>
  <c r="AE416" i="8"/>
  <c r="AE417" i="8"/>
  <c r="AE418" i="8"/>
  <c r="AE419" i="8"/>
  <c r="AE420" i="8"/>
  <c r="AE421" i="8"/>
  <c r="AE422" i="8"/>
  <c r="AE423" i="8"/>
  <c r="AE424" i="8"/>
  <c r="AE425" i="8"/>
  <c r="AE426" i="8"/>
  <c r="AE427" i="8"/>
  <c r="AE428" i="8"/>
  <c r="AE429" i="8"/>
  <c r="AE430" i="8"/>
  <c r="AE431" i="8"/>
  <c r="AE432" i="8"/>
  <c r="AE433" i="8"/>
  <c r="AE434" i="8"/>
  <c r="AE435" i="8"/>
  <c r="AE436" i="8"/>
  <c r="AE437" i="8"/>
  <c r="AE438" i="8"/>
  <c r="AE439" i="8"/>
  <c r="AE440" i="8"/>
  <c r="AE441" i="8"/>
  <c r="AE442" i="8"/>
  <c r="AE443" i="8"/>
  <c r="AE444" i="8"/>
  <c r="AE445" i="8"/>
  <c r="AE446" i="8"/>
  <c r="AE447" i="8"/>
  <c r="AE448" i="8"/>
  <c r="AE449" i="8"/>
  <c r="AE450" i="8"/>
  <c r="AE451" i="8"/>
  <c r="AE452" i="8"/>
  <c r="AE453" i="8"/>
  <c r="AE454" i="8"/>
  <c r="AE455" i="8"/>
  <c r="AE456" i="8"/>
  <c r="AE457" i="8"/>
  <c r="AE458" i="8"/>
  <c r="AE459" i="8"/>
  <c r="AE460" i="8"/>
  <c r="AE461" i="8"/>
  <c r="AE462" i="8"/>
  <c r="AE463" i="8"/>
  <c r="AE464" i="8"/>
  <c r="AE465" i="8"/>
  <c r="AE466" i="8"/>
  <c r="AE467" i="8"/>
  <c r="AE468" i="8"/>
  <c r="AE469" i="8"/>
  <c r="AE470" i="8"/>
  <c r="AE471" i="8"/>
  <c r="AE472" i="8"/>
  <c r="AE473" i="8"/>
  <c r="AE474" i="8"/>
  <c r="AE475" i="8"/>
  <c r="AE476" i="8"/>
  <c r="AE477" i="8"/>
  <c r="AE478" i="8"/>
  <c r="AE479" i="8"/>
  <c r="AE480" i="8"/>
  <c r="AE481" i="8"/>
  <c r="AE482" i="8"/>
  <c r="AE483" i="8"/>
  <c r="AE484" i="8"/>
  <c r="AE485" i="8"/>
  <c r="AE486" i="8"/>
  <c r="AE487" i="8"/>
  <c r="AE488" i="8"/>
  <c r="AE489" i="8"/>
  <c r="AE490" i="8"/>
  <c r="AE491" i="8"/>
  <c r="AE492" i="8"/>
  <c r="AE493" i="8"/>
  <c r="AE494" i="8"/>
  <c r="AE495" i="8"/>
  <c r="AE496" i="8"/>
  <c r="AE497" i="8"/>
  <c r="AE498" i="8"/>
  <c r="AE499" i="8"/>
  <c r="AE500" i="8"/>
  <c r="AE501" i="8"/>
  <c r="AE502" i="8"/>
  <c r="AE503" i="8"/>
  <c r="AE504" i="8"/>
  <c r="AE505" i="8"/>
  <c r="AE506" i="8"/>
  <c r="AE507" i="8"/>
  <c r="AE508" i="8"/>
  <c r="AE509" i="8"/>
  <c r="AE510" i="8"/>
  <c r="AE511" i="8"/>
  <c r="AE512" i="8"/>
  <c r="AE513" i="8"/>
  <c r="AE514" i="8"/>
  <c r="AE515" i="8"/>
  <c r="AE516" i="8"/>
  <c r="AE517" i="8"/>
  <c r="AE518" i="8"/>
  <c r="AE519" i="8"/>
  <c r="AE520" i="8"/>
  <c r="AE521" i="8"/>
  <c r="AE522" i="8"/>
  <c r="AE523" i="8"/>
  <c r="AE524" i="8"/>
  <c r="AE525" i="8"/>
  <c r="AE526" i="8"/>
  <c r="AE527" i="8"/>
  <c r="AE528" i="8"/>
  <c r="AE529" i="8"/>
  <c r="AE530" i="8"/>
  <c r="AE531" i="8"/>
  <c r="AE532" i="8"/>
  <c r="AE533" i="8"/>
  <c r="AE534" i="8"/>
  <c r="AE535" i="8"/>
  <c r="AE536" i="8"/>
  <c r="AE537" i="8"/>
  <c r="AE538" i="8"/>
  <c r="AE539" i="8"/>
  <c r="AE540" i="8"/>
  <c r="AE541" i="8"/>
  <c r="AE542" i="8"/>
  <c r="AE543" i="8"/>
  <c r="AE544" i="8"/>
  <c r="AE545" i="8"/>
  <c r="AE546" i="8"/>
  <c r="AE547" i="8"/>
  <c r="AE548" i="8"/>
  <c r="AE549" i="8"/>
  <c r="AE550" i="8"/>
  <c r="AE551" i="8"/>
  <c r="AE552" i="8"/>
  <c r="AE553" i="8"/>
  <c r="AE554" i="8"/>
  <c r="AE555" i="8"/>
  <c r="AE556" i="8"/>
  <c r="AE557" i="8"/>
  <c r="AE558" i="8"/>
  <c r="AE559" i="8"/>
  <c r="AE560" i="8"/>
  <c r="AE561" i="8"/>
  <c r="AE562" i="8"/>
  <c r="AE563" i="8"/>
  <c r="AE564" i="8"/>
  <c r="AE565" i="8"/>
  <c r="AE566" i="8"/>
  <c r="AE567" i="8"/>
  <c r="AE568" i="8"/>
  <c r="AE569" i="8"/>
  <c r="AE570" i="8"/>
  <c r="AE571" i="8"/>
  <c r="AE572" i="8"/>
  <c r="AE573" i="8"/>
  <c r="AE574" i="8"/>
  <c r="AE575" i="8"/>
  <c r="AE576" i="8"/>
  <c r="AE577" i="8"/>
  <c r="AE578" i="8"/>
  <c r="AE579" i="8"/>
  <c r="AE580" i="8"/>
  <c r="AE581" i="8"/>
  <c r="AE582" i="8"/>
  <c r="AE583" i="8"/>
  <c r="AE584" i="8"/>
  <c r="AE585" i="8"/>
  <c r="AE586" i="8"/>
  <c r="AE587" i="8"/>
  <c r="AE588" i="8"/>
  <c r="AE589" i="8"/>
  <c r="AE590" i="8"/>
  <c r="AE591" i="8"/>
  <c r="AE592" i="8"/>
  <c r="AE593" i="8"/>
  <c r="AE594" i="8"/>
  <c r="AE595" i="8"/>
  <c r="AE596" i="8"/>
  <c r="AE597" i="8"/>
  <c r="AE598" i="8"/>
  <c r="AE599" i="8"/>
  <c r="AE600" i="8"/>
  <c r="AE601" i="8"/>
  <c r="AE602" i="8"/>
  <c r="AE603" i="8"/>
  <c r="AE604" i="8"/>
  <c r="AE605" i="8"/>
  <c r="AE606" i="8"/>
  <c r="AE607" i="8"/>
  <c r="AE608" i="8"/>
  <c r="AE609" i="8"/>
  <c r="AE610" i="8"/>
  <c r="AE611" i="8"/>
  <c r="AE612" i="8"/>
  <c r="AE613" i="8"/>
  <c r="AE614" i="8"/>
  <c r="AE615" i="8"/>
  <c r="AE616" i="8"/>
  <c r="AE617" i="8"/>
  <c r="AE618" i="8"/>
  <c r="AE619" i="8"/>
  <c r="AE620" i="8"/>
  <c r="AE621" i="8"/>
  <c r="AE622" i="8"/>
  <c r="AE623" i="8"/>
  <c r="AE624" i="8"/>
  <c r="AE625" i="8"/>
  <c r="AE626" i="8"/>
  <c r="AE627" i="8"/>
  <c r="AE628" i="8"/>
  <c r="AE629" i="8"/>
  <c r="AE630" i="8"/>
  <c r="AE631" i="8"/>
  <c r="AE632" i="8"/>
  <c r="AE633" i="8"/>
  <c r="AE634" i="8"/>
  <c r="AE635" i="8"/>
  <c r="AE636" i="8"/>
  <c r="AE637" i="8"/>
  <c r="AE638" i="8"/>
  <c r="AE639" i="8"/>
  <c r="AE640" i="8"/>
  <c r="AE641" i="8"/>
  <c r="AE642" i="8"/>
  <c r="AE643" i="8"/>
  <c r="AE644" i="8"/>
  <c r="AE645" i="8"/>
  <c r="AE646" i="8"/>
  <c r="AE647" i="8"/>
  <c r="AE648" i="8"/>
  <c r="AE649" i="8"/>
  <c r="AE650" i="8"/>
  <c r="AE651" i="8"/>
  <c r="AE652" i="8"/>
  <c r="AE653" i="8"/>
  <c r="AE654" i="8"/>
  <c r="AE655" i="8"/>
  <c r="AE656" i="8"/>
  <c r="AE657" i="8"/>
  <c r="AE658" i="8"/>
  <c r="AE659" i="8"/>
  <c r="AE660" i="8"/>
  <c r="AE661" i="8"/>
  <c r="AE662" i="8"/>
  <c r="AE663" i="8"/>
  <c r="AE664" i="8"/>
  <c r="AE665" i="8"/>
  <c r="AE666" i="8"/>
  <c r="AE667" i="8"/>
  <c r="AE668" i="8"/>
  <c r="AE669" i="8"/>
  <c r="AE670" i="8"/>
  <c r="AE671" i="8"/>
  <c r="AE672" i="8"/>
  <c r="AE673" i="8"/>
  <c r="AE674" i="8"/>
  <c r="AE675" i="8"/>
  <c r="AE676" i="8"/>
  <c r="AE677" i="8"/>
  <c r="AE678" i="8"/>
  <c r="AE679" i="8"/>
  <c r="AE680" i="8"/>
  <c r="AE681" i="8"/>
  <c r="AE682" i="8"/>
  <c r="AE683" i="8"/>
  <c r="AE684" i="8"/>
  <c r="AE685" i="8"/>
  <c r="AE686" i="8"/>
  <c r="AE687" i="8"/>
  <c r="AE688" i="8"/>
  <c r="AE689" i="8"/>
  <c r="AE690" i="8"/>
  <c r="AE691" i="8"/>
  <c r="AE692" i="8"/>
  <c r="AE693" i="8"/>
  <c r="AE694" i="8"/>
  <c r="AE695" i="8"/>
  <c r="AE696" i="8"/>
  <c r="AE697" i="8"/>
  <c r="AE698" i="8"/>
  <c r="AE699" i="8"/>
  <c r="AE700" i="8"/>
  <c r="AE701" i="8"/>
  <c r="AE702" i="8"/>
  <c r="AE703" i="8"/>
  <c r="AE704" i="8"/>
  <c r="AE705" i="8"/>
  <c r="AE706" i="8"/>
  <c r="AE707" i="8"/>
  <c r="AE708" i="8"/>
  <c r="AE709" i="8"/>
  <c r="AE710" i="8"/>
  <c r="AE711" i="8"/>
  <c r="AE712" i="8"/>
  <c r="AE713" i="8"/>
  <c r="AE714" i="8"/>
  <c r="AE715" i="8"/>
  <c r="AE716" i="8"/>
  <c r="AE717" i="8"/>
  <c r="AE718" i="8"/>
  <c r="AE719" i="8"/>
  <c r="AE720" i="8"/>
  <c r="AE721" i="8"/>
  <c r="AE722" i="8"/>
  <c r="AE723" i="8"/>
  <c r="AE724" i="8"/>
  <c r="AE725" i="8"/>
  <c r="AE726" i="8"/>
  <c r="AE727" i="8"/>
  <c r="AE728" i="8"/>
  <c r="AE729" i="8"/>
  <c r="AE730" i="8"/>
  <c r="AE731" i="8"/>
  <c r="AE732" i="8"/>
  <c r="AE733" i="8"/>
  <c r="AE734" i="8"/>
  <c r="AE735" i="8"/>
  <c r="AE736" i="8"/>
  <c r="AE737" i="8"/>
  <c r="AE738" i="8"/>
  <c r="AE739" i="8"/>
  <c r="AE740" i="8"/>
  <c r="AE741" i="8"/>
  <c r="AE742" i="8"/>
  <c r="AE743" i="8"/>
  <c r="AE744" i="8"/>
  <c r="AE745" i="8"/>
  <c r="AE746" i="8"/>
  <c r="AE747" i="8"/>
  <c r="AE748" i="8"/>
  <c r="AE749" i="8"/>
  <c r="AE750" i="8"/>
  <c r="AE751" i="8"/>
  <c r="AE752" i="8"/>
  <c r="AE753" i="8"/>
  <c r="AE754" i="8"/>
  <c r="AE755" i="8"/>
  <c r="AE756" i="8"/>
  <c r="AE757" i="8"/>
  <c r="AE758" i="8"/>
  <c r="AE759" i="8"/>
  <c r="AE760" i="8"/>
  <c r="AE761" i="8"/>
  <c r="AE762" i="8"/>
  <c r="AE763" i="8"/>
  <c r="AE764" i="8"/>
  <c r="AE765" i="8"/>
  <c r="AE766" i="8"/>
  <c r="AE767" i="8"/>
  <c r="AE768" i="8"/>
  <c r="AE769" i="8"/>
  <c r="AE770" i="8"/>
  <c r="AE771" i="8"/>
  <c r="AE772" i="8"/>
  <c r="AE773" i="8"/>
  <c r="AE774" i="8"/>
  <c r="AE775" i="8"/>
  <c r="AE776" i="8"/>
  <c r="AE777" i="8"/>
  <c r="AE778" i="8"/>
  <c r="AE779" i="8"/>
  <c r="AE780" i="8"/>
  <c r="AE781" i="8"/>
  <c r="AE782" i="8"/>
  <c r="AE783" i="8"/>
  <c r="AE784" i="8"/>
  <c r="AE785" i="8"/>
  <c r="AE786" i="8"/>
  <c r="AE787" i="8"/>
  <c r="AE788" i="8"/>
  <c r="AE789" i="8"/>
  <c r="AE790" i="8"/>
  <c r="AE791" i="8"/>
  <c r="AE792" i="8"/>
  <c r="AE793" i="8"/>
  <c r="AE794" i="8"/>
  <c r="AE795" i="8"/>
  <c r="AE796" i="8"/>
  <c r="AE797" i="8"/>
  <c r="AE798" i="8"/>
  <c r="AE799" i="8"/>
  <c r="AE800" i="8"/>
  <c r="AE801" i="8"/>
  <c r="AE802" i="8"/>
  <c r="AE803" i="8"/>
  <c r="AE804" i="8"/>
  <c r="AE805" i="8"/>
  <c r="AE806" i="8"/>
  <c r="AE807" i="8"/>
  <c r="AE808" i="8"/>
  <c r="AE809" i="8"/>
  <c r="AE810" i="8"/>
  <c r="AE811" i="8"/>
  <c r="AE812" i="8"/>
  <c r="AE813" i="8"/>
  <c r="AE814" i="8"/>
  <c r="AE815" i="8"/>
  <c r="AE816" i="8"/>
  <c r="AE817" i="8"/>
  <c r="AE818" i="8"/>
  <c r="AE819" i="8"/>
  <c r="AE820" i="8"/>
  <c r="AE821" i="8"/>
  <c r="AE822" i="8"/>
  <c r="AE823" i="8"/>
  <c r="AE824" i="8"/>
  <c r="AE825" i="8"/>
  <c r="AE826" i="8"/>
  <c r="AE827" i="8"/>
  <c r="AE828" i="8"/>
  <c r="AE829" i="8"/>
  <c r="AE830" i="8"/>
  <c r="AE831" i="8"/>
  <c r="AE832" i="8"/>
  <c r="AE833" i="8"/>
  <c r="AE834" i="8"/>
  <c r="AE835" i="8"/>
  <c r="AE836" i="8"/>
  <c r="AE837" i="8"/>
  <c r="AE838" i="8"/>
  <c r="AE839" i="8"/>
  <c r="AE840" i="8"/>
  <c r="AE841" i="8"/>
  <c r="AE842" i="8"/>
  <c r="AE843" i="8"/>
  <c r="AE844" i="8"/>
  <c r="AE845" i="8"/>
  <c r="AE846" i="8"/>
  <c r="AE2" i="8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2" i="4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18" i="3"/>
  <c r="AC119" i="3"/>
  <c r="AC120" i="3"/>
  <c r="AC121" i="3"/>
  <c r="AC122" i="3"/>
  <c r="AC123" i="3"/>
  <c r="AC124" i="3"/>
  <c r="AC125" i="3"/>
  <c r="AC126" i="3"/>
  <c r="AC127" i="3"/>
  <c r="AC128" i="3"/>
  <c r="AC129" i="3"/>
  <c r="AC130" i="3"/>
  <c r="AC131" i="3"/>
  <c r="AC132" i="3"/>
  <c r="AC133" i="3"/>
  <c r="AC134" i="3"/>
  <c r="AC135" i="3"/>
  <c r="AC136" i="3"/>
  <c r="AC137" i="3"/>
  <c r="AC138" i="3"/>
  <c r="AC139" i="3"/>
  <c r="AC140" i="3"/>
  <c r="AC141" i="3"/>
  <c r="AC142" i="3"/>
  <c r="AC143" i="3"/>
  <c r="AC144" i="3"/>
  <c r="AC145" i="3"/>
  <c r="AC146" i="3"/>
  <c r="AC147" i="3"/>
  <c r="AC148" i="3"/>
  <c r="AC149" i="3"/>
  <c r="AC150" i="3"/>
  <c r="AC151" i="3"/>
  <c r="AC152" i="3"/>
  <c r="AC153" i="3"/>
  <c r="AC154" i="3"/>
  <c r="AC155" i="3"/>
  <c r="AC156" i="3"/>
  <c r="AC157" i="3"/>
  <c r="AC158" i="3"/>
  <c r="AC159" i="3"/>
  <c r="AC160" i="3"/>
  <c r="AC161" i="3"/>
  <c r="AC162" i="3"/>
  <c r="AC163" i="3"/>
  <c r="AC164" i="3"/>
  <c r="AC165" i="3"/>
  <c r="AC166" i="3"/>
  <c r="AC167" i="3"/>
  <c r="AC168" i="3"/>
  <c r="AC169" i="3"/>
  <c r="AC170" i="3"/>
  <c r="AC171" i="3"/>
  <c r="AC172" i="3"/>
  <c r="AC173" i="3"/>
  <c r="AC174" i="3"/>
  <c r="AC175" i="3"/>
  <c r="AC176" i="3"/>
  <c r="AC177" i="3"/>
  <c r="AC178" i="3"/>
  <c r="AC179" i="3"/>
  <c r="AC180" i="3"/>
  <c r="AC181" i="3"/>
  <c r="AC182" i="3"/>
  <c r="AC183" i="3"/>
  <c r="AC184" i="3"/>
  <c r="AC185" i="3"/>
  <c r="AC186" i="3"/>
  <c r="AC187" i="3"/>
  <c r="AC188" i="3"/>
  <c r="AC189" i="3"/>
  <c r="AC190" i="3"/>
  <c r="AC191" i="3"/>
  <c r="AC192" i="3"/>
  <c r="AC193" i="3"/>
  <c r="AC194" i="3"/>
  <c r="AC195" i="3"/>
  <c r="AC196" i="3"/>
  <c r="AC197" i="3"/>
  <c r="AC198" i="3"/>
  <c r="AC199" i="3"/>
  <c r="AC200" i="3"/>
  <c r="AC201" i="3"/>
  <c r="AC202" i="3"/>
  <c r="AC203" i="3"/>
  <c r="AC204" i="3"/>
  <c r="AC205" i="3"/>
  <c r="AC206" i="3"/>
  <c r="AC207" i="3"/>
  <c r="AC208" i="3"/>
  <c r="AC209" i="3"/>
  <c r="AC210" i="3"/>
  <c r="AC211" i="3"/>
  <c r="AC212" i="3"/>
  <c r="AC213" i="3"/>
  <c r="AC214" i="3"/>
  <c r="AC215" i="3"/>
  <c r="AC216" i="3"/>
  <c r="AC217" i="3"/>
  <c r="AC218" i="3"/>
  <c r="AC219" i="3"/>
  <c r="AC220" i="3"/>
  <c r="AC221" i="3"/>
  <c r="AC222" i="3"/>
  <c r="AC223" i="3"/>
  <c r="AC224" i="3"/>
  <c r="AC2" i="3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2" i="2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" i="1"/>
  <c r="AB80" i="8"/>
  <c r="AP80" i="8" s="1"/>
  <c r="AB125" i="8"/>
  <c r="AP125" i="8" s="1"/>
  <c r="AB169" i="8"/>
  <c r="AP169" i="8" s="1"/>
  <c r="AB269" i="8"/>
  <c r="AP269" i="8" s="1"/>
  <c r="AB301" i="8"/>
  <c r="AP301" i="8" s="1"/>
  <c r="AB333" i="8"/>
  <c r="AP333" i="8" s="1"/>
  <c r="AB365" i="8"/>
  <c r="AP365" i="8" s="1"/>
  <c r="AB397" i="8"/>
  <c r="AP397" i="8" s="1"/>
  <c r="AB445" i="8"/>
  <c r="AP445" i="8" s="1"/>
  <c r="AB525" i="8"/>
  <c r="AP525" i="8" s="1"/>
  <c r="AB677" i="8"/>
  <c r="AP677" i="8" s="1"/>
  <c r="AB721" i="8"/>
  <c r="AP721" i="8" s="1"/>
  <c r="Z3" i="4"/>
  <c r="Z13" i="4"/>
  <c r="Z27" i="4"/>
  <c r="Z31" i="4"/>
  <c r="Z33" i="4"/>
  <c r="Z35" i="4"/>
  <c r="Z39" i="4"/>
  <c r="Z43" i="4"/>
  <c r="Z44" i="4"/>
  <c r="Z47" i="4"/>
  <c r="Z48" i="4"/>
  <c r="Z49" i="4"/>
  <c r="Z51" i="4"/>
  <c r="Z52" i="4"/>
  <c r="Z56" i="4"/>
  <c r="Z60" i="4"/>
  <c r="Z64" i="4"/>
  <c r="Z68" i="4"/>
  <c r="Z3" i="3"/>
  <c r="Z4" i="3"/>
  <c r="Z7" i="3"/>
  <c r="Z8" i="3"/>
  <c r="Z12" i="3"/>
  <c r="Z21" i="3"/>
  <c r="Z23" i="3"/>
  <c r="Z26" i="3"/>
  <c r="Z32" i="3"/>
  <c r="Z33" i="3"/>
  <c r="Z35" i="3"/>
  <c r="Z36" i="3"/>
  <c r="Z37" i="3"/>
  <c r="Z40" i="3"/>
  <c r="Z41" i="3"/>
  <c r="Z44" i="3"/>
  <c r="Z45" i="3"/>
  <c r="Z49" i="3"/>
  <c r="Z51" i="3"/>
  <c r="Z53" i="3"/>
  <c r="Z55" i="3"/>
  <c r="Z57" i="3"/>
  <c r="Z61" i="3"/>
  <c r="Z65" i="3"/>
  <c r="Z67" i="3"/>
  <c r="Z71" i="3"/>
  <c r="Z75" i="3"/>
  <c r="Z77" i="3"/>
  <c r="Z79" i="3"/>
  <c r="Z83" i="3"/>
  <c r="Z87" i="3"/>
  <c r="Z88" i="3"/>
  <c r="Z91" i="3"/>
  <c r="Z95" i="3"/>
  <c r="Z99" i="3"/>
  <c r="Z103" i="3"/>
  <c r="Z104" i="3"/>
  <c r="Z107" i="3"/>
  <c r="Z108" i="3"/>
  <c r="Z112" i="3"/>
  <c r="Z113" i="3"/>
  <c r="Z116" i="3"/>
  <c r="Z120" i="3"/>
  <c r="Z121" i="3"/>
  <c r="Z123" i="3"/>
  <c r="Z124" i="3"/>
  <c r="Z127" i="3"/>
  <c r="Z128" i="3"/>
  <c r="Z131" i="3"/>
  <c r="Z132" i="3"/>
  <c r="Z133" i="3"/>
  <c r="Z135" i="3"/>
  <c r="Z136" i="3"/>
  <c r="Z137" i="3"/>
  <c r="Z139" i="3"/>
  <c r="Z140" i="3"/>
  <c r="Z143" i="3"/>
  <c r="Z144" i="3"/>
  <c r="Z147" i="3"/>
  <c r="Z148" i="3"/>
  <c r="Z149" i="3"/>
  <c r="Z151" i="3"/>
  <c r="Z152" i="3"/>
  <c r="Z153" i="3"/>
  <c r="Z155" i="3"/>
  <c r="Z156" i="3"/>
  <c r="Z159" i="3"/>
  <c r="Z161" i="3"/>
  <c r="Z163" i="3"/>
  <c r="Z167" i="3"/>
  <c r="Z171" i="3"/>
  <c r="Z175" i="3"/>
  <c r="Z177" i="3"/>
  <c r="Z179" i="3"/>
  <c r="Z182" i="3"/>
  <c r="Z183" i="3"/>
  <c r="Z187" i="3"/>
  <c r="Z191" i="3"/>
  <c r="Z195" i="3"/>
  <c r="Z199" i="3"/>
  <c r="Z203" i="3"/>
  <c r="Z206" i="3"/>
  <c r="Z207" i="3"/>
  <c r="Z211" i="3"/>
  <c r="Z214" i="3"/>
  <c r="Z215" i="3"/>
  <c r="Z4" i="2"/>
  <c r="Z5" i="2"/>
  <c r="Z8" i="2"/>
  <c r="Z12" i="2"/>
  <c r="Z13" i="2"/>
  <c r="Z22" i="2"/>
  <c r="Z25" i="2"/>
  <c r="Z28" i="2"/>
  <c r="Z29" i="2"/>
  <c r="Z32" i="2"/>
  <c r="Z33" i="2"/>
  <c r="Z35" i="2"/>
  <c r="Z36" i="2"/>
  <c r="Z37" i="2"/>
  <c r="Z41" i="2"/>
  <c r="Z57" i="2"/>
  <c r="Z59" i="2"/>
  <c r="Z60" i="2"/>
  <c r="Z61" i="2"/>
  <c r="Z64" i="2"/>
  <c r="Z65" i="2"/>
  <c r="Z68" i="2"/>
  <c r="Z69" i="2"/>
  <c r="Z72" i="2"/>
  <c r="Z73" i="2"/>
  <c r="Z75" i="2"/>
  <c r="Z76" i="2"/>
  <c r="Z77" i="2"/>
  <c r="Z80" i="2"/>
  <c r="Z81" i="2"/>
  <c r="Z84" i="2"/>
  <c r="Z85" i="2"/>
  <c r="Z88" i="2"/>
  <c r="Z89" i="2"/>
  <c r="Z91" i="2"/>
  <c r="Z92" i="2"/>
  <c r="Z93" i="2"/>
  <c r="Z96" i="2"/>
  <c r="Z97" i="2"/>
  <c r="Z100" i="2"/>
  <c r="Z101" i="2"/>
  <c r="Z104" i="2"/>
  <c r="Z105" i="2"/>
  <c r="Z107" i="2"/>
  <c r="Z108" i="2"/>
  <c r="Z109" i="2"/>
  <c r="Z112" i="2"/>
  <c r="Z113" i="2"/>
  <c r="Z116" i="2"/>
  <c r="Z117" i="2"/>
  <c r="Z120" i="2"/>
  <c r="Z121" i="2"/>
  <c r="Z123" i="2"/>
  <c r="Z124" i="2"/>
  <c r="Z125" i="2"/>
  <c r="Z128" i="2"/>
  <c r="Z129" i="2"/>
  <c r="Z132" i="2"/>
  <c r="Z133" i="2"/>
  <c r="Z136" i="2"/>
  <c r="Z137" i="2"/>
  <c r="Z139" i="2"/>
  <c r="Z140" i="2"/>
  <c r="Z141" i="2"/>
  <c r="Z144" i="2"/>
  <c r="Z145" i="2"/>
  <c r="Z148" i="2"/>
  <c r="Z149" i="2"/>
  <c r="Z152" i="2"/>
  <c r="Z156" i="2"/>
  <c r="Z159" i="2"/>
  <c r="Z160" i="2"/>
  <c r="Z161" i="2"/>
  <c r="Z164" i="2"/>
  <c r="Z165" i="2"/>
  <c r="Z171" i="2"/>
  <c r="Z172" i="2"/>
  <c r="Z175" i="2"/>
  <c r="Z176" i="2"/>
  <c r="Z177" i="2"/>
  <c r="Z179" i="2"/>
  <c r="Z183" i="2"/>
  <c r="Z187" i="2"/>
  <c r="Z188" i="2"/>
  <c r="Z191" i="2"/>
  <c r="Z192" i="2"/>
  <c r="Z193" i="2"/>
  <c r="Z195" i="2"/>
  <c r="Z199" i="2"/>
  <c r="Z203" i="2"/>
  <c r="Z204" i="2"/>
  <c r="Z207" i="2"/>
  <c r="Z208" i="2"/>
  <c r="Z209" i="2"/>
  <c r="Z211" i="2"/>
  <c r="Z215" i="2"/>
  <c r="Z219" i="2"/>
  <c r="Z220" i="2"/>
  <c r="Z223" i="2"/>
  <c r="Z224" i="2"/>
  <c r="Z225" i="2"/>
  <c r="Z227" i="2"/>
  <c r="Z231" i="2"/>
  <c r="Z235" i="2"/>
  <c r="Z236" i="2"/>
  <c r="Z239" i="2"/>
  <c r="Z240" i="2"/>
  <c r="Z241" i="2"/>
  <c r="Z243" i="2"/>
  <c r="Z247" i="2"/>
  <c r="Z251" i="2"/>
  <c r="Z252" i="2"/>
  <c r="Z255" i="2"/>
  <c r="Z256" i="2"/>
  <c r="Z257" i="2"/>
  <c r="Z259" i="2"/>
  <c r="Z263" i="2"/>
  <c r="Z267" i="2"/>
  <c r="Z268" i="2"/>
  <c r="Z271" i="2"/>
  <c r="Z272" i="2"/>
  <c r="Z273" i="2"/>
  <c r="Z275" i="2"/>
  <c r="Z279" i="2"/>
  <c r="Z283" i="2"/>
  <c r="Z284" i="2"/>
  <c r="Z287" i="2"/>
  <c r="Z288" i="2"/>
  <c r="Z289" i="2"/>
  <c r="Z291" i="2"/>
  <c r="Z295" i="2"/>
  <c r="Z299" i="2"/>
  <c r="Z300" i="2"/>
  <c r="Z303" i="2"/>
  <c r="Z304" i="2"/>
  <c r="Z305" i="2"/>
  <c r="Z307" i="2"/>
  <c r="Z311" i="2"/>
  <c r="Z315" i="2"/>
  <c r="Z316" i="2"/>
  <c r="Z319" i="2"/>
  <c r="Z323" i="2"/>
  <c r="Z327" i="2"/>
  <c r="Z340" i="2"/>
  <c r="K2" i="8"/>
  <c r="K2" i="4"/>
  <c r="AA2" i="4" s="1"/>
  <c r="AA11" i="3"/>
  <c r="AA15" i="3"/>
  <c r="AA49" i="3"/>
  <c r="AA53" i="3"/>
  <c r="AA70" i="3"/>
  <c r="AA88" i="3"/>
  <c r="AA137" i="3"/>
  <c r="AA149" i="3"/>
  <c r="K2" i="3"/>
  <c r="AA2" i="3" s="1"/>
  <c r="K2" i="2"/>
  <c r="AA2" i="2" s="1"/>
  <c r="AG2" i="1"/>
  <c r="AI3" i="8"/>
  <c r="AI4" i="8"/>
  <c r="AI5" i="8"/>
  <c r="AI6" i="8"/>
  <c r="AI7" i="8"/>
  <c r="AI8" i="8"/>
  <c r="AI9" i="8"/>
  <c r="AI10" i="8"/>
  <c r="AI11" i="8"/>
  <c r="AI12" i="8"/>
  <c r="AI13" i="8"/>
  <c r="AI14" i="8"/>
  <c r="AI15" i="8"/>
  <c r="AI16" i="8"/>
  <c r="AI17" i="8"/>
  <c r="AI18" i="8"/>
  <c r="AI19" i="8"/>
  <c r="AI20" i="8"/>
  <c r="AI21" i="8"/>
  <c r="AI22" i="8"/>
  <c r="AI23" i="8"/>
  <c r="AI24" i="8"/>
  <c r="AI25" i="8"/>
  <c r="AI26" i="8"/>
  <c r="AI27" i="8"/>
  <c r="AI28" i="8"/>
  <c r="AI29" i="8"/>
  <c r="AI30" i="8"/>
  <c r="AI31" i="8"/>
  <c r="AI32" i="8"/>
  <c r="AI33" i="8"/>
  <c r="AI34" i="8"/>
  <c r="AI35" i="8"/>
  <c r="AI36" i="8"/>
  <c r="AI37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3" i="8"/>
  <c r="AI54" i="8"/>
  <c r="AI55" i="8"/>
  <c r="AI56" i="8"/>
  <c r="AI57" i="8"/>
  <c r="AI58" i="8"/>
  <c r="AI59" i="8"/>
  <c r="AI60" i="8"/>
  <c r="AI61" i="8"/>
  <c r="AI62" i="8"/>
  <c r="AI63" i="8"/>
  <c r="AI64" i="8"/>
  <c r="AI65" i="8"/>
  <c r="AI66" i="8"/>
  <c r="AI67" i="8"/>
  <c r="AI68" i="8"/>
  <c r="AI69" i="8"/>
  <c r="AI70" i="8"/>
  <c r="AI71" i="8"/>
  <c r="AI72" i="8"/>
  <c r="AI73" i="8"/>
  <c r="AI74" i="8"/>
  <c r="AI75" i="8"/>
  <c r="AI76" i="8"/>
  <c r="AI77" i="8"/>
  <c r="AI78" i="8"/>
  <c r="AI79" i="8"/>
  <c r="AI80" i="8"/>
  <c r="AI81" i="8"/>
  <c r="AI82" i="8"/>
  <c r="AI83" i="8"/>
  <c r="AI84" i="8"/>
  <c r="AI85" i="8"/>
  <c r="AI86" i="8"/>
  <c r="AI87" i="8"/>
  <c r="AI88" i="8"/>
  <c r="AI89" i="8"/>
  <c r="AI90" i="8"/>
  <c r="AI91" i="8"/>
  <c r="AI92" i="8"/>
  <c r="AI93" i="8"/>
  <c r="AI94" i="8"/>
  <c r="AI95" i="8"/>
  <c r="AI96" i="8"/>
  <c r="AI97" i="8"/>
  <c r="AI98" i="8"/>
  <c r="AI99" i="8"/>
  <c r="AI100" i="8"/>
  <c r="AI101" i="8"/>
  <c r="AI102" i="8"/>
  <c r="AI103" i="8"/>
  <c r="AI104" i="8"/>
  <c r="AI105" i="8"/>
  <c r="AI106" i="8"/>
  <c r="AI107" i="8"/>
  <c r="AI108" i="8"/>
  <c r="AI109" i="8"/>
  <c r="AI110" i="8"/>
  <c r="AI111" i="8"/>
  <c r="AI112" i="8"/>
  <c r="AI113" i="8"/>
  <c r="AI114" i="8"/>
  <c r="AI115" i="8"/>
  <c r="AI116" i="8"/>
  <c r="AI117" i="8"/>
  <c r="AI118" i="8"/>
  <c r="AI119" i="8"/>
  <c r="AI120" i="8"/>
  <c r="AI121" i="8"/>
  <c r="AI122" i="8"/>
  <c r="AI123" i="8"/>
  <c r="AI124" i="8"/>
  <c r="AI125" i="8"/>
  <c r="AI126" i="8"/>
  <c r="AI127" i="8"/>
  <c r="AI128" i="8"/>
  <c r="AI129" i="8"/>
  <c r="AI130" i="8"/>
  <c r="AI131" i="8"/>
  <c r="AI132" i="8"/>
  <c r="AI133" i="8"/>
  <c r="AI134" i="8"/>
  <c r="AI135" i="8"/>
  <c r="AI136" i="8"/>
  <c r="AI137" i="8"/>
  <c r="AI138" i="8"/>
  <c r="AI139" i="8"/>
  <c r="AI140" i="8"/>
  <c r="AI141" i="8"/>
  <c r="AI142" i="8"/>
  <c r="AI143" i="8"/>
  <c r="AI144" i="8"/>
  <c r="AI145" i="8"/>
  <c r="AI146" i="8"/>
  <c r="AI147" i="8"/>
  <c r="AI148" i="8"/>
  <c r="AI149" i="8"/>
  <c r="AI150" i="8"/>
  <c r="AI151" i="8"/>
  <c r="AI152" i="8"/>
  <c r="AI153" i="8"/>
  <c r="AI154" i="8"/>
  <c r="AI155" i="8"/>
  <c r="AI156" i="8"/>
  <c r="AI157" i="8"/>
  <c r="AI158" i="8"/>
  <c r="AI159" i="8"/>
  <c r="AI160" i="8"/>
  <c r="AI161" i="8"/>
  <c r="AI162" i="8"/>
  <c r="AI163" i="8"/>
  <c r="AI164" i="8"/>
  <c r="AI165" i="8"/>
  <c r="AI166" i="8"/>
  <c r="AI167" i="8"/>
  <c r="AI168" i="8"/>
  <c r="AI169" i="8"/>
  <c r="AI170" i="8"/>
  <c r="AI171" i="8"/>
  <c r="AI172" i="8"/>
  <c r="AI173" i="8"/>
  <c r="AI174" i="8"/>
  <c r="AI175" i="8"/>
  <c r="AI176" i="8"/>
  <c r="AI177" i="8"/>
  <c r="AI178" i="8"/>
  <c r="AI179" i="8"/>
  <c r="AI180" i="8"/>
  <c r="AI181" i="8"/>
  <c r="AI182" i="8"/>
  <c r="AI183" i="8"/>
  <c r="AI184" i="8"/>
  <c r="AI185" i="8"/>
  <c r="AI186" i="8"/>
  <c r="AI187" i="8"/>
  <c r="AI188" i="8"/>
  <c r="AI189" i="8"/>
  <c r="AI190" i="8"/>
  <c r="AI191" i="8"/>
  <c r="AI192" i="8"/>
  <c r="AI193" i="8"/>
  <c r="AI194" i="8"/>
  <c r="AI195" i="8"/>
  <c r="AI196" i="8"/>
  <c r="AI197" i="8"/>
  <c r="AI198" i="8"/>
  <c r="AI199" i="8"/>
  <c r="AI200" i="8"/>
  <c r="AI201" i="8"/>
  <c r="AI202" i="8"/>
  <c r="AI203" i="8"/>
  <c r="AI204" i="8"/>
  <c r="AI205" i="8"/>
  <c r="AI206" i="8"/>
  <c r="AI207" i="8"/>
  <c r="AI208" i="8"/>
  <c r="AI209" i="8"/>
  <c r="AI210" i="8"/>
  <c r="AI211" i="8"/>
  <c r="AI212" i="8"/>
  <c r="AI213" i="8"/>
  <c r="AI214" i="8"/>
  <c r="AI215" i="8"/>
  <c r="AI216" i="8"/>
  <c r="AI217" i="8"/>
  <c r="AI218" i="8"/>
  <c r="AI219" i="8"/>
  <c r="AI220" i="8"/>
  <c r="AI221" i="8"/>
  <c r="AI222" i="8"/>
  <c r="AI223" i="8"/>
  <c r="AI224" i="8"/>
  <c r="AI225" i="8"/>
  <c r="AI226" i="8"/>
  <c r="AI227" i="8"/>
  <c r="AI228" i="8"/>
  <c r="AI229" i="8"/>
  <c r="AI230" i="8"/>
  <c r="AI231" i="8"/>
  <c r="AI232" i="8"/>
  <c r="AI233" i="8"/>
  <c r="AI234" i="8"/>
  <c r="AI235" i="8"/>
  <c r="AI236" i="8"/>
  <c r="AI237" i="8"/>
  <c r="AI238" i="8"/>
  <c r="AI239" i="8"/>
  <c r="AI240" i="8"/>
  <c r="AI241" i="8"/>
  <c r="AI242" i="8"/>
  <c r="AI243" i="8"/>
  <c r="AI244" i="8"/>
  <c r="AI245" i="8"/>
  <c r="AI246" i="8"/>
  <c r="AI247" i="8"/>
  <c r="AI248" i="8"/>
  <c r="AI249" i="8"/>
  <c r="AI250" i="8"/>
  <c r="AI251" i="8"/>
  <c r="AI252" i="8"/>
  <c r="AI253" i="8"/>
  <c r="AI254" i="8"/>
  <c r="AI255" i="8"/>
  <c r="AI256" i="8"/>
  <c r="AI257" i="8"/>
  <c r="AI258" i="8"/>
  <c r="AI259" i="8"/>
  <c r="AI260" i="8"/>
  <c r="AI261" i="8"/>
  <c r="AI262" i="8"/>
  <c r="AI263" i="8"/>
  <c r="AI264" i="8"/>
  <c r="AI265" i="8"/>
  <c r="AI266" i="8"/>
  <c r="AI267" i="8"/>
  <c r="AI268" i="8"/>
  <c r="AI269" i="8"/>
  <c r="AI270" i="8"/>
  <c r="AI271" i="8"/>
  <c r="AI272" i="8"/>
  <c r="AI273" i="8"/>
  <c r="AI274" i="8"/>
  <c r="AI275" i="8"/>
  <c r="AI276" i="8"/>
  <c r="AI277" i="8"/>
  <c r="AI278" i="8"/>
  <c r="AI279" i="8"/>
  <c r="AI280" i="8"/>
  <c r="AI281" i="8"/>
  <c r="AI282" i="8"/>
  <c r="AI283" i="8"/>
  <c r="AI284" i="8"/>
  <c r="AI2" i="8"/>
  <c r="B75" i="5"/>
  <c r="B89" i="5" s="1"/>
  <c r="B102" i="5" s="1"/>
  <c r="B103" i="5" s="1"/>
  <c r="B17" i="5"/>
  <c r="Z55" i="8" s="1"/>
  <c r="Z3" i="8"/>
  <c r="Z4" i="8"/>
  <c r="Z5" i="8"/>
  <c r="Z6" i="8"/>
  <c r="Z7" i="8"/>
  <c r="Z8" i="8"/>
  <c r="Z9" i="8"/>
  <c r="Z11" i="8"/>
  <c r="Z12" i="8"/>
  <c r="Z14" i="8"/>
  <c r="Z15" i="8"/>
  <c r="Z16" i="8"/>
  <c r="Z17" i="8"/>
  <c r="Z18" i="8"/>
  <c r="Z20" i="8"/>
  <c r="Z21" i="8"/>
  <c r="Z22" i="8"/>
  <c r="Z23" i="8"/>
  <c r="Z24" i="8"/>
  <c r="Z25" i="8"/>
  <c r="Z26" i="8"/>
  <c r="Z28" i="8"/>
  <c r="Z29" i="8"/>
  <c r="Z30" i="8"/>
  <c r="Z31" i="8"/>
  <c r="Z34" i="8"/>
  <c r="Z35" i="8"/>
  <c r="Z38" i="8"/>
  <c r="Z40" i="8"/>
  <c r="Z41" i="8"/>
  <c r="Z42" i="8"/>
  <c r="Z43" i="8"/>
  <c r="Z46" i="8"/>
  <c r="Z49" i="8"/>
  <c r="Z51" i="8"/>
  <c r="Z52" i="8"/>
  <c r="Z53" i="8"/>
  <c r="Z54" i="8"/>
  <c r="Z56" i="8"/>
  <c r="Z58" i="8"/>
  <c r="Z60" i="8"/>
  <c r="Z62" i="8"/>
  <c r="Z63" i="8"/>
  <c r="Z69" i="8"/>
  <c r="Z78" i="8"/>
  <c r="Z81" i="8"/>
  <c r="Z83" i="8"/>
  <c r="Z84" i="8"/>
  <c r="Z85" i="8"/>
  <c r="Z87" i="8"/>
  <c r="Z88" i="8"/>
  <c r="Z89" i="8"/>
  <c r="Z94" i="8"/>
  <c r="Z95" i="8"/>
  <c r="Z96" i="8"/>
  <c r="Z104" i="8"/>
  <c r="Z105" i="8"/>
  <c r="Z108" i="8"/>
  <c r="Z109" i="8"/>
  <c r="Z116" i="8"/>
  <c r="Z118" i="8"/>
  <c r="Z128" i="8"/>
  <c r="Z132" i="8"/>
  <c r="Z134" i="8"/>
  <c r="Z135" i="8"/>
  <c r="Z138" i="8"/>
  <c r="Z139" i="8"/>
  <c r="Z140" i="8"/>
  <c r="Z145" i="8"/>
  <c r="Z146" i="8"/>
  <c r="Z147" i="8"/>
  <c r="Z148" i="8"/>
  <c r="Z151" i="8"/>
  <c r="Z152" i="8"/>
  <c r="Z153" i="8"/>
  <c r="Z155" i="8"/>
  <c r="Z156" i="8"/>
  <c r="Z158" i="8"/>
  <c r="Z159" i="8"/>
  <c r="Z161" i="8"/>
  <c r="Z163" i="8"/>
  <c r="Z164" i="8"/>
  <c r="Z165" i="8"/>
  <c r="Z166" i="8"/>
  <c r="Z167" i="8"/>
  <c r="Z168" i="8"/>
  <c r="Z169" i="8"/>
  <c r="Z170" i="8"/>
  <c r="Z171" i="8"/>
  <c r="Z172" i="8"/>
  <c r="Z175" i="8"/>
  <c r="Z176" i="8"/>
  <c r="Z177" i="8"/>
  <c r="Z179" i="8"/>
  <c r="Z180" i="8"/>
  <c r="Z181" i="8"/>
  <c r="Z182" i="8"/>
  <c r="Z183" i="8"/>
  <c r="Z184" i="8"/>
  <c r="Z185" i="8"/>
  <c r="Z186" i="8"/>
  <c r="Z188" i="8"/>
  <c r="Z193" i="8"/>
  <c r="Z194" i="8"/>
  <c r="Z195" i="8"/>
  <c r="Z196" i="8"/>
  <c r="Z197" i="8"/>
  <c r="Z198" i="8"/>
  <c r="Z199" i="8"/>
  <c r="Z201" i="8"/>
  <c r="Z202" i="8"/>
  <c r="Z205" i="8"/>
  <c r="Z214" i="8"/>
  <c r="Z217" i="8"/>
  <c r="Z218" i="8"/>
  <c r="Z219" i="8"/>
  <c r="Z221" i="8"/>
  <c r="Z222" i="8"/>
  <c r="Z224" i="8"/>
  <c r="Z225" i="8"/>
  <c r="Z233" i="8"/>
  <c r="Z234" i="8"/>
  <c r="Z239" i="8"/>
  <c r="Z242" i="8"/>
  <c r="Z243" i="8"/>
  <c r="Z244" i="8"/>
  <c r="Z245" i="8"/>
  <c r="Z246" i="8"/>
  <c r="Z257" i="8"/>
  <c r="Z258" i="8"/>
  <c r="Z259" i="8"/>
  <c r="Z263" i="8"/>
  <c r="Z264" i="8"/>
  <c r="Z265" i="8"/>
  <c r="Z266" i="8"/>
  <c r="Z267" i="8"/>
  <c r="Z268" i="8"/>
  <c r="Z269" i="8"/>
  <c r="Z272" i="8"/>
  <c r="Z273" i="8"/>
  <c r="Z276" i="8"/>
  <c r="Z280" i="8"/>
  <c r="Z283" i="8"/>
  <c r="Z286" i="8"/>
  <c r="Z287" i="8"/>
  <c r="Z288" i="8"/>
  <c r="Z289" i="8"/>
  <c r="Z291" i="8"/>
  <c r="Z297" i="8"/>
  <c r="Z298" i="8"/>
  <c r="Z302" i="8"/>
  <c r="Z303" i="8"/>
  <c r="Z304" i="8"/>
  <c r="Z308" i="8"/>
  <c r="Z310" i="8"/>
  <c r="Z313" i="8"/>
  <c r="Z317" i="8"/>
  <c r="Z318" i="8"/>
  <c r="Z319" i="8"/>
  <c r="Z320" i="8"/>
  <c r="Z328" i="8"/>
  <c r="Z329" i="8"/>
  <c r="Z336" i="8"/>
  <c r="Z338" i="8"/>
  <c r="Z339" i="8"/>
  <c r="Z341" i="8"/>
  <c r="Z342" i="8"/>
  <c r="Z345" i="8"/>
  <c r="Z346" i="8"/>
  <c r="Z350" i="8"/>
  <c r="Z352" i="8"/>
  <c r="Z355" i="8"/>
  <c r="Z358" i="8"/>
  <c r="Z359" i="8"/>
  <c r="Z360" i="8"/>
  <c r="Z363" i="8"/>
  <c r="Z365" i="8"/>
  <c r="Z369" i="8"/>
  <c r="Z372" i="8"/>
  <c r="Z377" i="8"/>
  <c r="Z379" i="8"/>
  <c r="Z382" i="8"/>
  <c r="Z383" i="8"/>
  <c r="Z396" i="8"/>
  <c r="Z401" i="8"/>
  <c r="Z403" i="8"/>
  <c r="Z405" i="8"/>
  <c r="Z412" i="8"/>
  <c r="Z413" i="8"/>
  <c r="Z415" i="8"/>
  <c r="Z418" i="8"/>
  <c r="Z421" i="8"/>
  <c r="Z422" i="8"/>
  <c r="Z425" i="8"/>
  <c r="Z426" i="8"/>
  <c r="Z427" i="8"/>
  <c r="Z428" i="8"/>
  <c r="Z430" i="8"/>
  <c r="Z432" i="8"/>
  <c r="Z435" i="8"/>
  <c r="Z438" i="8"/>
  <c r="Z443" i="8"/>
  <c r="Z444" i="8"/>
  <c r="Z446" i="8"/>
  <c r="Z447" i="8"/>
  <c r="Z448" i="8"/>
  <c r="Z450" i="8"/>
  <c r="Z451" i="8"/>
  <c r="Z452" i="8"/>
  <c r="Z453" i="8"/>
  <c r="Z454" i="8"/>
  <c r="Z457" i="8"/>
  <c r="Z463" i="8"/>
  <c r="Z464" i="8"/>
  <c r="Z465" i="8"/>
  <c r="Z466" i="8"/>
  <c r="Z472" i="8"/>
  <c r="Z473" i="8"/>
  <c r="Z474" i="8"/>
  <c r="Z478" i="8"/>
  <c r="Z479" i="8"/>
  <c r="Z481" i="8"/>
  <c r="Z482" i="8"/>
  <c r="Z486" i="8"/>
  <c r="Z487" i="8"/>
  <c r="Z488" i="8"/>
  <c r="Z489" i="8"/>
  <c r="Z490" i="8"/>
  <c r="Z493" i="8"/>
  <c r="Z495" i="8"/>
  <c r="Z497" i="8"/>
  <c r="Z498" i="8"/>
  <c r="Z499" i="8"/>
  <c r="Z504" i="8"/>
  <c r="Z506" i="8"/>
  <c r="Z509" i="8"/>
  <c r="Z510" i="8"/>
  <c r="Z511" i="8"/>
  <c r="Z512" i="8"/>
  <c r="Z516" i="8"/>
  <c r="Z517" i="8"/>
  <c r="Z518" i="8"/>
  <c r="Z520" i="8"/>
  <c r="Z521" i="8"/>
  <c r="Z522" i="8"/>
  <c r="Z526" i="8"/>
  <c r="Z527" i="8"/>
  <c r="Z529" i="8"/>
  <c r="Z536" i="8"/>
  <c r="Z539" i="8"/>
  <c r="Z540" i="8"/>
  <c r="Z543" i="8"/>
  <c r="Z545" i="8"/>
  <c r="Z547" i="8"/>
  <c r="Z548" i="8"/>
  <c r="Z551" i="8"/>
  <c r="Z554" i="8"/>
  <c r="Z560" i="8"/>
  <c r="Z561" i="8"/>
  <c r="Z562" i="8"/>
  <c r="Z564" i="8"/>
  <c r="Z565" i="8"/>
  <c r="Z568" i="8"/>
  <c r="Z572" i="8"/>
  <c r="Z574" i="8"/>
  <c r="Z577" i="8"/>
  <c r="Z580" i="8"/>
  <c r="Z582" i="8"/>
  <c r="Z584" i="8"/>
  <c r="Z586" i="8"/>
  <c r="Z587" i="8"/>
  <c r="Z588" i="8"/>
  <c r="Z590" i="8"/>
  <c r="Z596" i="8"/>
  <c r="Z598" i="8"/>
  <c r="Z603" i="8"/>
  <c r="Z606" i="8"/>
  <c r="Z608" i="8"/>
  <c r="Z609" i="8"/>
  <c r="Z620" i="8"/>
  <c r="Z621" i="8"/>
  <c r="Z625" i="8"/>
  <c r="Z626" i="8"/>
  <c r="Z627" i="8"/>
  <c r="Z628" i="8"/>
  <c r="Z634" i="8"/>
  <c r="Z635" i="8"/>
  <c r="Z640" i="8"/>
  <c r="Z641" i="8"/>
  <c r="Z642" i="8"/>
  <c r="Z643" i="8"/>
  <c r="Z644" i="8"/>
  <c r="Z645" i="8"/>
  <c r="Z646" i="8"/>
  <c r="Z650" i="8"/>
  <c r="Z652" i="8"/>
  <c r="Z653" i="8"/>
  <c r="Z654" i="8"/>
  <c r="Z655" i="8"/>
  <c r="Z657" i="8"/>
  <c r="Z658" i="8"/>
  <c r="Z662" i="8"/>
  <c r="Z663" i="8"/>
  <c r="Z664" i="8"/>
  <c r="Z665" i="8"/>
  <c r="Z667" i="8"/>
  <c r="Z669" i="8"/>
  <c r="Z670" i="8"/>
  <c r="Z671" i="8"/>
  <c r="Z676" i="8"/>
  <c r="Z677" i="8"/>
  <c r="Z678" i="8"/>
  <c r="Z680" i="8"/>
  <c r="Z681" i="8"/>
  <c r="Z684" i="8"/>
  <c r="Z687" i="8"/>
  <c r="Z688" i="8"/>
  <c r="Z689" i="8"/>
  <c r="Z691" i="8"/>
  <c r="Z693" i="8"/>
  <c r="Z694" i="8"/>
  <c r="Z695" i="8"/>
  <c r="Z700" i="8"/>
  <c r="Z702" i="8"/>
  <c r="Z703" i="8"/>
  <c r="Z714" i="8"/>
  <c r="Z716" i="8"/>
  <c r="Z718" i="8"/>
  <c r="Z719" i="8"/>
  <c r="Z721" i="8"/>
  <c r="Z722" i="8"/>
  <c r="Z724" i="8"/>
  <c r="Z725" i="8"/>
  <c r="Z727" i="8"/>
  <c r="Z728" i="8"/>
  <c r="Z729" i="8"/>
  <c r="Z731" i="8"/>
  <c r="Z734" i="8"/>
  <c r="Z736" i="8"/>
  <c r="Z737" i="8"/>
  <c r="Z738" i="8"/>
  <c r="Z739" i="8"/>
  <c r="Z741" i="8"/>
  <c r="Z742" i="8"/>
  <c r="Z743" i="8"/>
  <c r="Z747" i="8"/>
  <c r="Z748" i="8"/>
  <c r="Z749" i="8"/>
  <c r="Z750" i="8"/>
  <c r="Z751" i="8"/>
  <c r="Z754" i="8"/>
  <c r="Z755" i="8"/>
  <c r="Z760" i="8"/>
  <c r="Z764" i="8"/>
  <c r="Z766" i="8"/>
  <c r="Z767" i="8"/>
  <c r="Z768" i="8"/>
  <c r="Z771" i="8"/>
  <c r="Z774" i="8"/>
  <c r="Z775" i="8"/>
  <c r="Z777" i="8"/>
  <c r="Z778" i="8"/>
  <c r="Z779" i="8"/>
  <c r="Z781" i="8"/>
  <c r="Z782" i="8"/>
  <c r="Z784" i="8"/>
  <c r="Z786" i="8"/>
  <c r="Z788" i="8"/>
  <c r="Z789" i="8"/>
  <c r="Z790" i="8"/>
  <c r="Z797" i="8"/>
  <c r="Z801" i="8"/>
  <c r="Z803" i="8"/>
  <c r="Z804" i="8"/>
  <c r="Z805" i="8"/>
  <c r="Z806" i="8"/>
  <c r="Z807" i="8"/>
  <c r="Z809" i="8"/>
  <c r="Z810" i="8"/>
  <c r="Z811" i="8"/>
  <c r="Z816" i="8"/>
  <c r="Z817" i="8"/>
  <c r="Z818" i="8"/>
  <c r="Z823" i="8"/>
  <c r="Z828" i="8"/>
  <c r="Z830" i="8"/>
  <c r="Z831" i="8"/>
  <c r="Z832" i="8"/>
  <c r="Z833" i="8"/>
  <c r="Z835" i="8"/>
  <c r="Z837" i="8"/>
  <c r="Z839" i="8"/>
  <c r="Z845" i="8"/>
  <c r="AG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B27" i="3"/>
  <c r="B661" i="8"/>
  <c r="AG2" i="3"/>
  <c r="AG3" i="4"/>
  <c r="AG4" i="4"/>
  <c r="AG5" i="4"/>
  <c r="AG6" i="4"/>
  <c r="AG7" i="4"/>
  <c r="AG8" i="4"/>
  <c r="AG9" i="4"/>
  <c r="AG10" i="4"/>
  <c r="AG11" i="4"/>
  <c r="AG12" i="4"/>
  <c r="AG13" i="4"/>
  <c r="AG14" i="4"/>
  <c r="AG15" i="4"/>
  <c r="AG16" i="4"/>
  <c r="AG17" i="4"/>
  <c r="AG18" i="4"/>
  <c r="AG19" i="4"/>
  <c r="AG20" i="4"/>
  <c r="AG21" i="4"/>
  <c r="AG22" i="4"/>
  <c r="AG23" i="4"/>
  <c r="AG24" i="4"/>
  <c r="AG25" i="4"/>
  <c r="AG26" i="4"/>
  <c r="AG27" i="4"/>
  <c r="AG28" i="4"/>
  <c r="AG29" i="4"/>
  <c r="AG30" i="4"/>
  <c r="AG31" i="4"/>
  <c r="AG32" i="4"/>
  <c r="AG33" i="4"/>
  <c r="AG34" i="4"/>
  <c r="AG35" i="4"/>
  <c r="AG36" i="4"/>
  <c r="AG37" i="4"/>
  <c r="AG38" i="4"/>
  <c r="AG39" i="4"/>
  <c r="AG40" i="4"/>
  <c r="AG41" i="4"/>
  <c r="AG42" i="4"/>
  <c r="AG43" i="4"/>
  <c r="AG44" i="4"/>
  <c r="AG45" i="4"/>
  <c r="AG46" i="4"/>
  <c r="AG47" i="4"/>
  <c r="AG48" i="4"/>
  <c r="AG49" i="4"/>
  <c r="AG50" i="4"/>
  <c r="AG51" i="4"/>
  <c r="AG52" i="4"/>
  <c r="AG53" i="4"/>
  <c r="AG54" i="4"/>
  <c r="AG55" i="4"/>
  <c r="AG56" i="4"/>
  <c r="AG57" i="4"/>
  <c r="AG58" i="4"/>
  <c r="AG59" i="4"/>
  <c r="AG60" i="4"/>
  <c r="AG61" i="4"/>
  <c r="AG62" i="4"/>
  <c r="AG63" i="4"/>
  <c r="AG64" i="4"/>
  <c r="AG65" i="4"/>
  <c r="AG66" i="4"/>
  <c r="AG67" i="4"/>
  <c r="AG68" i="4"/>
  <c r="AG69" i="4"/>
  <c r="AG70" i="4"/>
  <c r="AG71" i="4"/>
  <c r="AG72" i="4"/>
  <c r="AG73" i="4"/>
  <c r="AG74" i="4"/>
  <c r="AG75" i="4"/>
  <c r="AG76" i="4"/>
  <c r="AG77" i="4"/>
  <c r="AG78" i="4"/>
  <c r="AG79" i="4"/>
  <c r="AG80" i="4"/>
  <c r="AG81" i="4"/>
  <c r="AG82" i="4"/>
  <c r="AG83" i="4"/>
  <c r="AG2" i="4"/>
  <c r="AG2" i="2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13" i="1"/>
  <c r="AG14" i="1"/>
  <c r="AG15" i="1"/>
  <c r="AG16" i="1"/>
  <c r="AG17" i="1"/>
  <c r="AG3" i="1"/>
  <c r="AG4" i="1"/>
  <c r="AG5" i="1"/>
  <c r="AG6" i="1"/>
  <c r="AG7" i="1"/>
  <c r="AG8" i="1"/>
  <c r="AG9" i="1"/>
  <c r="AG10" i="1"/>
  <c r="AG11" i="1"/>
  <c r="AG12" i="1"/>
  <c r="Z2" i="8"/>
  <c r="Y5" i="8"/>
  <c r="Y3" i="8"/>
  <c r="Y4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90" i="8"/>
  <c r="Y91" i="8"/>
  <c r="Y92" i="8"/>
  <c r="Y93" i="8"/>
  <c r="Y94" i="8"/>
  <c r="Y95" i="8"/>
  <c r="Y96" i="8"/>
  <c r="Y97" i="8"/>
  <c r="Y98" i="8"/>
  <c r="Y99" i="8"/>
  <c r="Y100" i="8"/>
  <c r="Y101" i="8"/>
  <c r="Y102" i="8"/>
  <c r="Y103" i="8"/>
  <c r="Y104" i="8"/>
  <c r="Y105" i="8"/>
  <c r="Y106" i="8"/>
  <c r="Y107" i="8"/>
  <c r="Y108" i="8"/>
  <c r="Y109" i="8"/>
  <c r="Y110" i="8"/>
  <c r="Y111" i="8"/>
  <c r="Y112" i="8"/>
  <c r="Y113" i="8"/>
  <c r="Y114" i="8"/>
  <c r="Y115" i="8"/>
  <c r="Y116" i="8"/>
  <c r="Y117" i="8"/>
  <c r="Y118" i="8"/>
  <c r="Y119" i="8"/>
  <c r="Y120" i="8"/>
  <c r="Y121" i="8"/>
  <c r="Y122" i="8"/>
  <c r="Y123" i="8"/>
  <c r="Y124" i="8"/>
  <c r="Y125" i="8"/>
  <c r="Y126" i="8"/>
  <c r="Y127" i="8"/>
  <c r="Y128" i="8"/>
  <c r="Y129" i="8"/>
  <c r="Y130" i="8"/>
  <c r="Y131" i="8"/>
  <c r="Y132" i="8"/>
  <c r="Y133" i="8"/>
  <c r="Y134" i="8"/>
  <c r="Y135" i="8"/>
  <c r="Y136" i="8"/>
  <c r="Y137" i="8"/>
  <c r="Y138" i="8"/>
  <c r="Y139" i="8"/>
  <c r="Y140" i="8"/>
  <c r="Y141" i="8"/>
  <c r="Y142" i="8"/>
  <c r="Y143" i="8"/>
  <c r="Y144" i="8"/>
  <c r="Y145" i="8"/>
  <c r="Y146" i="8"/>
  <c r="Y147" i="8"/>
  <c r="Y148" i="8"/>
  <c r="Y149" i="8"/>
  <c r="Y150" i="8"/>
  <c r="Y151" i="8"/>
  <c r="Y152" i="8"/>
  <c r="Y153" i="8"/>
  <c r="Y154" i="8"/>
  <c r="Y155" i="8"/>
  <c r="Y156" i="8"/>
  <c r="Y157" i="8"/>
  <c r="Y158" i="8"/>
  <c r="Y159" i="8"/>
  <c r="Y160" i="8"/>
  <c r="Y161" i="8"/>
  <c r="Y162" i="8"/>
  <c r="Y163" i="8"/>
  <c r="Y164" i="8"/>
  <c r="Y165" i="8"/>
  <c r="Y166" i="8"/>
  <c r="Y167" i="8"/>
  <c r="Y168" i="8"/>
  <c r="Y169" i="8"/>
  <c r="Y170" i="8"/>
  <c r="Y171" i="8"/>
  <c r="Y172" i="8"/>
  <c r="Y173" i="8"/>
  <c r="Y174" i="8"/>
  <c r="Y175" i="8"/>
  <c r="Y176" i="8"/>
  <c r="Y177" i="8"/>
  <c r="Y178" i="8"/>
  <c r="Y179" i="8"/>
  <c r="Y180" i="8"/>
  <c r="Y181" i="8"/>
  <c r="Y182" i="8"/>
  <c r="Y183" i="8"/>
  <c r="Y184" i="8"/>
  <c r="Y185" i="8"/>
  <c r="Y186" i="8"/>
  <c r="Y187" i="8"/>
  <c r="Y188" i="8"/>
  <c r="Y189" i="8"/>
  <c r="Y190" i="8"/>
  <c r="Y191" i="8"/>
  <c r="Y192" i="8"/>
  <c r="Y193" i="8"/>
  <c r="Y194" i="8"/>
  <c r="Y195" i="8"/>
  <c r="Y196" i="8"/>
  <c r="Y197" i="8"/>
  <c r="Y198" i="8"/>
  <c r="Y199" i="8"/>
  <c r="Y200" i="8"/>
  <c r="Y201" i="8"/>
  <c r="Y202" i="8"/>
  <c r="Y203" i="8"/>
  <c r="Y204" i="8"/>
  <c r="Y205" i="8"/>
  <c r="Y206" i="8"/>
  <c r="Y207" i="8"/>
  <c r="Y208" i="8"/>
  <c r="Y209" i="8"/>
  <c r="Y210" i="8"/>
  <c r="Y211" i="8"/>
  <c r="Y212" i="8"/>
  <c r="Y213" i="8"/>
  <c r="Y214" i="8"/>
  <c r="Y215" i="8"/>
  <c r="Y216" i="8"/>
  <c r="Y217" i="8"/>
  <c r="Y218" i="8"/>
  <c r="Y219" i="8"/>
  <c r="Y220" i="8"/>
  <c r="Y221" i="8"/>
  <c r="Y222" i="8"/>
  <c r="Y223" i="8"/>
  <c r="Y224" i="8"/>
  <c r="Y225" i="8"/>
  <c r="Y226" i="8"/>
  <c r="Y227" i="8"/>
  <c r="Y228" i="8"/>
  <c r="Y229" i="8"/>
  <c r="Y230" i="8"/>
  <c r="Y231" i="8"/>
  <c r="Y232" i="8"/>
  <c r="Y233" i="8"/>
  <c r="Y234" i="8"/>
  <c r="Y235" i="8"/>
  <c r="Y236" i="8"/>
  <c r="Y237" i="8"/>
  <c r="Y238" i="8"/>
  <c r="Y239" i="8"/>
  <c r="Y240" i="8"/>
  <c r="Y241" i="8"/>
  <c r="Y242" i="8"/>
  <c r="Y243" i="8"/>
  <c r="Y244" i="8"/>
  <c r="Y245" i="8"/>
  <c r="Y246" i="8"/>
  <c r="Y247" i="8"/>
  <c r="Y248" i="8"/>
  <c r="Y249" i="8"/>
  <c r="Y250" i="8"/>
  <c r="Y251" i="8"/>
  <c r="Y252" i="8"/>
  <c r="Y253" i="8"/>
  <c r="Y254" i="8"/>
  <c r="Y255" i="8"/>
  <c r="Y256" i="8"/>
  <c r="Y257" i="8"/>
  <c r="Y258" i="8"/>
  <c r="Y259" i="8"/>
  <c r="Y260" i="8"/>
  <c r="Y261" i="8"/>
  <c r="Y262" i="8"/>
  <c r="Y263" i="8"/>
  <c r="Y264" i="8"/>
  <c r="Y265" i="8"/>
  <c r="Y266" i="8"/>
  <c r="Y267" i="8"/>
  <c r="Y268" i="8"/>
  <c r="Y269" i="8"/>
  <c r="Y270" i="8"/>
  <c r="Y271" i="8"/>
  <c r="Y272" i="8"/>
  <c r="Y273" i="8"/>
  <c r="Y274" i="8"/>
  <c r="Y275" i="8"/>
  <c r="Y276" i="8"/>
  <c r="Y277" i="8"/>
  <c r="Y278" i="8"/>
  <c r="Y279" i="8"/>
  <c r="Y280" i="8"/>
  <c r="Y281" i="8"/>
  <c r="Y282" i="8"/>
  <c r="Y283" i="8"/>
  <c r="Y284" i="8"/>
  <c r="Y285" i="8"/>
  <c r="Y286" i="8"/>
  <c r="Y287" i="8"/>
  <c r="Y288" i="8"/>
  <c r="Y289" i="8"/>
  <c r="Y290" i="8"/>
  <c r="Y291" i="8"/>
  <c r="Y292" i="8"/>
  <c r="Y293" i="8"/>
  <c r="Y294" i="8"/>
  <c r="Y295" i="8"/>
  <c r="Y296" i="8"/>
  <c r="Y297" i="8"/>
  <c r="Y298" i="8"/>
  <c r="Y299" i="8"/>
  <c r="Y300" i="8"/>
  <c r="Y301" i="8"/>
  <c r="Y302" i="8"/>
  <c r="Y303" i="8"/>
  <c r="Y304" i="8"/>
  <c r="Y305" i="8"/>
  <c r="Y306" i="8"/>
  <c r="Y307" i="8"/>
  <c r="Y308" i="8"/>
  <c r="Y309" i="8"/>
  <c r="Y310" i="8"/>
  <c r="Y311" i="8"/>
  <c r="Y312" i="8"/>
  <c r="Y313" i="8"/>
  <c r="Y314" i="8"/>
  <c r="Y315" i="8"/>
  <c r="Y316" i="8"/>
  <c r="Y317" i="8"/>
  <c r="Y318" i="8"/>
  <c r="Y319" i="8"/>
  <c r="Y320" i="8"/>
  <c r="Y321" i="8"/>
  <c r="Y322" i="8"/>
  <c r="Y323" i="8"/>
  <c r="Y324" i="8"/>
  <c r="Y325" i="8"/>
  <c r="Y326" i="8"/>
  <c r="Y327" i="8"/>
  <c r="Y328" i="8"/>
  <c r="Y329" i="8"/>
  <c r="Y330" i="8"/>
  <c r="Y331" i="8"/>
  <c r="Y332" i="8"/>
  <c r="Y333" i="8"/>
  <c r="Y334" i="8"/>
  <c r="Y335" i="8"/>
  <c r="Y336" i="8"/>
  <c r="Y337" i="8"/>
  <c r="Y338" i="8"/>
  <c r="Y339" i="8"/>
  <c r="Y340" i="8"/>
  <c r="Y341" i="8"/>
  <c r="Y342" i="8"/>
  <c r="Y343" i="8"/>
  <c r="Y344" i="8"/>
  <c r="Y345" i="8"/>
  <c r="Y346" i="8"/>
  <c r="Y347" i="8"/>
  <c r="Y348" i="8"/>
  <c r="Y349" i="8"/>
  <c r="Y350" i="8"/>
  <c r="Y351" i="8"/>
  <c r="Y352" i="8"/>
  <c r="Y353" i="8"/>
  <c r="Y354" i="8"/>
  <c r="Y355" i="8"/>
  <c r="Y356" i="8"/>
  <c r="Y357" i="8"/>
  <c r="Y358" i="8"/>
  <c r="Y359" i="8"/>
  <c r="Y360" i="8"/>
  <c r="Y361" i="8"/>
  <c r="Y362" i="8"/>
  <c r="Y363" i="8"/>
  <c r="Y364" i="8"/>
  <c r="Y365" i="8"/>
  <c r="Y366" i="8"/>
  <c r="Y367" i="8"/>
  <c r="Y368" i="8"/>
  <c r="Y369" i="8"/>
  <c r="Y370" i="8"/>
  <c r="Y371" i="8"/>
  <c r="Y372" i="8"/>
  <c r="Y373" i="8"/>
  <c r="Y374" i="8"/>
  <c r="Y375" i="8"/>
  <c r="Y376" i="8"/>
  <c r="Y377" i="8"/>
  <c r="Y378" i="8"/>
  <c r="Y379" i="8"/>
  <c r="Y380" i="8"/>
  <c r="Y381" i="8"/>
  <c r="Y382" i="8"/>
  <c r="Y383" i="8"/>
  <c r="Y384" i="8"/>
  <c r="Y385" i="8"/>
  <c r="Y386" i="8"/>
  <c r="Y387" i="8"/>
  <c r="Y388" i="8"/>
  <c r="Y389" i="8"/>
  <c r="Y390" i="8"/>
  <c r="Y391" i="8"/>
  <c r="Y392" i="8"/>
  <c r="Y393" i="8"/>
  <c r="Y394" i="8"/>
  <c r="Y395" i="8"/>
  <c r="Y396" i="8"/>
  <c r="Y397" i="8"/>
  <c r="Y398" i="8"/>
  <c r="Y399" i="8"/>
  <c r="Y400" i="8"/>
  <c r="Y401" i="8"/>
  <c r="Y402" i="8"/>
  <c r="Y403" i="8"/>
  <c r="Y404" i="8"/>
  <c r="Y405" i="8"/>
  <c r="Y406" i="8"/>
  <c r="Y407" i="8"/>
  <c r="Y408" i="8"/>
  <c r="Y409" i="8"/>
  <c r="Y410" i="8"/>
  <c r="Y411" i="8"/>
  <c r="Y412" i="8"/>
  <c r="Y413" i="8"/>
  <c r="Y414" i="8"/>
  <c r="Y415" i="8"/>
  <c r="Y416" i="8"/>
  <c r="Y417" i="8"/>
  <c r="Y418" i="8"/>
  <c r="Y419" i="8"/>
  <c r="Y420" i="8"/>
  <c r="Y421" i="8"/>
  <c r="Y422" i="8"/>
  <c r="Y423" i="8"/>
  <c r="Y424" i="8"/>
  <c r="Y425" i="8"/>
  <c r="Y426" i="8"/>
  <c r="Y427" i="8"/>
  <c r="Y428" i="8"/>
  <c r="Y429" i="8"/>
  <c r="Y430" i="8"/>
  <c r="Y431" i="8"/>
  <c r="Y432" i="8"/>
  <c r="Y433" i="8"/>
  <c r="Y434" i="8"/>
  <c r="Y435" i="8"/>
  <c r="Y436" i="8"/>
  <c r="Y437" i="8"/>
  <c r="Y438" i="8"/>
  <c r="Y439" i="8"/>
  <c r="Y440" i="8"/>
  <c r="Y441" i="8"/>
  <c r="Y442" i="8"/>
  <c r="Y443" i="8"/>
  <c r="Y444" i="8"/>
  <c r="Y445" i="8"/>
  <c r="Y446" i="8"/>
  <c r="Y447" i="8"/>
  <c r="Y448" i="8"/>
  <c r="Y449" i="8"/>
  <c r="Y450" i="8"/>
  <c r="Y451" i="8"/>
  <c r="Y452" i="8"/>
  <c r="Y453" i="8"/>
  <c r="Y454" i="8"/>
  <c r="Y455" i="8"/>
  <c r="Y456" i="8"/>
  <c r="Y457" i="8"/>
  <c r="Y458" i="8"/>
  <c r="Y459" i="8"/>
  <c r="Y460" i="8"/>
  <c r="Y461" i="8"/>
  <c r="Y462" i="8"/>
  <c r="Y463" i="8"/>
  <c r="Y464" i="8"/>
  <c r="Y465" i="8"/>
  <c r="Y466" i="8"/>
  <c r="Y467" i="8"/>
  <c r="Y468" i="8"/>
  <c r="Y469" i="8"/>
  <c r="Y470" i="8"/>
  <c r="Y471" i="8"/>
  <c r="Y472" i="8"/>
  <c r="Y473" i="8"/>
  <c r="Y474" i="8"/>
  <c r="Y475" i="8"/>
  <c r="Y476" i="8"/>
  <c r="Y477" i="8"/>
  <c r="Y478" i="8"/>
  <c r="Y479" i="8"/>
  <c r="Y480" i="8"/>
  <c r="Y481" i="8"/>
  <c r="Y482" i="8"/>
  <c r="Y483" i="8"/>
  <c r="Y484" i="8"/>
  <c r="Y485" i="8"/>
  <c r="Y486" i="8"/>
  <c r="Y487" i="8"/>
  <c r="Y488" i="8"/>
  <c r="Y489" i="8"/>
  <c r="Y490" i="8"/>
  <c r="Y491" i="8"/>
  <c r="Y492" i="8"/>
  <c r="Y493" i="8"/>
  <c r="Y494" i="8"/>
  <c r="Y495" i="8"/>
  <c r="Y496" i="8"/>
  <c r="Y497" i="8"/>
  <c r="Y498" i="8"/>
  <c r="Y499" i="8"/>
  <c r="Y500" i="8"/>
  <c r="Y501" i="8"/>
  <c r="Y502" i="8"/>
  <c r="Y503" i="8"/>
  <c r="Y504" i="8"/>
  <c r="Y505" i="8"/>
  <c r="Y506" i="8"/>
  <c r="Y507" i="8"/>
  <c r="Y508" i="8"/>
  <c r="Y509" i="8"/>
  <c r="Y510" i="8"/>
  <c r="Y511" i="8"/>
  <c r="Y512" i="8"/>
  <c r="Y513" i="8"/>
  <c r="Y514" i="8"/>
  <c r="Y515" i="8"/>
  <c r="Y516" i="8"/>
  <c r="Y517" i="8"/>
  <c r="Y518" i="8"/>
  <c r="Y519" i="8"/>
  <c r="Y520" i="8"/>
  <c r="Y521" i="8"/>
  <c r="Y522" i="8"/>
  <c r="Y523" i="8"/>
  <c r="Y524" i="8"/>
  <c r="Y525" i="8"/>
  <c r="Y526" i="8"/>
  <c r="Y527" i="8"/>
  <c r="Y528" i="8"/>
  <c r="Y529" i="8"/>
  <c r="Y530" i="8"/>
  <c r="Y531" i="8"/>
  <c r="Y532" i="8"/>
  <c r="Y533" i="8"/>
  <c r="Y534" i="8"/>
  <c r="Y535" i="8"/>
  <c r="Y536" i="8"/>
  <c r="Y537" i="8"/>
  <c r="Y538" i="8"/>
  <c r="Y539" i="8"/>
  <c r="Y540" i="8"/>
  <c r="Y541" i="8"/>
  <c r="Y542" i="8"/>
  <c r="Y543" i="8"/>
  <c r="Y544" i="8"/>
  <c r="Y545" i="8"/>
  <c r="Y546" i="8"/>
  <c r="Y547" i="8"/>
  <c r="Y548" i="8"/>
  <c r="Y549" i="8"/>
  <c r="Y550" i="8"/>
  <c r="Y551" i="8"/>
  <c r="Y552" i="8"/>
  <c r="Y553" i="8"/>
  <c r="Y554" i="8"/>
  <c r="Y555" i="8"/>
  <c r="Y556" i="8"/>
  <c r="Y557" i="8"/>
  <c r="Y558" i="8"/>
  <c r="Y559" i="8"/>
  <c r="Y560" i="8"/>
  <c r="Y561" i="8"/>
  <c r="Y562" i="8"/>
  <c r="Y563" i="8"/>
  <c r="Y564" i="8"/>
  <c r="Y565" i="8"/>
  <c r="Y566" i="8"/>
  <c r="Y567" i="8"/>
  <c r="Y568" i="8"/>
  <c r="Y569" i="8"/>
  <c r="Y570" i="8"/>
  <c r="Y571" i="8"/>
  <c r="Y572" i="8"/>
  <c r="Y573" i="8"/>
  <c r="Y574" i="8"/>
  <c r="Y575" i="8"/>
  <c r="Y576" i="8"/>
  <c r="Y577" i="8"/>
  <c r="Y578" i="8"/>
  <c r="Y579" i="8"/>
  <c r="Y580" i="8"/>
  <c r="Y581" i="8"/>
  <c r="Y582" i="8"/>
  <c r="Y583" i="8"/>
  <c r="Y584" i="8"/>
  <c r="Y585" i="8"/>
  <c r="Y586" i="8"/>
  <c r="Y587" i="8"/>
  <c r="Y588" i="8"/>
  <c r="Y589" i="8"/>
  <c r="Y590" i="8"/>
  <c r="Y591" i="8"/>
  <c r="Y592" i="8"/>
  <c r="Y593" i="8"/>
  <c r="Y594" i="8"/>
  <c r="Y595" i="8"/>
  <c r="Y596" i="8"/>
  <c r="Y597" i="8"/>
  <c r="Y598" i="8"/>
  <c r="Y599" i="8"/>
  <c r="Y600" i="8"/>
  <c r="Y601" i="8"/>
  <c r="Y602" i="8"/>
  <c r="Y603" i="8"/>
  <c r="Y604" i="8"/>
  <c r="Y605" i="8"/>
  <c r="Y606" i="8"/>
  <c r="Y607" i="8"/>
  <c r="Y608" i="8"/>
  <c r="Y609" i="8"/>
  <c r="Y610" i="8"/>
  <c r="Y611" i="8"/>
  <c r="Y612" i="8"/>
  <c r="Y613" i="8"/>
  <c r="Y614" i="8"/>
  <c r="Y615" i="8"/>
  <c r="Y616" i="8"/>
  <c r="Y617" i="8"/>
  <c r="Y618" i="8"/>
  <c r="Y619" i="8"/>
  <c r="Y620" i="8"/>
  <c r="Y621" i="8"/>
  <c r="Y622" i="8"/>
  <c r="Y623" i="8"/>
  <c r="Y624" i="8"/>
  <c r="Y625" i="8"/>
  <c r="Y626" i="8"/>
  <c r="Y627" i="8"/>
  <c r="Y628" i="8"/>
  <c r="Y629" i="8"/>
  <c r="Y630" i="8"/>
  <c r="Y631" i="8"/>
  <c r="Y632" i="8"/>
  <c r="Y633" i="8"/>
  <c r="Y634" i="8"/>
  <c r="Y635" i="8"/>
  <c r="Y636" i="8"/>
  <c r="Y637" i="8"/>
  <c r="Y638" i="8"/>
  <c r="Y639" i="8"/>
  <c r="Y640" i="8"/>
  <c r="Y641" i="8"/>
  <c r="Y642" i="8"/>
  <c r="Y643" i="8"/>
  <c r="Y644" i="8"/>
  <c r="Y645" i="8"/>
  <c r="Y646" i="8"/>
  <c r="Y647" i="8"/>
  <c r="Y648" i="8"/>
  <c r="Y649" i="8"/>
  <c r="Y650" i="8"/>
  <c r="Y651" i="8"/>
  <c r="Y652" i="8"/>
  <c r="Y653" i="8"/>
  <c r="Y654" i="8"/>
  <c r="Y655" i="8"/>
  <c r="Y656" i="8"/>
  <c r="Y657" i="8"/>
  <c r="Y658" i="8"/>
  <c r="Y659" i="8"/>
  <c r="Y660" i="8"/>
  <c r="Y661" i="8"/>
  <c r="Y662" i="8"/>
  <c r="Y663" i="8"/>
  <c r="Y664" i="8"/>
  <c r="Y665" i="8"/>
  <c r="Y666" i="8"/>
  <c r="Y667" i="8"/>
  <c r="Y668" i="8"/>
  <c r="Y669" i="8"/>
  <c r="Y670" i="8"/>
  <c r="Y671" i="8"/>
  <c r="Y672" i="8"/>
  <c r="Y673" i="8"/>
  <c r="Y674" i="8"/>
  <c r="Y675" i="8"/>
  <c r="Y676" i="8"/>
  <c r="Y677" i="8"/>
  <c r="Y678" i="8"/>
  <c r="Y679" i="8"/>
  <c r="Y680" i="8"/>
  <c r="Y681" i="8"/>
  <c r="Y682" i="8"/>
  <c r="Y683" i="8"/>
  <c r="Y684" i="8"/>
  <c r="Y685" i="8"/>
  <c r="Y686" i="8"/>
  <c r="Y687" i="8"/>
  <c r="Y688" i="8"/>
  <c r="Y689" i="8"/>
  <c r="Y690" i="8"/>
  <c r="Y691" i="8"/>
  <c r="Y692" i="8"/>
  <c r="Y693" i="8"/>
  <c r="Y694" i="8"/>
  <c r="Y695" i="8"/>
  <c r="Y696" i="8"/>
  <c r="Y697" i="8"/>
  <c r="Y698" i="8"/>
  <c r="Y699" i="8"/>
  <c r="Y700" i="8"/>
  <c r="Y701" i="8"/>
  <c r="Y702" i="8"/>
  <c r="Y703" i="8"/>
  <c r="Y704" i="8"/>
  <c r="Y705" i="8"/>
  <c r="Y706" i="8"/>
  <c r="Y707" i="8"/>
  <c r="Y708" i="8"/>
  <c r="Y709" i="8"/>
  <c r="Y710" i="8"/>
  <c r="Y711" i="8"/>
  <c r="Y712" i="8"/>
  <c r="Y713" i="8"/>
  <c r="Y714" i="8"/>
  <c r="Y715" i="8"/>
  <c r="Y716" i="8"/>
  <c r="Y717" i="8"/>
  <c r="Y718" i="8"/>
  <c r="Y719" i="8"/>
  <c r="Y720" i="8"/>
  <c r="Y721" i="8"/>
  <c r="Y722" i="8"/>
  <c r="Y723" i="8"/>
  <c r="Y724" i="8"/>
  <c r="Y725" i="8"/>
  <c r="Y726" i="8"/>
  <c r="Y727" i="8"/>
  <c r="Y728" i="8"/>
  <c r="Y729" i="8"/>
  <c r="Y730" i="8"/>
  <c r="Y731" i="8"/>
  <c r="Y732" i="8"/>
  <c r="Y733" i="8"/>
  <c r="Y734" i="8"/>
  <c r="Y735" i="8"/>
  <c r="Y736" i="8"/>
  <c r="Y737" i="8"/>
  <c r="Y738" i="8"/>
  <c r="Y739" i="8"/>
  <c r="Y740" i="8"/>
  <c r="Y741" i="8"/>
  <c r="Y742" i="8"/>
  <c r="Y743" i="8"/>
  <c r="Y744" i="8"/>
  <c r="Y745" i="8"/>
  <c r="Y746" i="8"/>
  <c r="Y747" i="8"/>
  <c r="Y748" i="8"/>
  <c r="Y749" i="8"/>
  <c r="Y750" i="8"/>
  <c r="Y751" i="8"/>
  <c r="Y752" i="8"/>
  <c r="Y753" i="8"/>
  <c r="Y754" i="8"/>
  <c r="Y755" i="8"/>
  <c r="Y756" i="8"/>
  <c r="Y757" i="8"/>
  <c r="Y758" i="8"/>
  <c r="Y759" i="8"/>
  <c r="Y760" i="8"/>
  <c r="Y761" i="8"/>
  <c r="Y762" i="8"/>
  <c r="Y763" i="8"/>
  <c r="Y764" i="8"/>
  <c r="Y765" i="8"/>
  <c r="Y766" i="8"/>
  <c r="Y767" i="8"/>
  <c r="Y768" i="8"/>
  <c r="Y769" i="8"/>
  <c r="Y770" i="8"/>
  <c r="Y771" i="8"/>
  <c r="Y772" i="8"/>
  <c r="Y773" i="8"/>
  <c r="Y774" i="8"/>
  <c r="Y775" i="8"/>
  <c r="Y776" i="8"/>
  <c r="Y777" i="8"/>
  <c r="Y778" i="8"/>
  <c r="Y779" i="8"/>
  <c r="Y780" i="8"/>
  <c r="Y781" i="8"/>
  <c r="Y782" i="8"/>
  <c r="Y783" i="8"/>
  <c r="Y784" i="8"/>
  <c r="Y785" i="8"/>
  <c r="Y786" i="8"/>
  <c r="Y787" i="8"/>
  <c r="Y788" i="8"/>
  <c r="Y789" i="8"/>
  <c r="Y790" i="8"/>
  <c r="Y791" i="8"/>
  <c r="Y792" i="8"/>
  <c r="Y793" i="8"/>
  <c r="Y794" i="8"/>
  <c r="Y795" i="8"/>
  <c r="Y796" i="8"/>
  <c r="Y797" i="8"/>
  <c r="Y798" i="8"/>
  <c r="Y799" i="8"/>
  <c r="Y800" i="8"/>
  <c r="Y801" i="8"/>
  <c r="Y802" i="8"/>
  <c r="Y803" i="8"/>
  <c r="Y804" i="8"/>
  <c r="Y805" i="8"/>
  <c r="Y806" i="8"/>
  <c r="Y807" i="8"/>
  <c r="Y808" i="8"/>
  <c r="Y809" i="8"/>
  <c r="Y810" i="8"/>
  <c r="Y811" i="8"/>
  <c r="Y812" i="8"/>
  <c r="Y813" i="8"/>
  <c r="Y814" i="8"/>
  <c r="Y815" i="8"/>
  <c r="Y816" i="8"/>
  <c r="Y817" i="8"/>
  <c r="Y818" i="8"/>
  <c r="Y819" i="8"/>
  <c r="Y820" i="8"/>
  <c r="Y821" i="8"/>
  <c r="Y822" i="8"/>
  <c r="Y823" i="8"/>
  <c r="Y824" i="8"/>
  <c r="Y825" i="8"/>
  <c r="Y826" i="8"/>
  <c r="Y827" i="8"/>
  <c r="Y828" i="8"/>
  <c r="Y829" i="8"/>
  <c r="Y830" i="8"/>
  <c r="Y831" i="8"/>
  <c r="Y832" i="8"/>
  <c r="Y833" i="8"/>
  <c r="Y834" i="8"/>
  <c r="Y835" i="8"/>
  <c r="Y836" i="8"/>
  <c r="Y837" i="8"/>
  <c r="Y838" i="8"/>
  <c r="Y839" i="8"/>
  <c r="Y840" i="8"/>
  <c r="Y841" i="8"/>
  <c r="Y842" i="8"/>
  <c r="Y843" i="8"/>
  <c r="Y844" i="8"/>
  <c r="Y845" i="8"/>
  <c r="Y846" i="8"/>
  <c r="Y2" i="8"/>
  <c r="AN2" i="1"/>
  <c r="X625" i="8"/>
  <c r="X285" i="8"/>
  <c r="X3" i="8"/>
  <c r="V625" i="8"/>
  <c r="V626" i="8" s="1"/>
  <c r="V627" i="8" s="1"/>
  <c r="V628" i="8" s="1"/>
  <c r="V629" i="8" s="1"/>
  <c r="V630" i="8" s="1"/>
  <c r="V631" i="8" s="1"/>
  <c r="V632" i="8" s="1"/>
  <c r="V633" i="8" s="1"/>
  <c r="V634" i="8" s="1"/>
  <c r="V635" i="8" s="1"/>
  <c r="V636" i="8" s="1"/>
  <c r="V637" i="8" s="1"/>
  <c r="V638" i="8" s="1"/>
  <c r="V639" i="8" s="1"/>
  <c r="V640" i="8" s="1"/>
  <c r="V641" i="8" s="1"/>
  <c r="V642" i="8" s="1"/>
  <c r="V643" i="8" s="1"/>
  <c r="V644" i="8" s="1"/>
  <c r="V645" i="8" s="1"/>
  <c r="V646" i="8" s="1"/>
  <c r="V647" i="8" s="1"/>
  <c r="V648" i="8" s="1"/>
  <c r="V649" i="8" s="1"/>
  <c r="V650" i="8" s="1"/>
  <c r="V651" i="8" s="1"/>
  <c r="V652" i="8" s="1"/>
  <c r="V653" i="8" s="1"/>
  <c r="V654" i="8" s="1"/>
  <c r="V655" i="8" s="1"/>
  <c r="V656" i="8" s="1"/>
  <c r="V657" i="8" s="1"/>
  <c r="V658" i="8" s="1"/>
  <c r="V659" i="8" s="1"/>
  <c r="V660" i="8" s="1"/>
  <c r="V661" i="8" s="1"/>
  <c r="V662" i="8" s="1"/>
  <c r="V663" i="8" s="1"/>
  <c r="V664" i="8" s="1"/>
  <c r="V665" i="8" s="1"/>
  <c r="V666" i="8" s="1"/>
  <c r="V667" i="8" s="1"/>
  <c r="V668" i="8" s="1"/>
  <c r="V669" i="8" s="1"/>
  <c r="V670" i="8" s="1"/>
  <c r="V671" i="8" s="1"/>
  <c r="V672" i="8" s="1"/>
  <c r="V673" i="8" s="1"/>
  <c r="V674" i="8" s="1"/>
  <c r="V675" i="8" s="1"/>
  <c r="V676" i="8" s="1"/>
  <c r="V677" i="8" s="1"/>
  <c r="V678" i="8" s="1"/>
  <c r="V679" i="8" s="1"/>
  <c r="V680" i="8" s="1"/>
  <c r="V681" i="8" s="1"/>
  <c r="V682" i="8" s="1"/>
  <c r="V683" i="8" s="1"/>
  <c r="V684" i="8" s="1"/>
  <c r="V685" i="8" s="1"/>
  <c r="V686" i="8" s="1"/>
  <c r="V687" i="8" s="1"/>
  <c r="V688" i="8" s="1"/>
  <c r="V689" i="8" s="1"/>
  <c r="V690" i="8" s="1"/>
  <c r="V691" i="8" s="1"/>
  <c r="V692" i="8" s="1"/>
  <c r="V693" i="8" s="1"/>
  <c r="V694" i="8" s="1"/>
  <c r="V695" i="8" s="1"/>
  <c r="V696" i="8" s="1"/>
  <c r="V697" i="8" s="1"/>
  <c r="V698" i="8" s="1"/>
  <c r="V699" i="8" s="1"/>
  <c r="V700" i="8" s="1"/>
  <c r="V701" i="8" s="1"/>
  <c r="V702" i="8" s="1"/>
  <c r="V703" i="8" s="1"/>
  <c r="V704" i="8" s="1"/>
  <c r="V705" i="8" s="1"/>
  <c r="V706" i="8" s="1"/>
  <c r="V707" i="8" s="1"/>
  <c r="V708" i="8" s="1"/>
  <c r="V709" i="8" s="1"/>
  <c r="V710" i="8" s="1"/>
  <c r="V711" i="8" s="1"/>
  <c r="V712" i="8" s="1"/>
  <c r="V713" i="8" s="1"/>
  <c r="V714" i="8" s="1"/>
  <c r="V715" i="8" s="1"/>
  <c r="V716" i="8" s="1"/>
  <c r="V717" i="8" s="1"/>
  <c r="V718" i="8" s="1"/>
  <c r="V719" i="8" s="1"/>
  <c r="V720" i="8" s="1"/>
  <c r="V721" i="8" s="1"/>
  <c r="V722" i="8" s="1"/>
  <c r="V723" i="8" s="1"/>
  <c r="V724" i="8" s="1"/>
  <c r="V725" i="8" s="1"/>
  <c r="V726" i="8" s="1"/>
  <c r="V727" i="8" s="1"/>
  <c r="V728" i="8" s="1"/>
  <c r="V729" i="8" s="1"/>
  <c r="V730" i="8" s="1"/>
  <c r="V731" i="8" s="1"/>
  <c r="V732" i="8" s="1"/>
  <c r="V733" i="8" s="1"/>
  <c r="V734" i="8" s="1"/>
  <c r="V735" i="8" s="1"/>
  <c r="V736" i="8" s="1"/>
  <c r="V737" i="8" s="1"/>
  <c r="V738" i="8" s="1"/>
  <c r="V739" i="8" s="1"/>
  <c r="V740" i="8" s="1"/>
  <c r="V741" i="8" s="1"/>
  <c r="V742" i="8" s="1"/>
  <c r="V743" i="8" s="1"/>
  <c r="V744" i="8" s="1"/>
  <c r="V745" i="8" s="1"/>
  <c r="V746" i="8" s="1"/>
  <c r="V747" i="8" s="1"/>
  <c r="V748" i="8" s="1"/>
  <c r="V749" i="8" s="1"/>
  <c r="V750" i="8" s="1"/>
  <c r="V751" i="8" s="1"/>
  <c r="V752" i="8" s="1"/>
  <c r="V753" i="8" s="1"/>
  <c r="V754" i="8" s="1"/>
  <c r="V755" i="8" s="1"/>
  <c r="V756" i="8" s="1"/>
  <c r="V757" i="8" s="1"/>
  <c r="V758" i="8" s="1"/>
  <c r="V759" i="8" s="1"/>
  <c r="V760" i="8" s="1"/>
  <c r="V761" i="8" s="1"/>
  <c r="V762" i="8" s="1"/>
  <c r="V763" i="8" s="1"/>
  <c r="V764" i="8" s="1"/>
  <c r="V765" i="8" s="1"/>
  <c r="V766" i="8" s="1"/>
  <c r="V767" i="8" s="1"/>
  <c r="V768" i="8" s="1"/>
  <c r="V769" i="8" s="1"/>
  <c r="V770" i="8" s="1"/>
  <c r="V771" i="8" s="1"/>
  <c r="V772" i="8" s="1"/>
  <c r="V773" i="8" s="1"/>
  <c r="V774" i="8" s="1"/>
  <c r="V775" i="8" s="1"/>
  <c r="V776" i="8" s="1"/>
  <c r="V777" i="8" s="1"/>
  <c r="V778" i="8" s="1"/>
  <c r="V779" i="8" s="1"/>
  <c r="V780" i="8" s="1"/>
  <c r="V781" i="8" s="1"/>
  <c r="V782" i="8" s="1"/>
  <c r="V783" i="8" s="1"/>
  <c r="V784" i="8" s="1"/>
  <c r="V785" i="8" s="1"/>
  <c r="V786" i="8" s="1"/>
  <c r="V787" i="8" s="1"/>
  <c r="V788" i="8" s="1"/>
  <c r="V789" i="8" s="1"/>
  <c r="V790" i="8" s="1"/>
  <c r="V791" i="8" s="1"/>
  <c r="V792" i="8" s="1"/>
  <c r="V793" i="8" s="1"/>
  <c r="V794" i="8" s="1"/>
  <c r="V795" i="8" s="1"/>
  <c r="V796" i="8" s="1"/>
  <c r="V797" i="8" s="1"/>
  <c r="V798" i="8" s="1"/>
  <c r="V799" i="8" s="1"/>
  <c r="V800" i="8" s="1"/>
  <c r="V801" i="8" s="1"/>
  <c r="V802" i="8" s="1"/>
  <c r="V803" i="8" s="1"/>
  <c r="V804" i="8" s="1"/>
  <c r="V805" i="8" s="1"/>
  <c r="V806" i="8" s="1"/>
  <c r="V807" i="8" s="1"/>
  <c r="V808" i="8" s="1"/>
  <c r="V809" i="8" s="1"/>
  <c r="V810" i="8" s="1"/>
  <c r="V811" i="8" s="1"/>
  <c r="V812" i="8" s="1"/>
  <c r="V813" i="8" s="1"/>
  <c r="V814" i="8" s="1"/>
  <c r="V815" i="8" s="1"/>
  <c r="V816" i="8" s="1"/>
  <c r="V817" i="8" s="1"/>
  <c r="V818" i="8" s="1"/>
  <c r="V819" i="8" s="1"/>
  <c r="V820" i="8" s="1"/>
  <c r="V821" i="8" s="1"/>
  <c r="V822" i="8" s="1"/>
  <c r="V823" i="8" s="1"/>
  <c r="V824" i="8" s="1"/>
  <c r="V825" i="8" s="1"/>
  <c r="V826" i="8" s="1"/>
  <c r="V827" i="8" s="1"/>
  <c r="V828" i="8" s="1"/>
  <c r="V829" i="8" s="1"/>
  <c r="V830" i="8" s="1"/>
  <c r="V831" i="8" s="1"/>
  <c r="V832" i="8" s="1"/>
  <c r="V833" i="8" s="1"/>
  <c r="V834" i="8" s="1"/>
  <c r="V835" i="8" s="1"/>
  <c r="V836" i="8" s="1"/>
  <c r="V837" i="8" s="1"/>
  <c r="V838" i="8" s="1"/>
  <c r="V839" i="8" s="1"/>
  <c r="V840" i="8" s="1"/>
  <c r="V841" i="8" s="1"/>
  <c r="V842" i="8" s="1"/>
  <c r="V843" i="8" s="1"/>
  <c r="V844" i="8" s="1"/>
  <c r="V845" i="8" s="1"/>
  <c r="V846" i="8" s="1"/>
  <c r="A833" i="8"/>
  <c r="A832" i="8"/>
  <c r="A831" i="8"/>
  <c r="A830" i="8"/>
  <c r="A823" i="8"/>
  <c r="A816" i="8"/>
  <c r="A789" i="8"/>
  <c r="A777" i="8"/>
  <c r="A751" i="8"/>
  <c r="A750" i="8"/>
  <c r="A747" i="8"/>
  <c r="A737" i="8"/>
  <c r="A736" i="8"/>
  <c r="A719" i="8"/>
  <c r="A706" i="8"/>
  <c r="A712" i="8" s="1"/>
  <c r="A691" i="8"/>
  <c r="A684" i="8"/>
  <c r="A678" i="8"/>
  <c r="A676" i="8"/>
  <c r="A665" i="8"/>
  <c r="A664" i="8"/>
  <c r="A657" i="8"/>
  <c r="A654" i="8"/>
  <c r="A652" i="8"/>
  <c r="A643" i="8"/>
  <c r="A642" i="8"/>
  <c r="A641" i="8"/>
  <c r="M633" i="8"/>
  <c r="M740" i="8" s="1"/>
  <c r="A633" i="8"/>
  <c r="V285" i="8"/>
  <c r="V286" i="8" s="1"/>
  <c r="V287" i="8" s="1"/>
  <c r="V288" i="8" s="1"/>
  <c r="V289" i="8" s="1"/>
  <c r="V290" i="8" s="1"/>
  <c r="V291" i="8" s="1"/>
  <c r="V292" i="8" s="1"/>
  <c r="V293" i="8" s="1"/>
  <c r="V294" i="8" s="1"/>
  <c r="V295" i="8" s="1"/>
  <c r="V296" i="8" s="1"/>
  <c r="V297" i="8" s="1"/>
  <c r="V298" i="8" s="1"/>
  <c r="V299" i="8" s="1"/>
  <c r="V300" i="8" s="1"/>
  <c r="V301" i="8" s="1"/>
  <c r="V302" i="8" s="1"/>
  <c r="V303" i="8" s="1"/>
  <c r="V304" i="8" s="1"/>
  <c r="V305" i="8" s="1"/>
  <c r="V306" i="8" s="1"/>
  <c r="V307" i="8" s="1"/>
  <c r="V308" i="8" s="1"/>
  <c r="V309" i="8" s="1"/>
  <c r="V310" i="8" s="1"/>
  <c r="V311" i="8" s="1"/>
  <c r="V312" i="8" s="1"/>
  <c r="V313" i="8" s="1"/>
  <c r="V314" i="8" s="1"/>
  <c r="V315" i="8" s="1"/>
  <c r="V316" i="8" s="1"/>
  <c r="V317" i="8" s="1"/>
  <c r="V318" i="8" s="1"/>
  <c r="V319" i="8" s="1"/>
  <c r="V320" i="8" s="1"/>
  <c r="V321" i="8" s="1"/>
  <c r="V322" i="8" s="1"/>
  <c r="V323" i="8" s="1"/>
  <c r="V324" i="8" s="1"/>
  <c r="V325" i="8" s="1"/>
  <c r="V326" i="8" s="1"/>
  <c r="V327" i="8" s="1"/>
  <c r="V328" i="8" s="1"/>
  <c r="V329" i="8" s="1"/>
  <c r="V330" i="8" s="1"/>
  <c r="V331" i="8" s="1"/>
  <c r="V332" i="8" s="1"/>
  <c r="V333" i="8" s="1"/>
  <c r="V334" i="8" s="1"/>
  <c r="V335" i="8" s="1"/>
  <c r="V336" i="8" s="1"/>
  <c r="V337" i="8" s="1"/>
  <c r="V338" i="8" s="1"/>
  <c r="V339" i="8" s="1"/>
  <c r="V340" i="8" s="1"/>
  <c r="V341" i="8" s="1"/>
  <c r="V342" i="8" s="1"/>
  <c r="V343" i="8" s="1"/>
  <c r="V344" i="8" s="1"/>
  <c r="V345" i="8" s="1"/>
  <c r="V346" i="8" s="1"/>
  <c r="V347" i="8" s="1"/>
  <c r="V348" i="8" s="1"/>
  <c r="V349" i="8" s="1"/>
  <c r="V350" i="8" s="1"/>
  <c r="V351" i="8" s="1"/>
  <c r="V352" i="8" s="1"/>
  <c r="V353" i="8" s="1"/>
  <c r="V354" i="8" s="1"/>
  <c r="V355" i="8" s="1"/>
  <c r="V356" i="8" s="1"/>
  <c r="V357" i="8" s="1"/>
  <c r="V358" i="8" s="1"/>
  <c r="V359" i="8" s="1"/>
  <c r="V360" i="8" s="1"/>
  <c r="V361" i="8" s="1"/>
  <c r="V362" i="8" s="1"/>
  <c r="V363" i="8" s="1"/>
  <c r="V364" i="8" s="1"/>
  <c r="V365" i="8" s="1"/>
  <c r="V366" i="8" s="1"/>
  <c r="V367" i="8" s="1"/>
  <c r="V368" i="8" s="1"/>
  <c r="V369" i="8" s="1"/>
  <c r="V370" i="8" s="1"/>
  <c r="V371" i="8" s="1"/>
  <c r="V372" i="8" s="1"/>
  <c r="V373" i="8" s="1"/>
  <c r="V374" i="8" s="1"/>
  <c r="V375" i="8" s="1"/>
  <c r="V376" i="8" s="1"/>
  <c r="V377" i="8" s="1"/>
  <c r="V378" i="8" s="1"/>
  <c r="V379" i="8" s="1"/>
  <c r="V380" i="8" s="1"/>
  <c r="V381" i="8" s="1"/>
  <c r="V382" i="8" s="1"/>
  <c r="V383" i="8" s="1"/>
  <c r="V384" i="8" s="1"/>
  <c r="V385" i="8" s="1"/>
  <c r="V386" i="8" s="1"/>
  <c r="V387" i="8" s="1"/>
  <c r="V388" i="8" s="1"/>
  <c r="V389" i="8" s="1"/>
  <c r="V390" i="8" s="1"/>
  <c r="V391" i="8" s="1"/>
  <c r="V392" i="8" s="1"/>
  <c r="V393" i="8" s="1"/>
  <c r="V394" i="8" s="1"/>
  <c r="V395" i="8" s="1"/>
  <c r="V396" i="8" s="1"/>
  <c r="V397" i="8" s="1"/>
  <c r="V398" i="8" s="1"/>
  <c r="V399" i="8" s="1"/>
  <c r="V400" i="8" s="1"/>
  <c r="V401" i="8" s="1"/>
  <c r="V402" i="8" s="1"/>
  <c r="V403" i="8" s="1"/>
  <c r="V404" i="8" s="1"/>
  <c r="V405" i="8" s="1"/>
  <c r="V406" i="8" s="1"/>
  <c r="V407" i="8" s="1"/>
  <c r="V408" i="8" s="1"/>
  <c r="V409" i="8" s="1"/>
  <c r="V410" i="8" s="1"/>
  <c r="V411" i="8" s="1"/>
  <c r="V412" i="8" s="1"/>
  <c r="V413" i="8" s="1"/>
  <c r="V414" i="8" s="1"/>
  <c r="V415" i="8" s="1"/>
  <c r="V416" i="8" s="1"/>
  <c r="V417" i="8" s="1"/>
  <c r="V418" i="8" s="1"/>
  <c r="V419" i="8" s="1"/>
  <c r="V420" i="8" s="1"/>
  <c r="V421" i="8" s="1"/>
  <c r="V422" i="8" s="1"/>
  <c r="V423" i="8" s="1"/>
  <c r="V424" i="8" s="1"/>
  <c r="V425" i="8" s="1"/>
  <c r="V426" i="8" s="1"/>
  <c r="V427" i="8" s="1"/>
  <c r="V428" i="8" s="1"/>
  <c r="V429" i="8" s="1"/>
  <c r="V430" i="8" s="1"/>
  <c r="V431" i="8" s="1"/>
  <c r="V432" i="8" s="1"/>
  <c r="V433" i="8" s="1"/>
  <c r="V434" i="8" s="1"/>
  <c r="V435" i="8" s="1"/>
  <c r="V436" i="8" s="1"/>
  <c r="V437" i="8" s="1"/>
  <c r="V438" i="8" s="1"/>
  <c r="V439" i="8" s="1"/>
  <c r="V440" i="8" s="1"/>
  <c r="V441" i="8" s="1"/>
  <c r="V442" i="8" s="1"/>
  <c r="V443" i="8" s="1"/>
  <c r="V444" i="8" s="1"/>
  <c r="V445" i="8" s="1"/>
  <c r="V446" i="8" s="1"/>
  <c r="V447" i="8" s="1"/>
  <c r="V448" i="8" s="1"/>
  <c r="V449" i="8" s="1"/>
  <c r="V450" i="8" s="1"/>
  <c r="V451" i="8" s="1"/>
  <c r="V452" i="8" s="1"/>
  <c r="V453" i="8" s="1"/>
  <c r="V454" i="8" s="1"/>
  <c r="V455" i="8" s="1"/>
  <c r="V456" i="8" s="1"/>
  <c r="V457" i="8" s="1"/>
  <c r="V458" i="8" s="1"/>
  <c r="V459" i="8" s="1"/>
  <c r="V460" i="8" s="1"/>
  <c r="V461" i="8" s="1"/>
  <c r="V462" i="8" s="1"/>
  <c r="V463" i="8" s="1"/>
  <c r="V464" i="8" s="1"/>
  <c r="V465" i="8" s="1"/>
  <c r="V466" i="8" s="1"/>
  <c r="V467" i="8" s="1"/>
  <c r="V468" i="8" s="1"/>
  <c r="V469" i="8" s="1"/>
  <c r="V470" i="8" s="1"/>
  <c r="V471" i="8" s="1"/>
  <c r="V472" i="8" s="1"/>
  <c r="V473" i="8" s="1"/>
  <c r="V474" i="8" s="1"/>
  <c r="V475" i="8" s="1"/>
  <c r="V476" i="8" s="1"/>
  <c r="V477" i="8" s="1"/>
  <c r="V478" i="8" s="1"/>
  <c r="V479" i="8" s="1"/>
  <c r="V480" i="8" s="1"/>
  <c r="V481" i="8" s="1"/>
  <c r="V482" i="8" s="1"/>
  <c r="V483" i="8" s="1"/>
  <c r="V484" i="8" s="1"/>
  <c r="V485" i="8" s="1"/>
  <c r="V486" i="8" s="1"/>
  <c r="V487" i="8" s="1"/>
  <c r="V488" i="8" s="1"/>
  <c r="V489" i="8" s="1"/>
  <c r="V490" i="8" s="1"/>
  <c r="V491" i="8" s="1"/>
  <c r="V492" i="8" s="1"/>
  <c r="V493" i="8" s="1"/>
  <c r="V494" i="8" s="1"/>
  <c r="V495" i="8" s="1"/>
  <c r="V496" i="8" s="1"/>
  <c r="V497" i="8" s="1"/>
  <c r="V498" i="8" s="1"/>
  <c r="V499" i="8" s="1"/>
  <c r="V500" i="8" s="1"/>
  <c r="V501" i="8" s="1"/>
  <c r="V502" i="8" s="1"/>
  <c r="V503" i="8" s="1"/>
  <c r="V504" i="8" s="1"/>
  <c r="V505" i="8" s="1"/>
  <c r="V506" i="8" s="1"/>
  <c r="V507" i="8" s="1"/>
  <c r="V508" i="8" s="1"/>
  <c r="V509" i="8" s="1"/>
  <c r="V510" i="8" s="1"/>
  <c r="V511" i="8" s="1"/>
  <c r="V512" i="8" s="1"/>
  <c r="V513" i="8" s="1"/>
  <c r="V514" i="8" s="1"/>
  <c r="V515" i="8" s="1"/>
  <c r="V516" i="8" s="1"/>
  <c r="V517" i="8" s="1"/>
  <c r="V518" i="8" s="1"/>
  <c r="V519" i="8" s="1"/>
  <c r="V520" i="8" s="1"/>
  <c r="V521" i="8" s="1"/>
  <c r="V522" i="8" s="1"/>
  <c r="V523" i="8" s="1"/>
  <c r="V524" i="8" s="1"/>
  <c r="V525" i="8" s="1"/>
  <c r="V526" i="8" s="1"/>
  <c r="V527" i="8" s="1"/>
  <c r="V528" i="8" s="1"/>
  <c r="V529" i="8" s="1"/>
  <c r="V530" i="8" s="1"/>
  <c r="V531" i="8" s="1"/>
  <c r="V532" i="8" s="1"/>
  <c r="V533" i="8" s="1"/>
  <c r="V534" i="8" s="1"/>
  <c r="V535" i="8" s="1"/>
  <c r="V536" i="8" s="1"/>
  <c r="V537" i="8" s="1"/>
  <c r="V538" i="8" s="1"/>
  <c r="V539" i="8" s="1"/>
  <c r="V540" i="8" s="1"/>
  <c r="V541" i="8" s="1"/>
  <c r="V542" i="8" s="1"/>
  <c r="V543" i="8" s="1"/>
  <c r="V544" i="8" s="1"/>
  <c r="V545" i="8" s="1"/>
  <c r="V546" i="8" s="1"/>
  <c r="V547" i="8" s="1"/>
  <c r="V548" i="8" s="1"/>
  <c r="V549" i="8" s="1"/>
  <c r="V550" i="8" s="1"/>
  <c r="V551" i="8" s="1"/>
  <c r="V552" i="8" s="1"/>
  <c r="V553" i="8" s="1"/>
  <c r="V554" i="8" s="1"/>
  <c r="V555" i="8" s="1"/>
  <c r="V556" i="8" s="1"/>
  <c r="V557" i="8" s="1"/>
  <c r="V558" i="8" s="1"/>
  <c r="V559" i="8" s="1"/>
  <c r="V560" i="8" s="1"/>
  <c r="V561" i="8" s="1"/>
  <c r="V562" i="8" s="1"/>
  <c r="V563" i="8" s="1"/>
  <c r="V564" i="8" s="1"/>
  <c r="V565" i="8" s="1"/>
  <c r="V566" i="8" s="1"/>
  <c r="V567" i="8" s="1"/>
  <c r="V568" i="8" s="1"/>
  <c r="V569" i="8" s="1"/>
  <c r="V570" i="8" s="1"/>
  <c r="V571" i="8" s="1"/>
  <c r="V572" i="8" s="1"/>
  <c r="V573" i="8" s="1"/>
  <c r="V574" i="8" s="1"/>
  <c r="V575" i="8" s="1"/>
  <c r="V576" i="8" s="1"/>
  <c r="V577" i="8" s="1"/>
  <c r="V578" i="8" s="1"/>
  <c r="V579" i="8" s="1"/>
  <c r="V580" i="8" s="1"/>
  <c r="V581" i="8" s="1"/>
  <c r="V582" i="8" s="1"/>
  <c r="V583" i="8" s="1"/>
  <c r="V584" i="8" s="1"/>
  <c r="V585" i="8" s="1"/>
  <c r="V586" i="8" s="1"/>
  <c r="V587" i="8" s="1"/>
  <c r="V588" i="8" s="1"/>
  <c r="V589" i="8" s="1"/>
  <c r="V590" i="8" s="1"/>
  <c r="V591" i="8" s="1"/>
  <c r="V592" i="8" s="1"/>
  <c r="V593" i="8" s="1"/>
  <c r="V594" i="8" s="1"/>
  <c r="V595" i="8" s="1"/>
  <c r="V596" i="8" s="1"/>
  <c r="V597" i="8" s="1"/>
  <c r="V598" i="8" s="1"/>
  <c r="V599" i="8" s="1"/>
  <c r="V600" i="8" s="1"/>
  <c r="V601" i="8" s="1"/>
  <c r="V602" i="8" s="1"/>
  <c r="V603" i="8" s="1"/>
  <c r="V604" i="8" s="1"/>
  <c r="V605" i="8" s="1"/>
  <c r="V606" i="8" s="1"/>
  <c r="V607" i="8" s="1"/>
  <c r="V608" i="8" s="1"/>
  <c r="V609" i="8" s="1"/>
  <c r="V610" i="8" s="1"/>
  <c r="V611" i="8" s="1"/>
  <c r="V612" i="8" s="1"/>
  <c r="V613" i="8" s="1"/>
  <c r="V614" i="8" s="1"/>
  <c r="V615" i="8" s="1"/>
  <c r="V616" i="8" s="1"/>
  <c r="V617" i="8" s="1"/>
  <c r="V618" i="8" s="1"/>
  <c r="V619" i="8" s="1"/>
  <c r="V620" i="8" s="1"/>
  <c r="V621" i="8" s="1"/>
  <c r="V622" i="8" s="1"/>
  <c r="V623" i="8" s="1"/>
  <c r="B613" i="8"/>
  <c r="B605" i="8"/>
  <c r="A598" i="8"/>
  <c r="B594" i="8"/>
  <c r="B585" i="8"/>
  <c r="A584" i="8"/>
  <c r="A580" i="8"/>
  <c r="B571" i="8"/>
  <c r="A562" i="8"/>
  <c r="B541" i="8"/>
  <c r="A539" i="8"/>
  <c r="B503" i="8"/>
  <c r="A488" i="8"/>
  <c r="B480" i="8"/>
  <c r="A472" i="8"/>
  <c r="B469" i="8"/>
  <c r="A463" i="8"/>
  <c r="B462" i="8"/>
  <c r="B461" i="8"/>
  <c r="B460" i="8"/>
  <c r="B459" i="8"/>
  <c r="B458" i="8"/>
  <c r="A447" i="8"/>
  <c r="A474" i="8" s="1"/>
  <c r="A489" i="8" s="1"/>
  <c r="A516" i="8" s="1"/>
  <c r="A517" i="8" s="1"/>
  <c r="A520" i="8" s="1"/>
  <c r="A521" i="8" s="1"/>
  <c r="A526" i="8" s="1"/>
  <c r="A540" i="8" s="1"/>
  <c r="A561" i="8" s="1"/>
  <c r="A574" i="8" s="1"/>
  <c r="A577" i="8" s="1"/>
  <c r="A621" i="8" s="1"/>
  <c r="B441" i="8"/>
  <c r="B431" i="8"/>
  <c r="B416" i="8"/>
  <c r="B402" i="8"/>
  <c r="B392" i="8"/>
  <c r="B391" i="8"/>
  <c r="B390" i="8"/>
  <c r="B387" i="8"/>
  <c r="B373" i="8"/>
  <c r="A365" i="8"/>
  <c r="A360" i="8"/>
  <c r="M350" i="8"/>
  <c r="M355" i="8" s="1"/>
  <c r="A350" i="8"/>
  <c r="B330" i="8"/>
  <c r="B285" i="8"/>
  <c r="V3" i="8"/>
  <c r="V4" i="8" s="1"/>
  <c r="V5" i="8" s="1"/>
  <c r="V6" i="8" s="1"/>
  <c r="V7" i="8" s="1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V84" i="8" s="1"/>
  <c r="V85" i="8" s="1"/>
  <c r="V86" i="8" s="1"/>
  <c r="V87" i="8" s="1"/>
  <c r="V88" i="8" s="1"/>
  <c r="V89" i="8" s="1"/>
  <c r="V90" i="8" s="1"/>
  <c r="V91" i="8" s="1"/>
  <c r="V92" i="8" s="1"/>
  <c r="V93" i="8" s="1"/>
  <c r="V94" i="8" s="1"/>
  <c r="V95" i="8" s="1"/>
  <c r="V96" i="8" s="1"/>
  <c r="V97" i="8" s="1"/>
  <c r="V98" i="8" s="1"/>
  <c r="V99" i="8" s="1"/>
  <c r="V100" i="8" s="1"/>
  <c r="V101" i="8" s="1"/>
  <c r="V102" i="8" s="1"/>
  <c r="V103" i="8" s="1"/>
  <c r="V104" i="8" s="1"/>
  <c r="V105" i="8" s="1"/>
  <c r="V106" i="8" s="1"/>
  <c r="V107" i="8" s="1"/>
  <c r="V108" i="8" s="1"/>
  <c r="V109" i="8" s="1"/>
  <c r="V110" i="8" s="1"/>
  <c r="V111" i="8" s="1"/>
  <c r="V112" i="8" s="1"/>
  <c r="V113" i="8" s="1"/>
  <c r="V114" i="8" s="1"/>
  <c r="V115" i="8" s="1"/>
  <c r="V116" i="8" s="1"/>
  <c r="V117" i="8" s="1"/>
  <c r="V118" i="8" s="1"/>
  <c r="V119" i="8" s="1"/>
  <c r="V120" i="8" s="1"/>
  <c r="V121" i="8" s="1"/>
  <c r="V122" i="8" s="1"/>
  <c r="V123" i="8" s="1"/>
  <c r="V124" i="8" s="1"/>
  <c r="V125" i="8" s="1"/>
  <c r="V126" i="8" s="1"/>
  <c r="V127" i="8" s="1"/>
  <c r="V128" i="8" s="1"/>
  <c r="V129" i="8" s="1"/>
  <c r="V130" i="8" s="1"/>
  <c r="V131" i="8" s="1"/>
  <c r="V132" i="8" s="1"/>
  <c r="V133" i="8" s="1"/>
  <c r="V134" i="8" s="1"/>
  <c r="V135" i="8" s="1"/>
  <c r="V136" i="8" s="1"/>
  <c r="V137" i="8" s="1"/>
  <c r="V138" i="8" s="1"/>
  <c r="V139" i="8" s="1"/>
  <c r="V140" i="8" s="1"/>
  <c r="V141" i="8" s="1"/>
  <c r="V142" i="8" s="1"/>
  <c r="V143" i="8" s="1"/>
  <c r="V144" i="8" s="1"/>
  <c r="V145" i="8" s="1"/>
  <c r="V146" i="8" s="1"/>
  <c r="V147" i="8" s="1"/>
  <c r="V148" i="8" s="1"/>
  <c r="V149" i="8" s="1"/>
  <c r="V150" i="8" s="1"/>
  <c r="V151" i="8" s="1"/>
  <c r="V152" i="8" s="1"/>
  <c r="V153" i="8" s="1"/>
  <c r="V154" i="8" s="1"/>
  <c r="V155" i="8" s="1"/>
  <c r="V156" i="8" s="1"/>
  <c r="V157" i="8" s="1"/>
  <c r="V158" i="8" s="1"/>
  <c r="V159" i="8" s="1"/>
  <c r="V160" i="8" s="1"/>
  <c r="V161" i="8" s="1"/>
  <c r="V162" i="8" s="1"/>
  <c r="V163" i="8" s="1"/>
  <c r="V164" i="8" s="1"/>
  <c r="V165" i="8" s="1"/>
  <c r="V166" i="8" s="1"/>
  <c r="V167" i="8" s="1"/>
  <c r="V168" i="8" s="1"/>
  <c r="V169" i="8" s="1"/>
  <c r="V170" i="8" s="1"/>
  <c r="V171" i="8" s="1"/>
  <c r="V172" i="8" s="1"/>
  <c r="V173" i="8" s="1"/>
  <c r="V174" i="8" s="1"/>
  <c r="V175" i="8" s="1"/>
  <c r="V176" i="8" s="1"/>
  <c r="V177" i="8" s="1"/>
  <c r="V178" i="8" s="1"/>
  <c r="V179" i="8" s="1"/>
  <c r="V180" i="8" s="1"/>
  <c r="V181" i="8" s="1"/>
  <c r="V182" i="8" s="1"/>
  <c r="V183" i="8" s="1"/>
  <c r="V184" i="8" s="1"/>
  <c r="V185" i="8" s="1"/>
  <c r="V186" i="8" s="1"/>
  <c r="V187" i="8" s="1"/>
  <c r="V188" i="8" s="1"/>
  <c r="V189" i="8" s="1"/>
  <c r="V190" i="8" s="1"/>
  <c r="V191" i="8" s="1"/>
  <c r="V192" i="8" s="1"/>
  <c r="V193" i="8" s="1"/>
  <c r="V194" i="8" s="1"/>
  <c r="V195" i="8" s="1"/>
  <c r="V196" i="8" s="1"/>
  <c r="V197" i="8" s="1"/>
  <c r="V198" i="8" s="1"/>
  <c r="V199" i="8" s="1"/>
  <c r="V200" i="8" s="1"/>
  <c r="V201" i="8" s="1"/>
  <c r="V202" i="8" s="1"/>
  <c r="V203" i="8" s="1"/>
  <c r="V204" i="8" s="1"/>
  <c r="V205" i="8" s="1"/>
  <c r="V206" i="8" s="1"/>
  <c r="V207" i="8" s="1"/>
  <c r="V208" i="8" s="1"/>
  <c r="V209" i="8" s="1"/>
  <c r="V210" i="8" s="1"/>
  <c r="V211" i="8" s="1"/>
  <c r="V212" i="8" s="1"/>
  <c r="V213" i="8" s="1"/>
  <c r="V214" i="8" s="1"/>
  <c r="V215" i="8" s="1"/>
  <c r="V216" i="8" s="1"/>
  <c r="V217" i="8" s="1"/>
  <c r="V218" i="8" s="1"/>
  <c r="V219" i="8" s="1"/>
  <c r="V220" i="8" s="1"/>
  <c r="V221" i="8" s="1"/>
  <c r="V222" i="8" s="1"/>
  <c r="V223" i="8" s="1"/>
  <c r="V224" i="8" s="1"/>
  <c r="V225" i="8" s="1"/>
  <c r="V226" i="8" s="1"/>
  <c r="V227" i="8" s="1"/>
  <c r="V228" i="8" s="1"/>
  <c r="V229" i="8" s="1"/>
  <c r="V230" i="8" s="1"/>
  <c r="V231" i="8" s="1"/>
  <c r="V232" i="8" s="1"/>
  <c r="V233" i="8" s="1"/>
  <c r="V234" i="8" s="1"/>
  <c r="V235" i="8" s="1"/>
  <c r="V236" i="8" s="1"/>
  <c r="V237" i="8" s="1"/>
  <c r="V238" i="8" s="1"/>
  <c r="V239" i="8" s="1"/>
  <c r="V240" i="8" s="1"/>
  <c r="V241" i="8" s="1"/>
  <c r="V242" i="8" s="1"/>
  <c r="V243" i="8" s="1"/>
  <c r="V244" i="8" s="1"/>
  <c r="V245" i="8" s="1"/>
  <c r="V246" i="8" s="1"/>
  <c r="V247" i="8" s="1"/>
  <c r="V248" i="8" s="1"/>
  <c r="V249" i="8" s="1"/>
  <c r="V250" i="8" s="1"/>
  <c r="V251" i="8" s="1"/>
  <c r="V252" i="8" s="1"/>
  <c r="V253" i="8" s="1"/>
  <c r="V254" i="8" s="1"/>
  <c r="V255" i="8" s="1"/>
  <c r="V256" i="8" s="1"/>
  <c r="V257" i="8" s="1"/>
  <c r="V258" i="8" s="1"/>
  <c r="V259" i="8" s="1"/>
  <c r="V260" i="8" s="1"/>
  <c r="V261" i="8" s="1"/>
  <c r="V262" i="8" s="1"/>
  <c r="V263" i="8" s="1"/>
  <c r="V264" i="8" s="1"/>
  <c r="V265" i="8" s="1"/>
  <c r="V266" i="8" s="1"/>
  <c r="V267" i="8" s="1"/>
  <c r="V268" i="8" s="1"/>
  <c r="V269" i="8" s="1"/>
  <c r="V270" i="8" s="1"/>
  <c r="V271" i="8" s="1"/>
  <c r="V272" i="8" s="1"/>
  <c r="V273" i="8" s="1"/>
  <c r="V274" i="8" s="1"/>
  <c r="V275" i="8" s="1"/>
  <c r="V276" i="8" s="1"/>
  <c r="V277" i="8" s="1"/>
  <c r="V278" i="8" s="1"/>
  <c r="V279" i="8" s="1"/>
  <c r="V280" i="8" s="1"/>
  <c r="V281" i="8" s="1"/>
  <c r="V282" i="8" s="1"/>
  <c r="V283" i="8" s="1"/>
  <c r="A199" i="8"/>
  <c r="A183" i="8"/>
  <c r="A195" i="8" s="1"/>
  <c r="A196" i="8" s="1"/>
  <c r="A197" i="8" s="1"/>
  <c r="A244" i="8" s="1"/>
  <c r="A182" i="8"/>
  <c r="A145" i="8"/>
  <c r="A180" i="8" s="1"/>
  <c r="A201" i="8" s="1"/>
  <c r="A219" i="8" s="1"/>
  <c r="A283" i="8" s="1"/>
  <c r="A48" i="8"/>
  <c r="A55" i="8" s="1"/>
  <c r="A59" i="8" s="1"/>
  <c r="A73" i="8" s="1"/>
  <c r="A75" i="8" s="1"/>
  <c r="A80" i="8" s="1"/>
  <c r="A110" i="8" s="1"/>
  <c r="A137" i="8" s="1"/>
  <c r="A149" i="8" s="1"/>
  <c r="A154" i="8" s="1"/>
  <c r="A160" i="8" s="1"/>
  <c r="A162" i="8" s="1"/>
  <c r="A202" i="8" s="1"/>
  <c r="A226" i="8" s="1"/>
  <c r="A277" i="8" s="1"/>
  <c r="M47" i="8"/>
  <c r="M162" i="8" s="1"/>
  <c r="W2" i="2"/>
  <c r="AN2" i="2" s="1"/>
  <c r="B331" i="2"/>
  <c r="K331" i="2" s="1"/>
  <c r="B323" i="2"/>
  <c r="AI323" i="2" s="1"/>
  <c r="B312" i="2"/>
  <c r="AI312" i="2" s="1"/>
  <c r="B303" i="2"/>
  <c r="B289" i="2"/>
  <c r="B259" i="2"/>
  <c r="B221" i="2"/>
  <c r="B198" i="2"/>
  <c r="B187" i="2"/>
  <c r="B180" i="2"/>
  <c r="AI180" i="2" s="1"/>
  <c r="B179" i="2"/>
  <c r="B178" i="2"/>
  <c r="B177" i="2"/>
  <c r="B176" i="2"/>
  <c r="AI176" i="2" s="1"/>
  <c r="B159" i="2"/>
  <c r="B149" i="2"/>
  <c r="B134" i="2"/>
  <c r="B120" i="2"/>
  <c r="B110" i="2"/>
  <c r="B109" i="2"/>
  <c r="B108" i="2"/>
  <c r="B105" i="2"/>
  <c r="B91" i="2"/>
  <c r="K91" i="2" s="1"/>
  <c r="B48" i="2"/>
  <c r="B3" i="2"/>
  <c r="B2" i="18" l="1" a="1"/>
  <c r="B2" i="18" s="1"/>
  <c r="AI27" i="3"/>
  <c r="K3" i="2"/>
  <c r="AE191" i="2"/>
  <c r="AF191" i="2" s="1"/>
  <c r="AI108" i="2"/>
  <c r="AI134" i="2"/>
  <c r="AI177" i="2"/>
  <c r="K187" i="2"/>
  <c r="AA187" i="2" s="1"/>
  <c r="AI289" i="2"/>
  <c r="K110" i="2"/>
  <c r="AA110" i="2" s="1"/>
  <c r="K159" i="2"/>
  <c r="AA159" i="2" s="1"/>
  <c r="K179" i="2"/>
  <c r="AA179" i="2" s="1"/>
  <c r="K221" i="2"/>
  <c r="AA221" i="2" s="1"/>
  <c r="AI105" i="2"/>
  <c r="AI120" i="2"/>
  <c r="AI259" i="2"/>
  <c r="AI48" i="2"/>
  <c r="K109" i="2"/>
  <c r="AA109" i="2" s="1"/>
  <c r="AI149" i="2"/>
  <c r="K178" i="2"/>
  <c r="AA178" i="2" s="1"/>
  <c r="K198" i="2"/>
  <c r="K303" i="2"/>
  <c r="AA303" i="2" s="1"/>
  <c r="K459" i="8"/>
  <c r="AC459" i="8" s="1"/>
  <c r="AD459" i="8" s="1"/>
  <c r="AQ459" i="8" s="1"/>
  <c r="W387" i="8"/>
  <c r="K402" i="8"/>
  <c r="AC402" i="8" s="1"/>
  <c r="AD402" i="8" s="1"/>
  <c r="AQ402" i="8" s="1"/>
  <c r="K461" i="8"/>
  <c r="AC461" i="8" s="1"/>
  <c r="X626" i="8"/>
  <c r="AF625" i="8"/>
  <c r="K391" i="8"/>
  <c r="AC391" i="8" s="1"/>
  <c r="AD391" i="8" s="1"/>
  <c r="AQ391" i="8" s="1"/>
  <c r="W285" i="8"/>
  <c r="K390" i="8"/>
  <c r="AC390" i="8" s="1"/>
  <c r="W416" i="8"/>
  <c r="K458" i="8"/>
  <c r="AC458" i="8" s="1"/>
  <c r="AD458" i="8" s="1"/>
  <c r="AQ458" i="8" s="1"/>
  <c r="K462" i="8"/>
  <c r="AC462" i="8" s="1"/>
  <c r="W480" i="8"/>
  <c r="K541" i="8"/>
  <c r="AC541" i="8" s="1"/>
  <c r="AD541" i="8" s="1"/>
  <c r="AQ541" i="8" s="1"/>
  <c r="K605" i="8"/>
  <c r="AC605" i="8" s="1"/>
  <c r="AD605" i="8" s="1"/>
  <c r="AQ605" i="8" s="1"/>
  <c r="K330" i="8"/>
  <c r="AC330" i="8" s="1"/>
  <c r="K613" i="8"/>
  <c r="AC613" i="8" s="1"/>
  <c r="AD613" i="8" s="1"/>
  <c r="AQ613" i="8" s="1"/>
  <c r="K661" i="8"/>
  <c r="AC661" i="8" s="1"/>
  <c r="AD661" i="8" s="1"/>
  <c r="AQ661" i="8" s="1"/>
  <c r="K431" i="8"/>
  <c r="AC431" i="8" s="1"/>
  <c r="AD431" i="8" s="1"/>
  <c r="AQ431" i="8" s="1"/>
  <c r="K585" i="8"/>
  <c r="AC585" i="8" s="1"/>
  <c r="AF3" i="8"/>
  <c r="K373" i="8"/>
  <c r="AC373" i="8" s="1"/>
  <c r="AD373" i="8" s="1"/>
  <c r="AQ373" i="8" s="1"/>
  <c r="K392" i="8"/>
  <c r="AC392" i="8" s="1"/>
  <c r="AD392" i="8" s="1"/>
  <c r="AQ392" i="8" s="1"/>
  <c r="K441" i="8"/>
  <c r="AC441" i="8" s="1"/>
  <c r="K460" i="8"/>
  <c r="AC460" i="8" s="1"/>
  <c r="AD460" i="8" s="1"/>
  <c r="AQ460" i="8" s="1"/>
  <c r="K469" i="8"/>
  <c r="AC469" i="8" s="1"/>
  <c r="AD469" i="8" s="1"/>
  <c r="AQ469" i="8" s="1"/>
  <c r="K503" i="8"/>
  <c r="AC503" i="8" s="1"/>
  <c r="AD503" i="8" s="1"/>
  <c r="AQ503" i="8" s="1"/>
  <c r="W571" i="8"/>
  <c r="K594" i="8"/>
  <c r="AC594" i="8" s="1"/>
  <c r="X286" i="8"/>
  <c r="AF285" i="8"/>
  <c r="W460" i="8"/>
  <c r="W392" i="8"/>
  <c r="W503" i="8"/>
  <c r="W459" i="8"/>
  <c r="W431" i="8"/>
  <c r="W391" i="8"/>
  <c r="W594" i="8"/>
  <c r="W462" i="8"/>
  <c r="W458" i="8"/>
  <c r="W402" i="8"/>
  <c r="W390" i="8"/>
  <c r="W330" i="8"/>
  <c r="W661" i="8"/>
  <c r="W613" i="8"/>
  <c r="W605" i="8"/>
  <c r="W585" i="8"/>
  <c r="W541" i="8"/>
  <c r="W469" i="8"/>
  <c r="W461" i="8"/>
  <c r="W441" i="8"/>
  <c r="W373" i="8"/>
  <c r="AI178" i="2"/>
  <c r="AI221" i="2"/>
  <c r="AI109" i="2"/>
  <c r="AI303" i="2"/>
  <c r="AI198" i="2"/>
  <c r="K323" i="2"/>
  <c r="AA323" i="2" s="1"/>
  <c r="AI110" i="2"/>
  <c r="AI331" i="2"/>
  <c r="AI187" i="2"/>
  <c r="AI179" i="2"/>
  <c r="AI159" i="2"/>
  <c r="AI91" i="2"/>
  <c r="AI3" i="2"/>
  <c r="K387" i="8"/>
  <c r="AC387" i="8" s="1"/>
  <c r="AD387" i="8" s="1"/>
  <c r="AQ387" i="8" s="1"/>
  <c r="K285" i="8"/>
  <c r="AC285" i="8" s="1"/>
  <c r="AD285" i="8" s="1"/>
  <c r="AQ285" i="8" s="1"/>
  <c r="K416" i="8"/>
  <c r="AC416" i="8" s="1"/>
  <c r="AD416" i="8" s="1"/>
  <c r="AQ416" i="8" s="1"/>
  <c r="K480" i="8"/>
  <c r="AC480" i="8" s="1"/>
  <c r="AD480" i="8" s="1"/>
  <c r="AQ480" i="8" s="1"/>
  <c r="K571" i="8"/>
  <c r="AC571" i="8" s="1"/>
  <c r="AD571" i="8" s="1"/>
  <c r="AQ571" i="8" s="1"/>
  <c r="AC2" i="8"/>
  <c r="AD2" i="8" s="1"/>
  <c r="AQ2" i="8" s="1"/>
  <c r="K27" i="3"/>
  <c r="AA27" i="3" s="1"/>
  <c r="K105" i="2"/>
  <c r="AA105" i="2" s="1"/>
  <c r="K120" i="2"/>
  <c r="AA120" i="2" s="1"/>
  <c r="K176" i="2"/>
  <c r="AA176" i="2" s="1"/>
  <c r="K180" i="2"/>
  <c r="AA180" i="2" s="1"/>
  <c r="AA3" i="2"/>
  <c r="K108" i="2"/>
  <c r="AA108" i="2" s="1"/>
  <c r="K134" i="2"/>
  <c r="AA134" i="2" s="1"/>
  <c r="K177" i="2"/>
  <c r="AA177" i="2" s="1"/>
  <c r="K289" i="2"/>
  <c r="AA289" i="2" s="1"/>
  <c r="AA331" i="2"/>
  <c r="K259" i="2"/>
  <c r="AA259" i="2" s="1"/>
  <c r="AA198" i="2"/>
  <c r="K149" i="2"/>
  <c r="AA149" i="2" s="1"/>
  <c r="AA91" i="2"/>
  <c r="K312" i="2"/>
  <c r="AA312" i="2" s="1"/>
  <c r="K48" i="2"/>
  <c r="AA48" i="2" s="1"/>
  <c r="AD585" i="8"/>
  <c r="AQ585" i="8" s="1"/>
  <c r="AD441" i="8"/>
  <c r="AQ441" i="8" s="1"/>
  <c r="AD594" i="8"/>
  <c r="AQ594" i="8" s="1"/>
  <c r="AD461" i="8"/>
  <c r="AQ461" i="8" s="1"/>
  <c r="AB2" i="2"/>
  <c r="AA2" i="1"/>
  <c r="AB2" i="1" s="1"/>
  <c r="AR2" i="1" s="1"/>
  <c r="AD722" i="8"/>
  <c r="AQ722" i="8" s="1"/>
  <c r="AD718" i="8"/>
  <c r="AQ718" i="8" s="1"/>
  <c r="AD714" i="8"/>
  <c r="AQ714" i="8" s="1"/>
  <c r="AD710" i="8"/>
  <c r="AQ710" i="8" s="1"/>
  <c r="AD658" i="8"/>
  <c r="AQ658" i="8" s="1"/>
  <c r="AD654" i="8"/>
  <c r="AQ654" i="8" s="1"/>
  <c r="AD650" i="8"/>
  <c r="AQ650" i="8" s="1"/>
  <c r="AD646" i="8"/>
  <c r="AQ646" i="8" s="1"/>
  <c r="AD638" i="8"/>
  <c r="AQ638" i="8" s="1"/>
  <c r="AD590" i="8"/>
  <c r="AQ590" i="8" s="1"/>
  <c r="AD586" i="8"/>
  <c r="AQ586" i="8" s="1"/>
  <c r="AD502" i="8"/>
  <c r="AQ502" i="8" s="1"/>
  <c r="AD494" i="8"/>
  <c r="AQ494" i="8" s="1"/>
  <c r="AD490" i="8"/>
  <c r="AQ490" i="8" s="1"/>
  <c r="AD486" i="8"/>
  <c r="AQ486" i="8" s="1"/>
  <c r="AD438" i="8"/>
  <c r="AQ438" i="8" s="1"/>
  <c r="AD434" i="8"/>
  <c r="AQ434" i="8" s="1"/>
  <c r="AD370" i="8"/>
  <c r="AQ370" i="8" s="1"/>
  <c r="AD362" i="8"/>
  <c r="AQ362" i="8" s="1"/>
  <c r="AD358" i="8"/>
  <c r="AQ358" i="8" s="1"/>
  <c r="AD354" i="8"/>
  <c r="AQ354" i="8" s="1"/>
  <c r="AD350" i="8"/>
  <c r="AQ350" i="8" s="1"/>
  <c r="AD342" i="8"/>
  <c r="AQ342" i="8" s="1"/>
  <c r="AD338" i="8"/>
  <c r="AQ338" i="8" s="1"/>
  <c r="AD334" i="8"/>
  <c r="AQ334" i="8" s="1"/>
  <c r="AD390" i="8"/>
  <c r="AQ390" i="8" s="1"/>
  <c r="AD462" i="8"/>
  <c r="AQ462" i="8" s="1"/>
  <c r="AD842" i="8"/>
  <c r="AQ842" i="8" s="1"/>
  <c r="AD838" i="8"/>
  <c r="AQ838" i="8" s="1"/>
  <c r="AD830" i="8"/>
  <c r="AQ830" i="8" s="1"/>
  <c r="AD826" i="8"/>
  <c r="AQ826" i="8" s="1"/>
  <c r="AD822" i="8"/>
  <c r="AQ822" i="8" s="1"/>
  <c r="AD814" i="8"/>
  <c r="AQ814" i="8" s="1"/>
  <c r="AD810" i="8"/>
  <c r="AQ810" i="8" s="1"/>
  <c r="AD806" i="8"/>
  <c r="AQ806" i="8" s="1"/>
  <c r="AD802" i="8"/>
  <c r="AQ802" i="8" s="1"/>
  <c r="AD798" i="8"/>
  <c r="AQ798" i="8" s="1"/>
  <c r="AD794" i="8"/>
  <c r="AQ794" i="8" s="1"/>
  <c r="AD790" i="8"/>
  <c r="AQ790" i="8" s="1"/>
  <c r="AD786" i="8"/>
  <c r="AQ786" i="8" s="1"/>
  <c r="AD782" i="8"/>
  <c r="AQ782" i="8" s="1"/>
  <c r="AD778" i="8"/>
  <c r="AQ778" i="8" s="1"/>
  <c r="AD774" i="8"/>
  <c r="AQ774" i="8" s="1"/>
  <c r="AD766" i="8"/>
  <c r="AQ766" i="8" s="1"/>
  <c r="AD762" i="8"/>
  <c r="AQ762" i="8" s="1"/>
  <c r="AD758" i="8"/>
  <c r="AQ758" i="8" s="1"/>
  <c r="AD750" i="8"/>
  <c r="AQ750" i="8" s="1"/>
  <c r="AD746" i="8"/>
  <c r="AQ746" i="8" s="1"/>
  <c r="AD742" i="8"/>
  <c r="AQ742" i="8" s="1"/>
  <c r="AD734" i="8"/>
  <c r="AQ734" i="8" s="1"/>
  <c r="AD730" i="8"/>
  <c r="AQ730" i="8" s="1"/>
  <c r="AD682" i="8"/>
  <c r="AQ682" i="8" s="1"/>
  <c r="AD678" i="8"/>
  <c r="AQ678" i="8" s="1"/>
  <c r="AD670" i="8"/>
  <c r="AQ670" i="8" s="1"/>
  <c r="AD666" i="8"/>
  <c r="AQ666" i="8" s="1"/>
  <c r="AD662" i="8"/>
  <c r="AQ662" i="8" s="1"/>
  <c r="AD602" i="8"/>
  <c r="AQ602" i="8" s="1"/>
  <c r="AD598" i="8"/>
  <c r="AQ598" i="8" s="1"/>
  <c r="AD538" i="8"/>
  <c r="AQ538" i="8" s="1"/>
  <c r="AD534" i="8"/>
  <c r="AQ534" i="8" s="1"/>
  <c r="AD526" i="8"/>
  <c r="AQ526" i="8" s="1"/>
  <c r="AD522" i="8"/>
  <c r="AQ522" i="8" s="1"/>
  <c r="AD518" i="8"/>
  <c r="AQ518" i="8" s="1"/>
  <c r="AD510" i="8"/>
  <c r="AQ510" i="8" s="1"/>
  <c r="AD506" i="8"/>
  <c r="AQ506" i="8" s="1"/>
  <c r="AD446" i="8"/>
  <c r="AQ446" i="8" s="1"/>
  <c r="AD442" i="8"/>
  <c r="AQ442" i="8" s="1"/>
  <c r="AD398" i="8"/>
  <c r="AQ398" i="8" s="1"/>
  <c r="AD394" i="8"/>
  <c r="AQ394" i="8" s="1"/>
  <c r="AD382" i="8"/>
  <c r="AQ382" i="8" s="1"/>
  <c r="AD378" i="8"/>
  <c r="AQ378" i="8" s="1"/>
  <c r="AD374" i="8"/>
  <c r="AQ374" i="8" s="1"/>
  <c r="AD330" i="8"/>
  <c r="AQ330" i="8" s="1"/>
  <c r="AD845" i="8"/>
  <c r="AQ845" i="8" s="1"/>
  <c r="AD841" i="8"/>
  <c r="AQ841" i="8" s="1"/>
  <c r="AD833" i="8"/>
  <c r="AQ833" i="8" s="1"/>
  <c r="AD829" i="8"/>
  <c r="AQ829" i="8" s="1"/>
  <c r="AD825" i="8"/>
  <c r="AQ825" i="8" s="1"/>
  <c r="AD817" i="8"/>
  <c r="AQ817" i="8" s="1"/>
  <c r="AD813" i="8"/>
  <c r="AQ813" i="8" s="1"/>
  <c r="AD809" i="8"/>
  <c r="AQ809" i="8" s="1"/>
  <c r="AD801" i="8"/>
  <c r="AQ801" i="8" s="1"/>
  <c r="AD797" i="8"/>
  <c r="AQ797" i="8" s="1"/>
  <c r="AD793" i="8"/>
  <c r="AQ793" i="8" s="1"/>
  <c r="AD785" i="8"/>
  <c r="AQ785" i="8" s="1"/>
  <c r="AD781" i="8"/>
  <c r="AQ781" i="8" s="1"/>
  <c r="AD777" i="8"/>
  <c r="AQ777" i="8" s="1"/>
  <c r="AD769" i="8"/>
  <c r="AQ769" i="8" s="1"/>
  <c r="AD765" i="8"/>
  <c r="AQ765" i="8" s="1"/>
  <c r="AD761" i="8"/>
  <c r="AQ761" i="8" s="1"/>
  <c r="AD753" i="8"/>
  <c r="AQ753" i="8" s="1"/>
  <c r="AD749" i="8"/>
  <c r="AQ749" i="8" s="1"/>
  <c r="AD745" i="8"/>
  <c r="AQ745" i="8" s="1"/>
  <c r="AD737" i="8"/>
  <c r="AQ737" i="8" s="1"/>
  <c r="AD733" i="8"/>
  <c r="AQ733" i="8" s="1"/>
  <c r="AD729" i="8"/>
  <c r="AQ729" i="8" s="1"/>
  <c r="AD694" i="8"/>
  <c r="AQ694" i="8" s="1"/>
  <c r="AD690" i="8"/>
  <c r="AQ690" i="8" s="1"/>
  <c r="AD686" i="8"/>
  <c r="AQ686" i="8" s="1"/>
  <c r="AD681" i="8"/>
  <c r="AQ681" i="8" s="1"/>
  <c r="AD677" i="8"/>
  <c r="AQ677" i="8" s="1"/>
  <c r="AD669" i="8"/>
  <c r="AQ669" i="8" s="1"/>
  <c r="AD665" i="8"/>
  <c r="AQ665" i="8" s="1"/>
  <c r="AD610" i="8"/>
  <c r="AQ610" i="8" s="1"/>
  <c r="AD606" i="8"/>
  <c r="AQ606" i="8" s="1"/>
  <c r="AD570" i="8"/>
  <c r="AQ570" i="8" s="1"/>
  <c r="AD566" i="8"/>
  <c r="AQ566" i="8" s="1"/>
  <c r="AD562" i="8"/>
  <c r="AQ562" i="8" s="1"/>
  <c r="AD558" i="8"/>
  <c r="AQ558" i="8" s="1"/>
  <c r="AD554" i="8"/>
  <c r="AQ554" i="8" s="1"/>
  <c r="AD550" i="8"/>
  <c r="AQ550" i="8" s="1"/>
  <c r="AD546" i="8"/>
  <c r="AQ546" i="8" s="1"/>
  <c r="AD542" i="8"/>
  <c r="AQ542" i="8" s="1"/>
  <c r="AD466" i="8"/>
  <c r="AQ466" i="8" s="1"/>
  <c r="AD414" i="8"/>
  <c r="AQ414" i="8" s="1"/>
  <c r="AD410" i="8"/>
  <c r="AQ410" i="8" s="1"/>
  <c r="AD406" i="8"/>
  <c r="AQ406" i="8" s="1"/>
  <c r="AD282" i="8"/>
  <c r="AQ282" i="8" s="1"/>
  <c r="AD278" i="8"/>
  <c r="AQ278" i="8" s="1"/>
  <c r="AD274" i="8"/>
  <c r="AQ274" i="8" s="1"/>
  <c r="AD270" i="8"/>
  <c r="AQ270" i="8" s="1"/>
  <c r="AD266" i="8"/>
  <c r="AQ266" i="8" s="1"/>
  <c r="AD262" i="8"/>
  <c r="AQ262" i="8" s="1"/>
  <c r="AD258" i="8"/>
  <c r="AQ258" i="8" s="1"/>
  <c r="AD254" i="8"/>
  <c r="AQ254" i="8" s="1"/>
  <c r="AD250" i="8"/>
  <c r="AQ250" i="8" s="1"/>
  <c r="AD246" i="8"/>
  <c r="AQ246" i="8" s="1"/>
  <c r="AD242" i="8"/>
  <c r="AQ242" i="8" s="1"/>
  <c r="AD234" i="8"/>
  <c r="AQ234" i="8" s="1"/>
  <c r="AD230" i="8"/>
  <c r="AQ230" i="8" s="1"/>
  <c r="AD226" i="8"/>
  <c r="AQ226" i="8" s="1"/>
  <c r="AD222" i="8"/>
  <c r="AQ222" i="8" s="1"/>
  <c r="AD218" i="8"/>
  <c r="AQ218" i="8" s="1"/>
  <c r="AD214" i="8"/>
  <c r="AQ214" i="8" s="1"/>
  <c r="AD210" i="8"/>
  <c r="AQ210" i="8" s="1"/>
  <c r="AD206" i="8"/>
  <c r="AQ206" i="8" s="1"/>
  <c r="AD202" i="8"/>
  <c r="AQ202" i="8" s="1"/>
  <c r="AD198" i="8"/>
  <c r="AQ198" i="8" s="1"/>
  <c r="AD194" i="8"/>
  <c r="AQ194" i="8" s="1"/>
  <c r="AD190" i="8"/>
  <c r="AQ190" i="8" s="1"/>
  <c r="AD186" i="8"/>
  <c r="AQ186" i="8" s="1"/>
  <c r="AD182" i="8"/>
  <c r="AQ182" i="8" s="1"/>
  <c r="AD178" i="8"/>
  <c r="AQ178" i="8" s="1"/>
  <c r="AD174" i="8"/>
  <c r="AQ174" i="8" s="1"/>
  <c r="AD170" i="8"/>
  <c r="AQ170" i="8" s="1"/>
  <c r="AD166" i="8"/>
  <c r="AQ166" i="8" s="1"/>
  <c r="AD162" i="8"/>
  <c r="AQ162" i="8" s="1"/>
  <c r="AD158" i="8"/>
  <c r="AQ158" i="8" s="1"/>
  <c r="AD154" i="8"/>
  <c r="AQ154" i="8" s="1"/>
  <c r="AD150" i="8"/>
  <c r="AQ150" i="8" s="1"/>
  <c r="AD146" i="8"/>
  <c r="AQ146" i="8" s="1"/>
  <c r="AD142" i="8"/>
  <c r="AQ142" i="8" s="1"/>
  <c r="AD138" i="8"/>
  <c r="AQ138" i="8" s="1"/>
  <c r="AD130" i="8"/>
  <c r="AQ130" i="8" s="1"/>
  <c r="AD126" i="8"/>
  <c r="AQ126" i="8" s="1"/>
  <c r="AD122" i="8"/>
  <c r="AQ122" i="8" s="1"/>
  <c r="AD118" i="8"/>
  <c r="AQ118" i="8" s="1"/>
  <c r="AD114" i="8"/>
  <c r="AQ114" i="8" s="1"/>
  <c r="AD106" i="8"/>
  <c r="AQ106" i="8" s="1"/>
  <c r="AD102" i="8"/>
  <c r="AQ102" i="8" s="1"/>
  <c r="AD98" i="8"/>
  <c r="AQ98" i="8" s="1"/>
  <c r="AD94" i="8"/>
  <c r="AQ94" i="8" s="1"/>
  <c r="AD90" i="8"/>
  <c r="AQ90" i="8" s="1"/>
  <c r="AD86" i="8"/>
  <c r="AQ86" i="8" s="1"/>
  <c r="AD82" i="8"/>
  <c r="AQ82" i="8" s="1"/>
  <c r="AD78" i="8"/>
  <c r="AQ78" i="8" s="1"/>
  <c r="AD74" i="8"/>
  <c r="AQ74" i="8" s="1"/>
  <c r="AD70" i="8"/>
  <c r="AQ70" i="8" s="1"/>
  <c r="AD66" i="8"/>
  <c r="AQ66" i="8" s="1"/>
  <c r="AD62" i="8"/>
  <c r="AQ62" i="8" s="1"/>
  <c r="AD58" i="8"/>
  <c r="AQ58" i="8" s="1"/>
  <c r="AD54" i="8"/>
  <c r="AQ54" i="8" s="1"/>
  <c r="AD50" i="8"/>
  <c r="AQ50" i="8" s="1"/>
  <c r="AD46" i="8"/>
  <c r="AQ46" i="8" s="1"/>
  <c r="AD42" i="8"/>
  <c r="AQ42" i="8" s="1"/>
  <c r="AD38" i="8"/>
  <c r="AQ38" i="8" s="1"/>
  <c r="AD34" i="8"/>
  <c r="AQ34" i="8" s="1"/>
  <c r="AD30" i="8"/>
  <c r="AQ30" i="8" s="1"/>
  <c r="AD26" i="8"/>
  <c r="AQ26" i="8" s="1"/>
  <c r="AD22" i="8"/>
  <c r="AQ22" i="8" s="1"/>
  <c r="AD18" i="8"/>
  <c r="AQ18" i="8" s="1"/>
  <c r="AD14" i="8"/>
  <c r="AQ14" i="8" s="1"/>
  <c r="AD10" i="8"/>
  <c r="AQ10" i="8" s="1"/>
  <c r="AD6" i="8"/>
  <c r="AQ6" i="8" s="1"/>
  <c r="AI287" i="8"/>
  <c r="AG38" i="3"/>
  <c r="AG5" i="2"/>
  <c r="AI373" i="8"/>
  <c r="AI392" i="8"/>
  <c r="Z563" i="8"/>
  <c r="Z546" i="8"/>
  <c r="Z362" i="8"/>
  <c r="Z340" i="8"/>
  <c r="Z470" i="8"/>
  <c r="Z424" i="8"/>
  <c r="Z706" i="8"/>
  <c r="Z537" i="8"/>
  <c r="Z381" i="8"/>
  <c r="Z277" i="8"/>
  <c r="Z632" i="8"/>
  <c r="Z384" i="8"/>
  <c r="Z59" i="8"/>
  <c r="AI330" i="8"/>
  <c r="AI391" i="8"/>
  <c r="AI431" i="8"/>
  <c r="AI459" i="8"/>
  <c r="AI585" i="8"/>
  <c r="AI613" i="8"/>
  <c r="AI441" i="8"/>
  <c r="AI460" i="8"/>
  <c r="AI469" i="8"/>
  <c r="AI503" i="8"/>
  <c r="AI571" i="8"/>
  <c r="AI594" i="8"/>
  <c r="AI387" i="8"/>
  <c r="AI402" i="8"/>
  <c r="AI461" i="8"/>
  <c r="AI390" i="8"/>
  <c r="AI416" i="8"/>
  <c r="AI458" i="8"/>
  <c r="AI462" i="8"/>
  <c r="AI480" i="8"/>
  <c r="AI541" i="8"/>
  <c r="AI605" i="8"/>
  <c r="AI634" i="8"/>
  <c r="AI630" i="8"/>
  <c r="AI626" i="8"/>
  <c r="AI622" i="8"/>
  <c r="AI618" i="8"/>
  <c r="AI614" i="8"/>
  <c r="AI610" i="8"/>
  <c r="AI606" i="8"/>
  <c r="AI602" i="8"/>
  <c r="AI598" i="8"/>
  <c r="AI590" i="8"/>
  <c r="AI586" i="8"/>
  <c r="AI582" i="8"/>
  <c r="AI578" i="8"/>
  <c r="AI574" i="8"/>
  <c r="AI570" i="8"/>
  <c r="AI566" i="8"/>
  <c r="AI562" i="8"/>
  <c r="AI558" i="8"/>
  <c r="AI554" i="8"/>
  <c r="AI550" i="8"/>
  <c r="AI546" i="8"/>
  <c r="AI542" i="8"/>
  <c r="AI538" i="8"/>
  <c r="AI534" i="8"/>
  <c r="AI530" i="8"/>
  <c r="AI526" i="8"/>
  <c r="AI522" i="8"/>
  <c r="AI518" i="8"/>
  <c r="AI514" i="8"/>
  <c r="AI510" i="8"/>
  <c r="AI506" i="8"/>
  <c r="AI502" i="8"/>
  <c r="AI498" i="8"/>
  <c r="AI494" i="8"/>
  <c r="AI490" i="8"/>
  <c r="AI486" i="8"/>
  <c r="AI482" i="8"/>
  <c r="AI478" i="8"/>
  <c r="AI474" i="8"/>
  <c r="AI470" i="8"/>
  <c r="AI466" i="8"/>
  <c r="AI454" i="8"/>
  <c r="AI450" i="8"/>
  <c r="AI446" i="8"/>
  <c r="AI442" i="8"/>
  <c r="AI438" i="8"/>
  <c r="AI434" i="8"/>
  <c r="AI430" i="8"/>
  <c r="AI426" i="8"/>
  <c r="AI422" i="8"/>
  <c r="AI418" i="8"/>
  <c r="AI414" i="8"/>
  <c r="AI410" i="8"/>
  <c r="AI406" i="8"/>
  <c r="AI398" i="8"/>
  <c r="AI394" i="8"/>
  <c r="AI386" i="8"/>
  <c r="AI382" i="8"/>
  <c r="AI378" i="8"/>
  <c r="AI374" i="8"/>
  <c r="AI370" i="8"/>
  <c r="AI366" i="8"/>
  <c r="AI362" i="8"/>
  <c r="AI358" i="8"/>
  <c r="AI354" i="8"/>
  <c r="AI350" i="8"/>
  <c r="AI346" i="8"/>
  <c r="AI342" i="8"/>
  <c r="AI338" i="8"/>
  <c r="AI334" i="8"/>
  <c r="AI326" i="8"/>
  <c r="AI322" i="8"/>
  <c r="AI318" i="8"/>
  <c r="AI314" i="8"/>
  <c r="AI310" i="8"/>
  <c r="AI306" i="8"/>
  <c r="AI302" i="8"/>
  <c r="AI298" i="8"/>
  <c r="AI294" i="8"/>
  <c r="AI290" i="8"/>
  <c r="AI286" i="8"/>
  <c r="AI633" i="8"/>
  <c r="AI629" i="8"/>
  <c r="AI625" i="8"/>
  <c r="AI621" i="8"/>
  <c r="AI617" i="8"/>
  <c r="AI609" i="8"/>
  <c r="AI601" i="8"/>
  <c r="AI597" i="8"/>
  <c r="AI593" i="8"/>
  <c r="AI589" i="8"/>
  <c r="AI581" i="8"/>
  <c r="AI577" i="8"/>
  <c r="AI573" i="8"/>
  <c r="AI569" i="8"/>
  <c r="AI565" i="8"/>
  <c r="AI561" i="8"/>
  <c r="AI557" i="8"/>
  <c r="AI553" i="8"/>
  <c r="AI549" i="8"/>
  <c r="AI545" i="8"/>
  <c r="AI537" i="8"/>
  <c r="AI533" i="8"/>
  <c r="AI529" i="8"/>
  <c r="AI525" i="8"/>
  <c r="AI521" i="8"/>
  <c r="AI517" i="8"/>
  <c r="AI513" i="8"/>
  <c r="AI509" i="8"/>
  <c r="AI505" i="8"/>
  <c r="AI501" i="8"/>
  <c r="AI497" i="8"/>
  <c r="AI493" i="8"/>
  <c r="AI489" i="8"/>
  <c r="AI485" i="8"/>
  <c r="AI481" i="8"/>
  <c r="AI477" i="8"/>
  <c r="AI473" i="8"/>
  <c r="AI465" i="8"/>
  <c r="AI457" i="8"/>
  <c r="AI453" i="8"/>
  <c r="AI449" i="8"/>
  <c r="AI445" i="8"/>
  <c r="AI437" i="8"/>
  <c r="AI433" i="8"/>
  <c r="AI429" i="8"/>
  <c r="AI425" i="8"/>
  <c r="AI421" i="8"/>
  <c r="AI417" i="8"/>
  <c r="AI413" i="8"/>
  <c r="AI409" i="8"/>
  <c r="AI405" i="8"/>
  <c r="AI401" i="8"/>
  <c r="AI397" i="8"/>
  <c r="AI393" i="8"/>
  <c r="AI389" i="8"/>
  <c r="AI385" i="8"/>
  <c r="AI381" i="8"/>
  <c r="AI377" i="8"/>
  <c r="AI369" i="8"/>
  <c r="AI365" i="8"/>
  <c r="AI361" i="8"/>
  <c r="AI357" i="8"/>
  <c r="AI353" i="8"/>
  <c r="AI349" i="8"/>
  <c r="AI345" i="8"/>
  <c r="AI341" i="8"/>
  <c r="AI337" i="8"/>
  <c r="AI333" i="8"/>
  <c r="AI329" i="8"/>
  <c r="AI325" i="8"/>
  <c r="AI321" i="8"/>
  <c r="AI317" i="8"/>
  <c r="AI313" i="8"/>
  <c r="AI309" i="8"/>
  <c r="AI305" i="8"/>
  <c r="AI301" i="8"/>
  <c r="AI297" i="8"/>
  <c r="AI293" i="8"/>
  <c r="AI289" i="8"/>
  <c r="AI285" i="8"/>
  <c r="AI632" i="8"/>
  <c r="AI628" i="8"/>
  <c r="AI624" i="8"/>
  <c r="AI620" i="8"/>
  <c r="AI616" i="8"/>
  <c r="AI612" i="8"/>
  <c r="AI608" i="8"/>
  <c r="AI604" i="8"/>
  <c r="AI600" i="8"/>
  <c r="AI596" i="8"/>
  <c r="AI592" i="8"/>
  <c r="AI588" i="8"/>
  <c r="AI584" i="8"/>
  <c r="AI580" i="8"/>
  <c r="AI576" i="8"/>
  <c r="AI572" i="8"/>
  <c r="AI568" i="8"/>
  <c r="AI564" i="8"/>
  <c r="AI560" i="8"/>
  <c r="AI556" i="8"/>
  <c r="AI552" i="8"/>
  <c r="AI548" i="8"/>
  <c r="AI544" i="8"/>
  <c r="AI540" i="8"/>
  <c r="AI536" i="8"/>
  <c r="AI532" i="8"/>
  <c r="AI528" i="8"/>
  <c r="AI524" i="8"/>
  <c r="AI520" i="8"/>
  <c r="AI516" i="8"/>
  <c r="AI512" i="8"/>
  <c r="AI508" i="8"/>
  <c r="AI504" i="8"/>
  <c r="AI500" i="8"/>
  <c r="AI496" i="8"/>
  <c r="AI492" i="8"/>
  <c r="AI488" i="8"/>
  <c r="AI484" i="8"/>
  <c r="AI476" i="8"/>
  <c r="AI472" i="8"/>
  <c r="AI468" i="8"/>
  <c r="AI464" i="8"/>
  <c r="AI456" i="8"/>
  <c r="AI452" i="8"/>
  <c r="AI448" i="8"/>
  <c r="AI444" i="8"/>
  <c r="AI440" i="8"/>
  <c r="AI436" i="8"/>
  <c r="AI432" i="8"/>
  <c r="AI428" i="8"/>
  <c r="AI424" i="8"/>
  <c r="AI420" i="8"/>
  <c r="AI412" i="8"/>
  <c r="AI408" i="8"/>
  <c r="AI404" i="8"/>
  <c r="AI400" i="8"/>
  <c r="AI396" i="8"/>
  <c r="AI388" i="8"/>
  <c r="AI384" i="8"/>
  <c r="AI380" i="8"/>
  <c r="AI376" i="8"/>
  <c r="AI372" i="8"/>
  <c r="AI368" i="8"/>
  <c r="AI364" i="8"/>
  <c r="AI360" i="8"/>
  <c r="AI356" i="8"/>
  <c r="AI352" i="8"/>
  <c r="AI348" i="8"/>
  <c r="AI344" i="8"/>
  <c r="AI340" i="8"/>
  <c r="AI336" i="8"/>
  <c r="AI332" i="8"/>
  <c r="AI328" i="8"/>
  <c r="AI324" i="8"/>
  <c r="AI320" i="8"/>
  <c r="AI316" i="8"/>
  <c r="AI312" i="8"/>
  <c r="AI308" i="8"/>
  <c r="AI304" i="8"/>
  <c r="AI300" i="8"/>
  <c r="AI296" i="8"/>
  <c r="AI292" i="8"/>
  <c r="AI288" i="8"/>
  <c r="AI635" i="8"/>
  <c r="AI631" i="8"/>
  <c r="AI627" i="8"/>
  <c r="AI623" i="8"/>
  <c r="AI619" i="8"/>
  <c r="AI615" i="8"/>
  <c r="AI611" i="8"/>
  <c r="AI607" i="8"/>
  <c r="AI603" i="8"/>
  <c r="AI599" i="8"/>
  <c r="AI595" i="8"/>
  <c r="AI591" i="8"/>
  <c r="AI587" i="8"/>
  <c r="AI583" i="8"/>
  <c r="AI579" i="8"/>
  <c r="AI575" i="8"/>
  <c r="AI567" i="8"/>
  <c r="AI563" i="8"/>
  <c r="AI559" i="8"/>
  <c r="AI555" i="8"/>
  <c r="AI551" i="8"/>
  <c r="AI547" i="8"/>
  <c r="AI543" i="8"/>
  <c r="AI539" i="8"/>
  <c r="AI535" i="8"/>
  <c r="AI531" i="8"/>
  <c r="AI527" i="8"/>
  <c r="AI523" i="8"/>
  <c r="AI519" i="8"/>
  <c r="AI515" i="8"/>
  <c r="AI511" i="8"/>
  <c r="AI507" i="8"/>
  <c r="AI499" i="8"/>
  <c r="AI495" i="8"/>
  <c r="AI491" i="8"/>
  <c r="AI487" i="8"/>
  <c r="AI483" i="8"/>
  <c r="AI479" i="8"/>
  <c r="AI475" i="8"/>
  <c r="AI471" i="8"/>
  <c r="AI467" i="8"/>
  <c r="AI463" i="8"/>
  <c r="AI455" i="8"/>
  <c r="AI451" i="8"/>
  <c r="AI447" i="8"/>
  <c r="AI443" i="8"/>
  <c r="AI439" i="8"/>
  <c r="AI435" i="8"/>
  <c r="AI427" i="8"/>
  <c r="AI423" i="8"/>
  <c r="AI419" i="8"/>
  <c r="AI415" i="8"/>
  <c r="AI411" i="8"/>
  <c r="AI407" i="8"/>
  <c r="AI403" i="8"/>
  <c r="AI399" i="8"/>
  <c r="AI395" i="8"/>
  <c r="AI383" i="8"/>
  <c r="AI379" i="8"/>
  <c r="AI375" i="8"/>
  <c r="AI371" i="8"/>
  <c r="AI367" i="8"/>
  <c r="AI363" i="8"/>
  <c r="AI359" i="8"/>
  <c r="AI355" i="8"/>
  <c r="AI351" i="8"/>
  <c r="AI347" i="8"/>
  <c r="AI343" i="8"/>
  <c r="AI339" i="8"/>
  <c r="AI335" i="8"/>
  <c r="AI331" i="8"/>
  <c r="AI327" i="8"/>
  <c r="AI323" i="8"/>
  <c r="AI319" i="8"/>
  <c r="AI315" i="8"/>
  <c r="AI311" i="8"/>
  <c r="AI307" i="8"/>
  <c r="AI303" i="8"/>
  <c r="AI299" i="8"/>
  <c r="AI295" i="8"/>
  <c r="AI291" i="8"/>
  <c r="Z80" i="8"/>
  <c r="Z589" i="8"/>
  <c r="Z557" i="8"/>
  <c r="B111" i="5"/>
  <c r="B121" i="5" s="1"/>
  <c r="Z765" i="8"/>
  <c r="Z160" i="8"/>
  <c r="Z110" i="8"/>
  <c r="Z48" i="8"/>
  <c r="Z776" i="8"/>
  <c r="Z730" i="8"/>
  <c r="Z713" i="8"/>
  <c r="Z226" i="8"/>
  <c r="Z154" i="8"/>
  <c r="Z149" i="8"/>
  <c r="Z137" i="8"/>
  <c r="Z75" i="8"/>
  <c r="Z47" i="8"/>
  <c r="Z744" i="8"/>
  <c r="Z740" i="8"/>
  <c r="Z712" i="8"/>
  <c r="Z692" i="8"/>
  <c r="Z679" i="8"/>
  <c r="Z633" i="8"/>
  <c r="Z162" i="8"/>
  <c r="Z73" i="8"/>
  <c r="B685" i="8"/>
  <c r="AG34" i="3"/>
  <c r="AG27" i="3"/>
  <c r="AG31" i="3"/>
  <c r="AG35" i="3"/>
  <c r="AG28" i="3"/>
  <c r="AG32" i="3"/>
  <c r="AG36" i="3"/>
  <c r="AG29" i="3"/>
  <c r="AG33" i="3"/>
  <c r="AG37" i="3"/>
  <c r="AG30" i="3"/>
  <c r="B39" i="3"/>
  <c r="B636" i="8"/>
  <c r="X4" i="8"/>
  <c r="AG134" i="2"/>
  <c r="AG109" i="2"/>
  <c r="AG149" i="2"/>
  <c r="AG178" i="2"/>
  <c r="AG120" i="2"/>
  <c r="AG176" i="2"/>
  <c r="AG180" i="2"/>
  <c r="AG339" i="2"/>
  <c r="AG334" i="2"/>
  <c r="AG329" i="2"/>
  <c r="AG323" i="2"/>
  <c r="AG318" i="2"/>
  <c r="AG313" i="2"/>
  <c r="AG307" i="2"/>
  <c r="AG302" i="2"/>
  <c r="AG297" i="2"/>
  <c r="AG291" i="2"/>
  <c r="AG286" i="2"/>
  <c r="AG281" i="2"/>
  <c r="AG275" i="2"/>
  <c r="AG270" i="2"/>
  <c r="AG265" i="2"/>
  <c r="AG259" i="2"/>
  <c r="AG254" i="2"/>
  <c r="AG249" i="2"/>
  <c r="AG243" i="2"/>
  <c r="AG238" i="2"/>
  <c r="AG233" i="2"/>
  <c r="AG227" i="2"/>
  <c r="AG222" i="2"/>
  <c r="AG217" i="2"/>
  <c r="AG211" i="2"/>
  <c r="AG206" i="2"/>
  <c r="AG201" i="2"/>
  <c r="AG195" i="2"/>
  <c r="AG190" i="2"/>
  <c r="AG185" i="2"/>
  <c r="AG179" i="2"/>
  <c r="AG174" i="2"/>
  <c r="AG166" i="2"/>
  <c r="AG158" i="2"/>
  <c r="AG150" i="2"/>
  <c r="AG142" i="2"/>
  <c r="AG126" i="2"/>
  <c r="AG118" i="2"/>
  <c r="AG110" i="2"/>
  <c r="AG102" i="2"/>
  <c r="AG94" i="2"/>
  <c r="AG86" i="2"/>
  <c r="AG78" i="2"/>
  <c r="AG70" i="2"/>
  <c r="AG62" i="2"/>
  <c r="AG54" i="2"/>
  <c r="AG46" i="2"/>
  <c r="AG38" i="2"/>
  <c r="AG30" i="2"/>
  <c r="AG22" i="2"/>
  <c r="AG14" i="2"/>
  <c r="AG6" i="2"/>
  <c r="AG3" i="2"/>
  <c r="AG7" i="2"/>
  <c r="AG11" i="2"/>
  <c r="AG15" i="2"/>
  <c r="AG19" i="2"/>
  <c r="AG23" i="2"/>
  <c r="AG27" i="2"/>
  <c r="AG31" i="2"/>
  <c r="AG35" i="2"/>
  <c r="AG39" i="2"/>
  <c r="AG43" i="2"/>
  <c r="AG47" i="2"/>
  <c r="AG51" i="2"/>
  <c r="AG55" i="2"/>
  <c r="AG59" i="2"/>
  <c r="AG63" i="2"/>
  <c r="AG67" i="2"/>
  <c r="AG71" i="2"/>
  <c r="AG75" i="2"/>
  <c r="AG79" i="2"/>
  <c r="AG83" i="2"/>
  <c r="AG87" i="2"/>
  <c r="AG95" i="2"/>
  <c r="AG99" i="2"/>
  <c r="AG103" i="2"/>
  <c r="AG107" i="2"/>
  <c r="AG111" i="2"/>
  <c r="AG115" i="2"/>
  <c r="AG119" i="2"/>
  <c r="AG123" i="2"/>
  <c r="AG127" i="2"/>
  <c r="AG131" i="2"/>
  <c r="AG135" i="2"/>
  <c r="AG139" i="2"/>
  <c r="AG143" i="2"/>
  <c r="AG147" i="2"/>
  <c r="AG151" i="2"/>
  <c r="AG155" i="2"/>
  <c r="AG163" i="2"/>
  <c r="AG167" i="2"/>
  <c r="AG171" i="2"/>
  <c r="AG4" i="2"/>
  <c r="AG8" i="2"/>
  <c r="AG12" i="2"/>
  <c r="AG16" i="2"/>
  <c r="AG20" i="2"/>
  <c r="AG24" i="2"/>
  <c r="AG28" i="2"/>
  <c r="AG32" i="2"/>
  <c r="AG36" i="2"/>
  <c r="AG40" i="2"/>
  <c r="AG44" i="2"/>
  <c r="AG52" i="2"/>
  <c r="AG56" i="2"/>
  <c r="AG60" i="2"/>
  <c r="AG64" i="2"/>
  <c r="AG68" i="2"/>
  <c r="AG72" i="2"/>
  <c r="AG76" i="2"/>
  <c r="AG80" i="2"/>
  <c r="AG84" i="2"/>
  <c r="AG88" i="2"/>
  <c r="AG92" i="2"/>
  <c r="AG96" i="2"/>
  <c r="AG100" i="2"/>
  <c r="AG104" i="2"/>
  <c r="AG112" i="2"/>
  <c r="AG116" i="2"/>
  <c r="AG124" i="2"/>
  <c r="AG128" i="2"/>
  <c r="AG132" i="2"/>
  <c r="AG136" i="2"/>
  <c r="AG140" i="2"/>
  <c r="AG144" i="2"/>
  <c r="AG148" i="2"/>
  <c r="AG152" i="2"/>
  <c r="AG156" i="2"/>
  <c r="AG160" i="2"/>
  <c r="AG164" i="2"/>
  <c r="AG168" i="2"/>
  <c r="AG172" i="2"/>
  <c r="AG184" i="2"/>
  <c r="AG188" i="2"/>
  <c r="AG192" i="2"/>
  <c r="AG196" i="2"/>
  <c r="AG200" i="2"/>
  <c r="AG204" i="2"/>
  <c r="AG208" i="2"/>
  <c r="AG212" i="2"/>
  <c r="AG216" i="2"/>
  <c r="AG220" i="2"/>
  <c r="AG224" i="2"/>
  <c r="AG228" i="2"/>
  <c r="AG232" i="2"/>
  <c r="AG236" i="2"/>
  <c r="AG240" i="2"/>
  <c r="AG244" i="2"/>
  <c r="AG248" i="2"/>
  <c r="AG252" i="2"/>
  <c r="AG256" i="2"/>
  <c r="AG260" i="2"/>
  <c r="AG264" i="2"/>
  <c r="AG268" i="2"/>
  <c r="AG272" i="2"/>
  <c r="AG276" i="2"/>
  <c r="AG280" i="2"/>
  <c r="AG284" i="2"/>
  <c r="AG288" i="2"/>
  <c r="AG292" i="2"/>
  <c r="AG296" i="2"/>
  <c r="AG300" i="2"/>
  <c r="AG304" i="2"/>
  <c r="AG308" i="2"/>
  <c r="AG316" i="2"/>
  <c r="AG320" i="2"/>
  <c r="AG324" i="2"/>
  <c r="AG328" i="2"/>
  <c r="AG332" i="2"/>
  <c r="AG336" i="2"/>
  <c r="AG340" i="2"/>
  <c r="AG108" i="2"/>
  <c r="AG338" i="2"/>
  <c r="AG333" i="2"/>
  <c r="AG327" i="2"/>
  <c r="AG322" i="2"/>
  <c r="AG317" i="2"/>
  <c r="AG311" i="2"/>
  <c r="AG306" i="2"/>
  <c r="AG301" i="2"/>
  <c r="AG295" i="2"/>
  <c r="AG290" i="2"/>
  <c r="AG285" i="2"/>
  <c r="AG279" i="2"/>
  <c r="AG274" i="2"/>
  <c r="AG269" i="2"/>
  <c r="AG263" i="2"/>
  <c r="AG258" i="2"/>
  <c r="AG253" i="2"/>
  <c r="AG247" i="2"/>
  <c r="AG242" i="2"/>
  <c r="AG237" i="2"/>
  <c r="AG231" i="2"/>
  <c r="AG226" i="2"/>
  <c r="AG221" i="2"/>
  <c r="AG215" i="2"/>
  <c r="AG210" i="2"/>
  <c r="AG205" i="2"/>
  <c r="AG199" i="2"/>
  <c r="AG194" i="2"/>
  <c r="AG189" i="2"/>
  <c r="AG183" i="2"/>
  <c r="AG173" i="2"/>
  <c r="AG165" i="2"/>
  <c r="AG157" i="2"/>
  <c r="AG141" i="2"/>
  <c r="AG133" i="2"/>
  <c r="AG125" i="2"/>
  <c r="AG117" i="2"/>
  <c r="AG101" i="2"/>
  <c r="AG93" i="2"/>
  <c r="AG85" i="2"/>
  <c r="AG77" i="2"/>
  <c r="AG69" i="2"/>
  <c r="AG61" i="2"/>
  <c r="AG53" i="2"/>
  <c r="AG45" i="2"/>
  <c r="AG37" i="2"/>
  <c r="AG29" i="2"/>
  <c r="AG21" i="2"/>
  <c r="AG13" i="2"/>
  <c r="AG48" i="2"/>
  <c r="AG337" i="2"/>
  <c r="AG331" i="2"/>
  <c r="AG326" i="2"/>
  <c r="AG321" i="2"/>
  <c r="AG315" i="2"/>
  <c r="AG310" i="2"/>
  <c r="AG305" i="2"/>
  <c r="AG299" i="2"/>
  <c r="AG294" i="2"/>
  <c r="AG289" i="2"/>
  <c r="AG283" i="2"/>
  <c r="AG278" i="2"/>
  <c r="AG273" i="2"/>
  <c r="AG267" i="2"/>
  <c r="AG262" i="2"/>
  <c r="AG257" i="2"/>
  <c r="AG251" i="2"/>
  <c r="AG246" i="2"/>
  <c r="AG241" i="2"/>
  <c r="AG235" i="2"/>
  <c r="AG230" i="2"/>
  <c r="AG225" i="2"/>
  <c r="AG219" i="2"/>
  <c r="AG214" i="2"/>
  <c r="AG209" i="2"/>
  <c r="AG203" i="2"/>
  <c r="AG198" i="2"/>
  <c r="AG193" i="2"/>
  <c r="AG187" i="2"/>
  <c r="AG182" i="2"/>
  <c r="AG177" i="2"/>
  <c r="AG170" i="2"/>
  <c r="AG162" i="2"/>
  <c r="AG154" i="2"/>
  <c r="AG146" i="2"/>
  <c r="AG138" i="2"/>
  <c r="AG130" i="2"/>
  <c r="AG122" i="2"/>
  <c r="AG114" i="2"/>
  <c r="AG106" i="2"/>
  <c r="AG98" i="2"/>
  <c r="AG90" i="2"/>
  <c r="AG82" i="2"/>
  <c r="AG74" i="2"/>
  <c r="AG66" i="2"/>
  <c r="AG58" i="2"/>
  <c r="AG50" i="2"/>
  <c r="AG42" i="2"/>
  <c r="AG34" i="2"/>
  <c r="AG26" i="2"/>
  <c r="AG18" i="2"/>
  <c r="AG10" i="2"/>
  <c r="AG91" i="2"/>
  <c r="AG159" i="2"/>
  <c r="AG312" i="2"/>
  <c r="AG341" i="2"/>
  <c r="AG335" i="2"/>
  <c r="AG330" i="2"/>
  <c r="AG325" i="2"/>
  <c r="AG319" i="2"/>
  <c r="AG314" i="2"/>
  <c r="AG309" i="2"/>
  <c r="AG303" i="2"/>
  <c r="AG298" i="2"/>
  <c r="AG293" i="2"/>
  <c r="AG287" i="2"/>
  <c r="AG282" i="2"/>
  <c r="AG277" i="2"/>
  <c r="AG271" i="2"/>
  <c r="AG266" i="2"/>
  <c r="AG261" i="2"/>
  <c r="AG255" i="2"/>
  <c r="AG250" i="2"/>
  <c r="AG245" i="2"/>
  <c r="AG239" i="2"/>
  <c r="AG234" i="2"/>
  <c r="AG229" i="2"/>
  <c r="AG223" i="2"/>
  <c r="AG218" i="2"/>
  <c r="AG213" i="2"/>
  <c r="AG207" i="2"/>
  <c r="AG202" i="2"/>
  <c r="AG197" i="2"/>
  <c r="AG191" i="2"/>
  <c r="AG186" i="2"/>
  <c r="AG181" i="2"/>
  <c r="AG175" i="2"/>
  <c r="AG169" i="2"/>
  <c r="AG161" i="2"/>
  <c r="AG153" i="2"/>
  <c r="AG145" i="2"/>
  <c r="AG137" i="2"/>
  <c r="AG129" i="2"/>
  <c r="AG121" i="2"/>
  <c r="AG113" i="2"/>
  <c r="AG105" i="2"/>
  <c r="AG97" i="2"/>
  <c r="AG89" i="2"/>
  <c r="AG81" i="2"/>
  <c r="AG73" i="2"/>
  <c r="AG65" i="2"/>
  <c r="AG57" i="2"/>
  <c r="AG49" i="2"/>
  <c r="AG41" i="2"/>
  <c r="AG33" i="2"/>
  <c r="AG25" i="2"/>
  <c r="AG17" i="2"/>
  <c r="AG9" i="2"/>
  <c r="M641" i="8"/>
  <c r="M642" i="8" s="1"/>
  <c r="M665" i="8" s="1"/>
  <c r="M737" i="8"/>
  <c r="M160" i="8"/>
  <c r="M48" i="8"/>
  <c r="M80" i="8"/>
  <c r="M137" i="8"/>
  <c r="M730" i="8"/>
  <c r="M833" i="8" s="1"/>
  <c r="A713" i="8"/>
  <c r="A730" i="8"/>
  <c r="A765" i="8"/>
  <c r="A744" i="8"/>
  <c r="M621" i="8"/>
  <c r="M574" i="8"/>
  <c r="M526" i="8"/>
  <c r="M489" i="8"/>
  <c r="M360" i="8"/>
  <c r="M540" i="8"/>
  <c r="M520" i="8"/>
  <c r="M561" i="8"/>
  <c r="M580" i="8"/>
  <c r="M516" i="8"/>
  <c r="M463" i="8"/>
  <c r="M529" i="8"/>
  <c r="M474" i="8"/>
  <c r="M59" i="8"/>
  <c r="M73" i="8"/>
  <c r="M149" i="8"/>
  <c r="M196" i="8" s="1"/>
  <c r="A740" i="8"/>
  <c r="A776" i="8"/>
  <c r="M736" i="8"/>
  <c r="M447" i="8"/>
  <c r="A464" i="8"/>
  <c r="M472" i="8"/>
  <c r="M517" i="8"/>
  <c r="M521" i="8"/>
  <c r="M562" i="8"/>
  <c r="M365" i="8"/>
  <c r="M464" i="8"/>
  <c r="M488" i="8"/>
  <c r="M539" i="8"/>
  <c r="M577" i="8"/>
  <c r="M584" i="8"/>
  <c r="M598" i="8"/>
  <c r="A264" i="8"/>
  <c r="A246" i="8"/>
  <c r="A265" i="8"/>
  <c r="A258" i="8"/>
  <c r="A245" i="8"/>
  <c r="A194" i="8"/>
  <c r="M62" i="8"/>
  <c r="M75" i="8"/>
  <c r="M110" i="8"/>
  <c r="M55" i="8"/>
  <c r="M134" i="8"/>
  <c r="M145" i="8"/>
  <c r="M154" i="8"/>
  <c r="A184" i="8"/>
  <c r="AO2" i="2"/>
  <c r="M11" i="3"/>
  <c r="M114" i="3" s="1"/>
  <c r="M68" i="2"/>
  <c r="M73" i="2" s="1"/>
  <c r="M47" i="1"/>
  <c r="M149" i="1" s="1"/>
  <c r="AI39" i="3" l="1"/>
  <c r="W636" i="8"/>
  <c r="AF4" i="8"/>
  <c r="W685" i="8"/>
  <c r="X287" i="8"/>
  <c r="AF286" i="8"/>
  <c r="X627" i="8"/>
  <c r="AF626" i="8"/>
  <c r="K685" i="8"/>
  <c r="AC685" i="8" s="1"/>
  <c r="AD685" i="8" s="1"/>
  <c r="AQ685" i="8" s="1"/>
  <c r="K636" i="8"/>
  <c r="AC636" i="8" s="1"/>
  <c r="AD636" i="8" s="1"/>
  <c r="AQ636" i="8" s="1"/>
  <c r="K39" i="3"/>
  <c r="AA39" i="3" s="1"/>
  <c r="M830" i="8"/>
  <c r="AI636" i="8"/>
  <c r="AG51" i="3"/>
  <c r="AI685" i="8"/>
  <c r="AI663" i="8"/>
  <c r="AI672" i="8"/>
  <c r="AI677" i="8"/>
  <c r="AI654" i="8"/>
  <c r="AI679" i="8"/>
  <c r="AI688" i="8"/>
  <c r="AI670" i="8"/>
  <c r="AI695" i="8"/>
  <c r="AI640" i="8"/>
  <c r="AI641" i="8"/>
  <c r="AI647" i="8"/>
  <c r="AI656" i="8"/>
  <c r="AI657" i="8"/>
  <c r="AI638" i="8"/>
  <c r="AI686" i="8"/>
  <c r="AI651" i="8"/>
  <c r="AI667" i="8"/>
  <c r="AI683" i="8"/>
  <c r="AI644" i="8"/>
  <c r="AI660" i="8"/>
  <c r="AI676" i="8"/>
  <c r="AI692" i="8"/>
  <c r="AI645" i="8"/>
  <c r="AI665" i="8"/>
  <c r="AI681" i="8"/>
  <c r="AI642" i="8"/>
  <c r="AI658" i="8"/>
  <c r="AI674" i="8"/>
  <c r="AI690" i="8"/>
  <c r="AI639" i="8"/>
  <c r="AI655" i="8"/>
  <c r="AI671" i="8"/>
  <c r="AI687" i="8"/>
  <c r="AI648" i="8"/>
  <c r="AI664" i="8"/>
  <c r="AI680" i="8"/>
  <c r="AI649" i="8"/>
  <c r="AI669" i="8"/>
  <c r="AI689" i="8"/>
  <c r="AI646" i="8"/>
  <c r="AI662" i="8"/>
  <c r="AI678" i="8"/>
  <c r="AI694" i="8"/>
  <c r="AI643" i="8"/>
  <c r="AI659" i="8"/>
  <c r="AI675" i="8"/>
  <c r="AI691" i="8"/>
  <c r="AI652" i="8"/>
  <c r="AI668" i="8"/>
  <c r="AI684" i="8"/>
  <c r="AI637" i="8"/>
  <c r="AI653" i="8"/>
  <c r="AI673" i="8"/>
  <c r="AI693" i="8"/>
  <c r="AI650" i="8"/>
  <c r="AI666" i="8"/>
  <c r="AI682" i="8"/>
  <c r="AI661" i="8"/>
  <c r="B696" i="8"/>
  <c r="AG53" i="3"/>
  <c r="AG48" i="3"/>
  <c r="AG39" i="3"/>
  <c r="AG54" i="3"/>
  <c r="AG58" i="3"/>
  <c r="AG42" i="3"/>
  <c r="AG49" i="3"/>
  <c r="AG60" i="3"/>
  <c r="AG44" i="3"/>
  <c r="AG47" i="3"/>
  <c r="AG46" i="3"/>
  <c r="AG61" i="3"/>
  <c r="AG45" i="3"/>
  <c r="AG56" i="3"/>
  <c r="AG40" i="3"/>
  <c r="AG59" i="3"/>
  <c r="AG43" i="3"/>
  <c r="AG62" i="3"/>
  <c r="AG57" i="3"/>
  <c r="AG41" i="3"/>
  <c r="AG52" i="3"/>
  <c r="AG55" i="3"/>
  <c r="AG50" i="3"/>
  <c r="B63" i="3"/>
  <c r="M678" i="8"/>
  <c r="M643" i="8"/>
  <c r="X5" i="8"/>
  <c r="M664" i="8"/>
  <c r="M684" i="8"/>
  <c r="M194" i="8"/>
  <c r="M676" i="8"/>
  <c r="M679" i="8"/>
  <c r="M722" i="8"/>
  <c r="M713" i="8"/>
  <c r="M691" i="8"/>
  <c r="M712" i="8"/>
  <c r="M657" i="8"/>
  <c r="M706" i="8"/>
  <c r="M744" i="8" s="1"/>
  <c r="M692" i="8"/>
  <c r="M653" i="8"/>
  <c r="M671" i="8"/>
  <c r="M654" i="8"/>
  <c r="M652" i="8"/>
  <c r="M719" i="8"/>
  <c r="M831" i="8"/>
  <c r="M777" i="8"/>
  <c r="M183" i="8"/>
  <c r="M202" i="8"/>
  <c r="M199" i="8"/>
  <c r="M832" i="8"/>
  <c r="M823" i="8"/>
  <c r="M789" i="8"/>
  <c r="M816" i="8"/>
  <c r="M226" i="8"/>
  <c r="M197" i="8"/>
  <c r="M182" i="8"/>
  <c r="M201" i="8"/>
  <c r="M219" i="8"/>
  <c r="M195" i="8"/>
  <c r="M184" i="8"/>
  <c r="M181" i="8"/>
  <c r="M180" i="8"/>
  <c r="A268" i="8"/>
  <c r="A266" i="8"/>
  <c r="A267" i="8"/>
  <c r="M134" i="1"/>
  <c r="M180" i="1" s="1"/>
  <c r="M154" i="1"/>
  <c r="M48" i="1"/>
  <c r="M19" i="3"/>
  <c r="M20" i="3" s="1"/>
  <c r="M118" i="3"/>
  <c r="M108" i="3"/>
  <c r="M115" i="3"/>
  <c r="M339" i="2"/>
  <c r="M295" i="2"/>
  <c r="M258" i="2"/>
  <c r="M239" i="2"/>
  <c r="M207" i="2"/>
  <c r="M182" i="2"/>
  <c r="M78" i="2"/>
  <c r="M279" i="2"/>
  <c r="M190" i="2"/>
  <c r="M316" i="2"/>
  <c r="M292" i="2"/>
  <c r="M257" i="2"/>
  <c r="M238" i="2"/>
  <c r="M206" i="2"/>
  <c r="M181" i="2"/>
  <c r="M298" i="2"/>
  <c r="M244" i="2"/>
  <c r="M234" i="2"/>
  <c r="M83" i="2"/>
  <c r="M302" i="2"/>
  <c r="M280" i="2"/>
  <c r="M247" i="2"/>
  <c r="M235" i="2"/>
  <c r="M192" i="2"/>
  <c r="M165" i="2"/>
  <c r="M219" i="1"/>
  <c r="M197" i="1"/>
  <c r="M184" i="1"/>
  <c r="M202" i="1"/>
  <c r="M196" i="1"/>
  <c r="M183" i="1"/>
  <c r="M201" i="1"/>
  <c r="M195" i="1"/>
  <c r="M182" i="1"/>
  <c r="M194" i="1"/>
  <c r="M55" i="1"/>
  <c r="M75" i="1"/>
  <c r="M137" i="1"/>
  <c r="M73" i="1" s="1"/>
  <c r="M160" i="1"/>
  <c r="M59" i="1"/>
  <c r="M80" i="1"/>
  <c r="M145" i="1"/>
  <c r="M162" i="1"/>
  <c r="M110" i="1"/>
  <c r="AI63" i="3" l="1"/>
  <c r="X288" i="8"/>
  <c r="AF287" i="8"/>
  <c r="X628" i="8"/>
  <c r="AF627" i="8"/>
  <c r="AF5" i="8"/>
  <c r="W696" i="8"/>
  <c r="M776" i="8"/>
  <c r="K696" i="8"/>
  <c r="AC696" i="8" s="1"/>
  <c r="AD696" i="8" s="1"/>
  <c r="AQ696" i="8" s="1"/>
  <c r="K63" i="3"/>
  <c r="AA63" i="3" s="1"/>
  <c r="AI704" i="8"/>
  <c r="AG72" i="3"/>
  <c r="AG67" i="3"/>
  <c r="AI696" i="8"/>
  <c r="AI697" i="8"/>
  <c r="AI705" i="8"/>
  <c r="AI701" i="8"/>
  <c r="AI698" i="8"/>
  <c r="AI700" i="8"/>
  <c r="AI703" i="8"/>
  <c r="AI702" i="8"/>
  <c r="AI699" i="8"/>
  <c r="AI706" i="8"/>
  <c r="B707" i="8"/>
  <c r="AG63" i="3"/>
  <c r="AG66" i="3"/>
  <c r="AG71" i="3"/>
  <c r="AG64" i="3"/>
  <c r="AG69" i="3"/>
  <c r="AG68" i="3"/>
  <c r="AG70" i="3"/>
  <c r="AG73" i="3"/>
  <c r="AG65" i="3"/>
  <c r="B74" i="3"/>
  <c r="M747" i="8"/>
  <c r="M765" i="8"/>
  <c r="M750" i="8"/>
  <c r="M751" i="8"/>
  <c r="X6" i="8"/>
  <c r="M277" i="8"/>
  <c r="M283" i="8"/>
  <c r="M266" i="8"/>
  <c r="M264" i="8"/>
  <c r="M258" i="8"/>
  <c r="M265" i="8"/>
  <c r="M244" i="8"/>
  <c r="M245" i="8"/>
  <c r="M268" i="8"/>
  <c r="M267" i="8"/>
  <c r="M246" i="8"/>
  <c r="M181" i="1"/>
  <c r="M211" i="3"/>
  <c r="M201" i="3"/>
  <c r="M208" i="3"/>
  <c r="M210" i="3"/>
  <c r="M194" i="3"/>
  <c r="M155" i="3"/>
  <c r="M209" i="3"/>
  <c r="M167" i="3"/>
  <c r="M91" i="3"/>
  <c r="M69" i="3"/>
  <c r="M54" i="3"/>
  <c r="M35" i="3"/>
  <c r="M21" i="3"/>
  <c r="M97" i="3"/>
  <c r="M70" i="3"/>
  <c r="M56" i="3"/>
  <c r="M42" i="3"/>
  <c r="M30" i="3"/>
  <c r="M90" i="3"/>
  <c r="M62" i="3"/>
  <c r="M49" i="3"/>
  <c r="M32" i="3"/>
  <c r="M100" i="3"/>
  <c r="M84" i="3"/>
  <c r="M57" i="3"/>
  <c r="M43" i="3"/>
  <c r="M31" i="3"/>
  <c r="M283" i="1"/>
  <c r="M266" i="1"/>
  <c r="M246" i="1"/>
  <c r="M267" i="1"/>
  <c r="M62" i="1" s="1"/>
  <c r="M277" i="1"/>
  <c r="M265" i="1"/>
  <c r="M199" i="1" s="1"/>
  <c r="M245" i="1"/>
  <c r="M268" i="1"/>
  <c r="M264" i="1"/>
  <c r="M244" i="1"/>
  <c r="M258" i="1"/>
  <c r="M226" i="1" s="1"/>
  <c r="AI74" i="3" l="1"/>
  <c r="X7" i="8"/>
  <c r="AF6" i="8"/>
  <c r="X629" i="8"/>
  <c r="AF628" i="8"/>
  <c r="W707" i="8"/>
  <c r="X289" i="8"/>
  <c r="AF288" i="8"/>
  <c r="K707" i="8"/>
  <c r="AC707" i="8" s="1"/>
  <c r="AD707" i="8" s="1"/>
  <c r="AQ707" i="8" s="1"/>
  <c r="K74" i="3"/>
  <c r="AA74" i="3" s="1"/>
  <c r="AG83" i="3"/>
  <c r="AI707" i="8"/>
  <c r="AI725" i="8"/>
  <c r="AI714" i="8"/>
  <c r="AI711" i="8"/>
  <c r="AI722" i="8"/>
  <c r="AI712" i="8"/>
  <c r="AI717" i="8"/>
  <c r="AI710" i="8"/>
  <c r="AI708" i="8"/>
  <c r="AI724" i="8"/>
  <c r="AI709" i="8"/>
  <c r="AI723" i="8"/>
  <c r="AI715" i="8"/>
  <c r="AI719" i="8"/>
  <c r="AI721" i="8"/>
  <c r="AI718" i="8"/>
  <c r="AI720" i="8"/>
  <c r="AI716" i="8"/>
  <c r="AI713" i="8"/>
  <c r="AG78" i="3"/>
  <c r="AG75" i="3"/>
  <c r="B726" i="8"/>
  <c r="AG77" i="3"/>
  <c r="AG80" i="3"/>
  <c r="AG84" i="3"/>
  <c r="AG74" i="3"/>
  <c r="AG76" i="3"/>
  <c r="AG82" i="3"/>
  <c r="AG81" i="3"/>
  <c r="AG79" i="3"/>
  <c r="B85" i="3"/>
  <c r="M154" i="3"/>
  <c r="M125" i="3"/>
  <c r="M143" i="3"/>
  <c r="M122" i="3"/>
  <c r="M129" i="3"/>
  <c r="M128" i="3"/>
  <c r="AI85" i="3" l="1"/>
  <c r="X8" i="8"/>
  <c r="AF7" i="8"/>
  <c r="W726" i="8"/>
  <c r="X290" i="8"/>
  <c r="AF289" i="8"/>
  <c r="X630" i="8"/>
  <c r="AF629" i="8"/>
  <c r="K726" i="8"/>
  <c r="AC726" i="8" s="1"/>
  <c r="AD726" i="8" s="1"/>
  <c r="AQ726" i="8" s="1"/>
  <c r="K85" i="3"/>
  <c r="AA85" i="3" s="1"/>
  <c r="AB85" i="3" s="1"/>
  <c r="AI827" i="8"/>
  <c r="AI729" i="8"/>
  <c r="AG93" i="3"/>
  <c r="AI795" i="8"/>
  <c r="AI726" i="8"/>
  <c r="AI815" i="8"/>
  <c r="AI751" i="8"/>
  <c r="AI818" i="8"/>
  <c r="AI759" i="8"/>
  <c r="AI792" i="8"/>
  <c r="AI806" i="8"/>
  <c r="AI746" i="8"/>
  <c r="AI797" i="8"/>
  <c r="AI804" i="8"/>
  <c r="AI798" i="8"/>
  <c r="AI739" i="8"/>
  <c r="AI787" i="8"/>
  <c r="AI773" i="8"/>
  <c r="AI767" i="8"/>
  <c r="AI838" i="8"/>
  <c r="AI825" i="8"/>
  <c r="AI796" i="8"/>
  <c r="AI762" i="8"/>
  <c r="AI776" i="8"/>
  <c r="AI753" i="8"/>
  <c r="AI775" i="8"/>
  <c r="AI808" i="8"/>
  <c r="AI805" i="8"/>
  <c r="AI822" i="8"/>
  <c r="AI780" i="8"/>
  <c r="AI784" i="8"/>
  <c r="AI737" i="8"/>
  <c r="AI814" i="8"/>
  <c r="AI789" i="8"/>
  <c r="AI750" i="8"/>
  <c r="AI843" i="8"/>
  <c r="AI785" i="8"/>
  <c r="AI786" i="8"/>
  <c r="AI783" i="8"/>
  <c r="AI764" i="8"/>
  <c r="AI794" i="8"/>
  <c r="AI841" i="8"/>
  <c r="AI763" i="8"/>
  <c r="AI816" i="8"/>
  <c r="AI845" i="8"/>
  <c r="AI742" i="8"/>
  <c r="AI791" i="8"/>
  <c r="AI839" i="8"/>
  <c r="AI733" i="8"/>
  <c r="AI756" i="8"/>
  <c r="AI734" i="8"/>
  <c r="AI770" i="8"/>
  <c r="AI844" i="8"/>
  <c r="AI754" i="8"/>
  <c r="AI835" i="8"/>
  <c r="AI801" i="8"/>
  <c r="AI745" i="8"/>
  <c r="AI777" i="8"/>
  <c r="AI823" i="8"/>
  <c r="AI738" i="8"/>
  <c r="AI810" i="8"/>
  <c r="AI760" i="8"/>
  <c r="AI755" i="8"/>
  <c r="AI757" i="8"/>
  <c r="AI800" i="8"/>
  <c r="AI736" i="8"/>
  <c r="AI821" i="8"/>
  <c r="AI747" i="8"/>
  <c r="AI803" i="8"/>
  <c r="AI769" i="8"/>
  <c r="AI837" i="8"/>
  <c r="AI813" i="8"/>
  <c r="AI812" i="8"/>
  <c r="AI820" i="8"/>
  <c r="AI836" i="8"/>
  <c r="AI842" i="8"/>
  <c r="AI728" i="8"/>
  <c r="AI840" i="8"/>
  <c r="AI817" i="8"/>
  <c r="AI730" i="8"/>
  <c r="AI793" i="8"/>
  <c r="AI809" i="8"/>
  <c r="AI752" i="8"/>
  <c r="AI781" i="8"/>
  <c r="AI790" i="8"/>
  <c r="AI819" i="8"/>
  <c r="AI740" i="8"/>
  <c r="AI735" i="8"/>
  <c r="AI765" i="8"/>
  <c r="AI828" i="8"/>
  <c r="AI834" i="8"/>
  <c r="AI744" i="8"/>
  <c r="AI832" i="8"/>
  <c r="AI807" i="8"/>
  <c r="AI830" i="8"/>
  <c r="AI768" i="8"/>
  <c r="AI741" i="8"/>
  <c r="AI758" i="8"/>
  <c r="AI831" i="8"/>
  <c r="AI802" i="8"/>
  <c r="AI731" i="8"/>
  <c r="AI779" i="8"/>
  <c r="AI826" i="8"/>
  <c r="AI749" i="8"/>
  <c r="AI748" i="8"/>
  <c r="AI772" i="8"/>
  <c r="AI788" i="8"/>
  <c r="AI778" i="8"/>
  <c r="AI799" i="8"/>
  <c r="AI829" i="8"/>
  <c r="AI727" i="8"/>
  <c r="AI824" i="8"/>
  <c r="AI774" i="8"/>
  <c r="AI761" i="8"/>
  <c r="AI811" i="8"/>
  <c r="AI732" i="8"/>
  <c r="AI833" i="8"/>
  <c r="AI771" i="8"/>
  <c r="AI782" i="8"/>
  <c r="AI743" i="8"/>
  <c r="AI766" i="8"/>
  <c r="B846" i="8"/>
  <c r="AG86" i="3"/>
  <c r="AG98" i="3"/>
  <c r="AG85" i="3"/>
  <c r="AG96" i="3"/>
  <c r="AG94" i="3"/>
  <c r="AG103" i="3"/>
  <c r="AG99" i="3"/>
  <c r="AG92" i="3"/>
  <c r="AG91" i="3"/>
  <c r="AG95" i="3"/>
  <c r="AG101" i="3"/>
  <c r="AG102" i="3"/>
  <c r="AG89" i="3"/>
  <c r="AG87" i="3"/>
  <c r="AG90" i="3"/>
  <c r="AG100" i="3"/>
  <c r="AG88" i="3"/>
  <c r="AG97" i="3"/>
  <c r="B104" i="3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2" i="4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8" i="3"/>
  <c r="AB99" i="3"/>
  <c r="AB100" i="3"/>
  <c r="AB101" i="3"/>
  <c r="AB102" i="3"/>
  <c r="AB103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129" i="3"/>
  <c r="AB130" i="3"/>
  <c r="AB131" i="3"/>
  <c r="AB132" i="3"/>
  <c r="AB133" i="3"/>
  <c r="AB134" i="3"/>
  <c r="AB135" i="3"/>
  <c r="AB136" i="3"/>
  <c r="AB137" i="3"/>
  <c r="AB138" i="3"/>
  <c r="AB139" i="3"/>
  <c r="AB140" i="3"/>
  <c r="AB141" i="3"/>
  <c r="AB142" i="3"/>
  <c r="AB143" i="3"/>
  <c r="AB144" i="3"/>
  <c r="AB145" i="3"/>
  <c r="AB146" i="3"/>
  <c r="AB147" i="3"/>
  <c r="AB148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61" i="3"/>
  <c r="AB162" i="3"/>
  <c r="AB163" i="3"/>
  <c r="AB164" i="3"/>
  <c r="AB165" i="3"/>
  <c r="AB166" i="3"/>
  <c r="AB167" i="3"/>
  <c r="AB168" i="3"/>
  <c r="AB169" i="3"/>
  <c r="AB170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84" i="3"/>
  <c r="AB185" i="3"/>
  <c r="AB186" i="3"/>
  <c r="AB187" i="3"/>
  <c r="AB188" i="3"/>
  <c r="AB189" i="3"/>
  <c r="AB190" i="3"/>
  <c r="AB191" i="3"/>
  <c r="AB192" i="3"/>
  <c r="AB193" i="3"/>
  <c r="AB194" i="3"/>
  <c r="AB195" i="3"/>
  <c r="AB196" i="3"/>
  <c r="AB197" i="3"/>
  <c r="AB198" i="3"/>
  <c r="AB199" i="3"/>
  <c r="AB200" i="3"/>
  <c r="AB201" i="3"/>
  <c r="AB202" i="3"/>
  <c r="AB203" i="3"/>
  <c r="AB204" i="3"/>
  <c r="AB205" i="3"/>
  <c r="AB206" i="3"/>
  <c r="AB207" i="3"/>
  <c r="AB208" i="3"/>
  <c r="AB209" i="3"/>
  <c r="AB210" i="3"/>
  <c r="AB211" i="3"/>
  <c r="AB212" i="3"/>
  <c r="AB213" i="3"/>
  <c r="AB214" i="3"/>
  <c r="AB215" i="3"/>
  <c r="AB216" i="3"/>
  <c r="AB217" i="3"/>
  <c r="AB218" i="3"/>
  <c r="AB219" i="3"/>
  <c r="AB220" i="3"/>
  <c r="AB221" i="3"/>
  <c r="AB222" i="3"/>
  <c r="AB223" i="3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" i="3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175" i="2"/>
  <c r="AB176" i="2"/>
  <c r="AB177" i="2"/>
  <c r="AB178" i="2"/>
  <c r="AB179" i="2"/>
  <c r="AB180" i="2"/>
  <c r="AB181" i="2"/>
  <c r="AB182" i="2"/>
  <c r="AB183" i="2"/>
  <c r="AB184" i="2"/>
  <c r="AB185" i="2"/>
  <c r="AB186" i="2"/>
  <c r="AB187" i="2"/>
  <c r="AB188" i="2"/>
  <c r="AB189" i="2"/>
  <c r="AB190" i="2"/>
  <c r="AB191" i="2"/>
  <c r="AB192" i="2"/>
  <c r="AB193" i="2"/>
  <c r="AB194" i="2"/>
  <c r="AB195" i="2"/>
  <c r="AB196" i="2"/>
  <c r="AB197" i="2"/>
  <c r="AB198" i="2"/>
  <c r="AB199" i="2"/>
  <c r="AB200" i="2"/>
  <c r="AB201" i="2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AB216" i="2"/>
  <c r="AB217" i="2"/>
  <c r="AB218" i="2"/>
  <c r="AB219" i="2"/>
  <c r="AB220" i="2"/>
  <c r="AB221" i="2"/>
  <c r="AB222" i="2"/>
  <c r="AB223" i="2"/>
  <c r="AB224" i="2"/>
  <c r="AB225" i="2"/>
  <c r="AB226" i="2"/>
  <c r="AB227" i="2"/>
  <c r="AB228" i="2"/>
  <c r="AB229" i="2"/>
  <c r="AB230" i="2"/>
  <c r="AB231" i="2"/>
  <c r="AB232" i="2"/>
  <c r="AB233" i="2"/>
  <c r="AB234" i="2"/>
  <c r="AB235" i="2"/>
  <c r="AB236" i="2"/>
  <c r="AB237" i="2"/>
  <c r="AB238" i="2"/>
  <c r="AB239" i="2"/>
  <c r="AB240" i="2"/>
  <c r="AB241" i="2"/>
  <c r="AB242" i="2"/>
  <c r="AB243" i="2"/>
  <c r="AB244" i="2"/>
  <c r="AB245" i="2"/>
  <c r="AB246" i="2"/>
  <c r="AB247" i="2"/>
  <c r="AB248" i="2"/>
  <c r="AB249" i="2"/>
  <c r="AB250" i="2"/>
  <c r="AB251" i="2"/>
  <c r="AB252" i="2"/>
  <c r="AB253" i="2"/>
  <c r="AB254" i="2"/>
  <c r="AB255" i="2"/>
  <c r="AB256" i="2"/>
  <c r="AB257" i="2"/>
  <c r="AB258" i="2"/>
  <c r="AB259" i="2"/>
  <c r="AB260" i="2"/>
  <c r="AB261" i="2"/>
  <c r="AB262" i="2"/>
  <c r="AB263" i="2"/>
  <c r="AB264" i="2"/>
  <c r="AB265" i="2"/>
  <c r="AB266" i="2"/>
  <c r="AB267" i="2"/>
  <c r="AB268" i="2"/>
  <c r="AB269" i="2"/>
  <c r="AB270" i="2"/>
  <c r="AB271" i="2"/>
  <c r="AB272" i="2"/>
  <c r="AB273" i="2"/>
  <c r="AB274" i="2"/>
  <c r="AB275" i="2"/>
  <c r="AB276" i="2"/>
  <c r="AB277" i="2"/>
  <c r="AB278" i="2"/>
  <c r="AB279" i="2"/>
  <c r="AB280" i="2"/>
  <c r="AB281" i="2"/>
  <c r="AB282" i="2"/>
  <c r="AB283" i="2"/>
  <c r="AB284" i="2"/>
  <c r="AB285" i="2"/>
  <c r="AB286" i="2"/>
  <c r="AB287" i="2"/>
  <c r="AB288" i="2"/>
  <c r="AB289" i="2"/>
  <c r="AB290" i="2"/>
  <c r="AB291" i="2"/>
  <c r="AB292" i="2"/>
  <c r="AB293" i="2"/>
  <c r="AB294" i="2"/>
  <c r="AB295" i="2"/>
  <c r="AB296" i="2"/>
  <c r="AB297" i="2"/>
  <c r="AB298" i="2"/>
  <c r="AB299" i="2"/>
  <c r="AB300" i="2"/>
  <c r="AB301" i="2"/>
  <c r="AB302" i="2"/>
  <c r="AB303" i="2"/>
  <c r="AB304" i="2"/>
  <c r="AB305" i="2"/>
  <c r="AB306" i="2"/>
  <c r="AB307" i="2"/>
  <c r="AB308" i="2"/>
  <c r="AB309" i="2"/>
  <c r="AB310" i="2"/>
  <c r="AB311" i="2"/>
  <c r="AB312" i="2"/>
  <c r="AB313" i="2"/>
  <c r="AB314" i="2"/>
  <c r="AB315" i="2"/>
  <c r="AB316" i="2"/>
  <c r="AB317" i="2"/>
  <c r="AB318" i="2"/>
  <c r="AB319" i="2"/>
  <c r="AB320" i="2"/>
  <c r="AB321" i="2"/>
  <c r="AB322" i="2"/>
  <c r="AB323" i="2"/>
  <c r="AB324" i="2"/>
  <c r="AB325" i="2"/>
  <c r="AB326" i="2"/>
  <c r="AB327" i="2"/>
  <c r="AB328" i="2"/>
  <c r="AB329" i="2"/>
  <c r="AB330" i="2"/>
  <c r="AB331" i="2"/>
  <c r="AB332" i="2"/>
  <c r="AB333" i="2"/>
  <c r="AB334" i="2"/>
  <c r="AB335" i="2"/>
  <c r="AB336" i="2"/>
  <c r="AB337" i="2"/>
  <c r="AB338" i="2"/>
  <c r="AB339" i="2"/>
  <c r="AB340" i="2"/>
  <c r="AB341" i="2"/>
  <c r="AB42" i="1"/>
  <c r="AR42" i="1" s="1"/>
  <c r="AB43" i="1"/>
  <c r="AR43" i="1" s="1"/>
  <c r="AB44" i="1"/>
  <c r="AR44" i="1" s="1"/>
  <c r="AB45" i="1"/>
  <c r="AR45" i="1" s="1"/>
  <c r="AB46" i="1"/>
  <c r="AR46" i="1" s="1"/>
  <c r="AB47" i="1"/>
  <c r="AR47" i="1" s="1"/>
  <c r="AB48" i="1"/>
  <c r="AR48" i="1" s="1"/>
  <c r="AB49" i="1"/>
  <c r="AR49" i="1" s="1"/>
  <c r="AB50" i="1"/>
  <c r="AR50" i="1" s="1"/>
  <c r="AB51" i="1"/>
  <c r="AR51" i="1" s="1"/>
  <c r="AB52" i="1"/>
  <c r="AR52" i="1" s="1"/>
  <c r="AB53" i="1"/>
  <c r="AR53" i="1" s="1"/>
  <c r="AB54" i="1"/>
  <c r="AR54" i="1" s="1"/>
  <c r="AB55" i="1"/>
  <c r="AR55" i="1" s="1"/>
  <c r="AB56" i="1"/>
  <c r="AR56" i="1" s="1"/>
  <c r="AB57" i="1"/>
  <c r="AR57" i="1" s="1"/>
  <c r="AB58" i="1"/>
  <c r="AR58" i="1" s="1"/>
  <c r="AB59" i="1"/>
  <c r="AR59" i="1" s="1"/>
  <c r="AB60" i="1"/>
  <c r="AR60" i="1" s="1"/>
  <c r="AB61" i="1"/>
  <c r="AR61" i="1" s="1"/>
  <c r="AB62" i="1"/>
  <c r="AR62" i="1" s="1"/>
  <c r="AB63" i="1"/>
  <c r="AR63" i="1" s="1"/>
  <c r="AB64" i="1"/>
  <c r="AR64" i="1" s="1"/>
  <c r="AB65" i="1"/>
  <c r="AR65" i="1" s="1"/>
  <c r="AB66" i="1"/>
  <c r="AR66" i="1" s="1"/>
  <c r="AB67" i="1"/>
  <c r="AR67" i="1" s="1"/>
  <c r="AB68" i="1"/>
  <c r="AR68" i="1" s="1"/>
  <c r="AB69" i="1"/>
  <c r="AR69" i="1" s="1"/>
  <c r="AB70" i="1"/>
  <c r="AR70" i="1" s="1"/>
  <c r="AB71" i="1"/>
  <c r="AR71" i="1" s="1"/>
  <c r="AB72" i="1"/>
  <c r="AR72" i="1" s="1"/>
  <c r="AB73" i="1"/>
  <c r="AR73" i="1" s="1"/>
  <c r="AB74" i="1"/>
  <c r="AR74" i="1" s="1"/>
  <c r="AB75" i="1"/>
  <c r="AR75" i="1" s="1"/>
  <c r="AB76" i="1"/>
  <c r="AR76" i="1" s="1"/>
  <c r="AB77" i="1"/>
  <c r="AR77" i="1" s="1"/>
  <c r="AB78" i="1"/>
  <c r="AR78" i="1" s="1"/>
  <c r="AB79" i="1"/>
  <c r="AR79" i="1" s="1"/>
  <c r="AB80" i="1"/>
  <c r="AR80" i="1" s="1"/>
  <c r="AB81" i="1"/>
  <c r="AR81" i="1" s="1"/>
  <c r="AB82" i="1"/>
  <c r="AR82" i="1" s="1"/>
  <c r="AB83" i="1"/>
  <c r="AR83" i="1" s="1"/>
  <c r="AB84" i="1"/>
  <c r="AR84" i="1" s="1"/>
  <c r="AB85" i="1"/>
  <c r="AR85" i="1" s="1"/>
  <c r="AB86" i="1"/>
  <c r="AR86" i="1" s="1"/>
  <c r="AB87" i="1"/>
  <c r="AR87" i="1" s="1"/>
  <c r="AB88" i="1"/>
  <c r="AR88" i="1" s="1"/>
  <c r="AB89" i="1"/>
  <c r="AR89" i="1" s="1"/>
  <c r="AB90" i="1"/>
  <c r="AR90" i="1" s="1"/>
  <c r="AB91" i="1"/>
  <c r="AR91" i="1" s="1"/>
  <c r="AB92" i="1"/>
  <c r="AR92" i="1" s="1"/>
  <c r="AB93" i="1"/>
  <c r="AR93" i="1" s="1"/>
  <c r="AB94" i="1"/>
  <c r="AR94" i="1" s="1"/>
  <c r="AB95" i="1"/>
  <c r="AR95" i="1" s="1"/>
  <c r="AB96" i="1"/>
  <c r="AR96" i="1" s="1"/>
  <c r="AB97" i="1"/>
  <c r="AR97" i="1" s="1"/>
  <c r="AB98" i="1"/>
  <c r="AR98" i="1" s="1"/>
  <c r="AB99" i="1"/>
  <c r="AR99" i="1" s="1"/>
  <c r="AB100" i="1"/>
  <c r="AR100" i="1" s="1"/>
  <c r="AB101" i="1"/>
  <c r="AR101" i="1" s="1"/>
  <c r="AB102" i="1"/>
  <c r="AR102" i="1" s="1"/>
  <c r="AB103" i="1"/>
  <c r="AR103" i="1" s="1"/>
  <c r="AB104" i="1"/>
  <c r="AR104" i="1" s="1"/>
  <c r="AB105" i="1"/>
  <c r="AR105" i="1" s="1"/>
  <c r="AB106" i="1"/>
  <c r="AR106" i="1" s="1"/>
  <c r="AB107" i="1"/>
  <c r="AR107" i="1" s="1"/>
  <c r="AB108" i="1"/>
  <c r="AR108" i="1" s="1"/>
  <c r="AB109" i="1"/>
  <c r="AR109" i="1" s="1"/>
  <c r="AB110" i="1"/>
  <c r="AR110" i="1" s="1"/>
  <c r="AB111" i="1"/>
  <c r="AR111" i="1" s="1"/>
  <c r="AB112" i="1"/>
  <c r="AR112" i="1" s="1"/>
  <c r="AB113" i="1"/>
  <c r="AR113" i="1" s="1"/>
  <c r="AB114" i="1"/>
  <c r="AR114" i="1" s="1"/>
  <c r="AB115" i="1"/>
  <c r="AR115" i="1" s="1"/>
  <c r="AB116" i="1"/>
  <c r="AR116" i="1" s="1"/>
  <c r="AB117" i="1"/>
  <c r="AR117" i="1" s="1"/>
  <c r="AB118" i="1"/>
  <c r="AR118" i="1" s="1"/>
  <c r="AB119" i="1"/>
  <c r="AR119" i="1" s="1"/>
  <c r="AB120" i="1"/>
  <c r="AR120" i="1" s="1"/>
  <c r="AB121" i="1"/>
  <c r="AR121" i="1" s="1"/>
  <c r="AB122" i="1"/>
  <c r="AR122" i="1" s="1"/>
  <c r="AB123" i="1"/>
  <c r="AR123" i="1" s="1"/>
  <c r="AB124" i="1"/>
  <c r="AR124" i="1" s="1"/>
  <c r="AB125" i="1"/>
  <c r="AR125" i="1" s="1"/>
  <c r="AB126" i="1"/>
  <c r="AR126" i="1" s="1"/>
  <c r="AB127" i="1"/>
  <c r="AR127" i="1" s="1"/>
  <c r="AB128" i="1"/>
  <c r="AR128" i="1" s="1"/>
  <c r="AB129" i="1"/>
  <c r="AR129" i="1" s="1"/>
  <c r="AB130" i="1"/>
  <c r="AR130" i="1" s="1"/>
  <c r="AB131" i="1"/>
  <c r="AR131" i="1" s="1"/>
  <c r="AB132" i="1"/>
  <c r="AR132" i="1" s="1"/>
  <c r="AB133" i="1"/>
  <c r="AR133" i="1" s="1"/>
  <c r="AB134" i="1"/>
  <c r="AR134" i="1" s="1"/>
  <c r="AB135" i="1"/>
  <c r="AR135" i="1" s="1"/>
  <c r="AB136" i="1"/>
  <c r="AR136" i="1" s="1"/>
  <c r="AB137" i="1"/>
  <c r="AR137" i="1" s="1"/>
  <c r="AB138" i="1"/>
  <c r="AR138" i="1" s="1"/>
  <c r="AB139" i="1"/>
  <c r="AR139" i="1" s="1"/>
  <c r="AB140" i="1"/>
  <c r="AR140" i="1" s="1"/>
  <c r="AB141" i="1"/>
  <c r="AR141" i="1" s="1"/>
  <c r="AB142" i="1"/>
  <c r="AR142" i="1" s="1"/>
  <c r="AB143" i="1"/>
  <c r="AR143" i="1" s="1"/>
  <c r="AB144" i="1"/>
  <c r="AR144" i="1" s="1"/>
  <c r="AB145" i="1"/>
  <c r="AR145" i="1" s="1"/>
  <c r="AB146" i="1"/>
  <c r="AR146" i="1" s="1"/>
  <c r="AB147" i="1"/>
  <c r="AR147" i="1" s="1"/>
  <c r="AB148" i="1"/>
  <c r="AR148" i="1" s="1"/>
  <c r="AB149" i="1"/>
  <c r="AR149" i="1" s="1"/>
  <c r="AB150" i="1"/>
  <c r="AR150" i="1" s="1"/>
  <c r="AB151" i="1"/>
  <c r="AR151" i="1" s="1"/>
  <c r="AB152" i="1"/>
  <c r="AR152" i="1" s="1"/>
  <c r="AB153" i="1"/>
  <c r="AR153" i="1" s="1"/>
  <c r="AB154" i="1"/>
  <c r="AR154" i="1" s="1"/>
  <c r="AB155" i="1"/>
  <c r="AR155" i="1" s="1"/>
  <c r="AB156" i="1"/>
  <c r="AR156" i="1" s="1"/>
  <c r="AB157" i="1"/>
  <c r="AR157" i="1" s="1"/>
  <c r="AB158" i="1"/>
  <c r="AR158" i="1" s="1"/>
  <c r="AB159" i="1"/>
  <c r="AR159" i="1" s="1"/>
  <c r="AB160" i="1"/>
  <c r="AR160" i="1" s="1"/>
  <c r="AB161" i="1"/>
  <c r="AR161" i="1" s="1"/>
  <c r="AB162" i="1"/>
  <c r="AR162" i="1" s="1"/>
  <c r="AB163" i="1"/>
  <c r="AR163" i="1" s="1"/>
  <c r="AB164" i="1"/>
  <c r="AR164" i="1" s="1"/>
  <c r="AB165" i="1"/>
  <c r="AR165" i="1" s="1"/>
  <c r="AB166" i="1"/>
  <c r="AR166" i="1" s="1"/>
  <c r="AB167" i="1"/>
  <c r="AR167" i="1" s="1"/>
  <c r="AB168" i="1"/>
  <c r="AR168" i="1" s="1"/>
  <c r="AB169" i="1"/>
  <c r="AR169" i="1" s="1"/>
  <c r="AB170" i="1"/>
  <c r="AR170" i="1" s="1"/>
  <c r="AB171" i="1"/>
  <c r="AR171" i="1" s="1"/>
  <c r="AB172" i="1"/>
  <c r="AR172" i="1" s="1"/>
  <c r="AB173" i="1"/>
  <c r="AR173" i="1" s="1"/>
  <c r="AB174" i="1"/>
  <c r="AR174" i="1" s="1"/>
  <c r="AB175" i="1"/>
  <c r="AR175" i="1" s="1"/>
  <c r="AB176" i="1"/>
  <c r="AR176" i="1" s="1"/>
  <c r="AB177" i="1"/>
  <c r="AR177" i="1" s="1"/>
  <c r="AB178" i="1"/>
  <c r="AR178" i="1" s="1"/>
  <c r="AB179" i="1"/>
  <c r="AR179" i="1" s="1"/>
  <c r="AB180" i="1"/>
  <c r="AR180" i="1" s="1"/>
  <c r="AB181" i="1"/>
  <c r="AR181" i="1" s="1"/>
  <c r="AB182" i="1"/>
  <c r="AR182" i="1" s="1"/>
  <c r="AB183" i="1"/>
  <c r="AR183" i="1" s="1"/>
  <c r="AB184" i="1"/>
  <c r="AR184" i="1" s="1"/>
  <c r="AB185" i="1"/>
  <c r="AR185" i="1" s="1"/>
  <c r="AB186" i="1"/>
  <c r="AR186" i="1" s="1"/>
  <c r="AB187" i="1"/>
  <c r="AR187" i="1" s="1"/>
  <c r="AB188" i="1"/>
  <c r="AR188" i="1" s="1"/>
  <c r="AB189" i="1"/>
  <c r="AR189" i="1" s="1"/>
  <c r="AB190" i="1"/>
  <c r="AR190" i="1" s="1"/>
  <c r="AB191" i="1"/>
  <c r="AR191" i="1" s="1"/>
  <c r="AB192" i="1"/>
  <c r="AR192" i="1" s="1"/>
  <c r="AB193" i="1"/>
  <c r="AR193" i="1" s="1"/>
  <c r="AB194" i="1"/>
  <c r="AR194" i="1" s="1"/>
  <c r="AB195" i="1"/>
  <c r="AR195" i="1" s="1"/>
  <c r="AB196" i="1"/>
  <c r="AR196" i="1" s="1"/>
  <c r="AB197" i="1"/>
  <c r="AR197" i="1" s="1"/>
  <c r="AB198" i="1"/>
  <c r="AR198" i="1" s="1"/>
  <c r="AB199" i="1"/>
  <c r="AR199" i="1" s="1"/>
  <c r="AB200" i="1"/>
  <c r="AR200" i="1" s="1"/>
  <c r="AB201" i="1"/>
  <c r="AR201" i="1" s="1"/>
  <c r="AB202" i="1"/>
  <c r="AR202" i="1" s="1"/>
  <c r="AB203" i="1"/>
  <c r="AR203" i="1" s="1"/>
  <c r="AB204" i="1"/>
  <c r="AR204" i="1" s="1"/>
  <c r="AB205" i="1"/>
  <c r="AR205" i="1" s="1"/>
  <c r="AB206" i="1"/>
  <c r="AR206" i="1" s="1"/>
  <c r="AB207" i="1"/>
  <c r="AR207" i="1" s="1"/>
  <c r="AB208" i="1"/>
  <c r="AR208" i="1" s="1"/>
  <c r="AB209" i="1"/>
  <c r="AR209" i="1" s="1"/>
  <c r="AB210" i="1"/>
  <c r="AR210" i="1" s="1"/>
  <c r="AB211" i="1"/>
  <c r="AR211" i="1" s="1"/>
  <c r="AB212" i="1"/>
  <c r="AR212" i="1" s="1"/>
  <c r="AB213" i="1"/>
  <c r="AR213" i="1" s="1"/>
  <c r="AB214" i="1"/>
  <c r="AR214" i="1" s="1"/>
  <c r="AB215" i="1"/>
  <c r="AR215" i="1" s="1"/>
  <c r="AB216" i="1"/>
  <c r="AR216" i="1" s="1"/>
  <c r="AB217" i="1"/>
  <c r="AR217" i="1" s="1"/>
  <c r="AB218" i="1"/>
  <c r="AR218" i="1" s="1"/>
  <c r="AB219" i="1"/>
  <c r="AR219" i="1" s="1"/>
  <c r="AB220" i="1"/>
  <c r="AR220" i="1" s="1"/>
  <c r="AB221" i="1"/>
  <c r="AR221" i="1" s="1"/>
  <c r="AB222" i="1"/>
  <c r="AR222" i="1" s="1"/>
  <c r="AB223" i="1"/>
  <c r="AR223" i="1" s="1"/>
  <c r="AB224" i="1"/>
  <c r="AR224" i="1" s="1"/>
  <c r="AB225" i="1"/>
  <c r="AR225" i="1" s="1"/>
  <c r="AB226" i="1"/>
  <c r="AR226" i="1" s="1"/>
  <c r="AB227" i="1"/>
  <c r="AR227" i="1" s="1"/>
  <c r="AB228" i="1"/>
  <c r="AR228" i="1" s="1"/>
  <c r="AB229" i="1"/>
  <c r="AR229" i="1" s="1"/>
  <c r="AB230" i="1"/>
  <c r="AR230" i="1" s="1"/>
  <c r="AB231" i="1"/>
  <c r="AR231" i="1" s="1"/>
  <c r="AB232" i="1"/>
  <c r="AR232" i="1" s="1"/>
  <c r="AB233" i="1"/>
  <c r="AR233" i="1" s="1"/>
  <c r="AB234" i="1"/>
  <c r="AR234" i="1" s="1"/>
  <c r="AB235" i="1"/>
  <c r="AR235" i="1" s="1"/>
  <c r="AB236" i="1"/>
  <c r="AR236" i="1" s="1"/>
  <c r="AB237" i="1"/>
  <c r="AR237" i="1" s="1"/>
  <c r="AB238" i="1"/>
  <c r="AR238" i="1" s="1"/>
  <c r="AB239" i="1"/>
  <c r="AR239" i="1" s="1"/>
  <c r="AB240" i="1"/>
  <c r="AR240" i="1" s="1"/>
  <c r="AB241" i="1"/>
  <c r="AR241" i="1" s="1"/>
  <c r="AB242" i="1"/>
  <c r="AR242" i="1" s="1"/>
  <c r="AB243" i="1"/>
  <c r="AR243" i="1" s="1"/>
  <c r="AB244" i="1"/>
  <c r="AR244" i="1" s="1"/>
  <c r="AB245" i="1"/>
  <c r="AR245" i="1" s="1"/>
  <c r="AB246" i="1"/>
  <c r="AR246" i="1" s="1"/>
  <c r="AB247" i="1"/>
  <c r="AR247" i="1" s="1"/>
  <c r="AB248" i="1"/>
  <c r="AR248" i="1" s="1"/>
  <c r="AB249" i="1"/>
  <c r="AR249" i="1" s="1"/>
  <c r="AB250" i="1"/>
  <c r="AR250" i="1" s="1"/>
  <c r="AB251" i="1"/>
  <c r="AR251" i="1" s="1"/>
  <c r="AB252" i="1"/>
  <c r="AR252" i="1" s="1"/>
  <c r="AB253" i="1"/>
  <c r="AR253" i="1" s="1"/>
  <c r="AB254" i="1"/>
  <c r="AR254" i="1" s="1"/>
  <c r="AB255" i="1"/>
  <c r="AR255" i="1" s="1"/>
  <c r="AB256" i="1"/>
  <c r="AR256" i="1" s="1"/>
  <c r="AB257" i="1"/>
  <c r="AR257" i="1" s="1"/>
  <c r="AB258" i="1"/>
  <c r="AR258" i="1" s="1"/>
  <c r="AB259" i="1"/>
  <c r="AR259" i="1" s="1"/>
  <c r="AB260" i="1"/>
  <c r="AR260" i="1" s="1"/>
  <c r="AB261" i="1"/>
  <c r="AR261" i="1" s="1"/>
  <c r="AB262" i="1"/>
  <c r="AR262" i="1" s="1"/>
  <c r="AB263" i="1"/>
  <c r="AR263" i="1" s="1"/>
  <c r="AB264" i="1"/>
  <c r="AR264" i="1" s="1"/>
  <c r="AB265" i="1"/>
  <c r="AR265" i="1" s="1"/>
  <c r="AB266" i="1"/>
  <c r="AR266" i="1" s="1"/>
  <c r="AB267" i="1"/>
  <c r="AR267" i="1" s="1"/>
  <c r="AB268" i="1"/>
  <c r="AR268" i="1" s="1"/>
  <c r="AB269" i="1"/>
  <c r="AR269" i="1" s="1"/>
  <c r="AB270" i="1"/>
  <c r="AR270" i="1" s="1"/>
  <c r="AB271" i="1"/>
  <c r="AR271" i="1" s="1"/>
  <c r="AB272" i="1"/>
  <c r="AR272" i="1" s="1"/>
  <c r="AB273" i="1"/>
  <c r="AR273" i="1" s="1"/>
  <c r="AB274" i="1"/>
  <c r="AR274" i="1" s="1"/>
  <c r="AB275" i="1"/>
  <c r="AR275" i="1" s="1"/>
  <c r="AB276" i="1"/>
  <c r="AR276" i="1" s="1"/>
  <c r="AB277" i="1"/>
  <c r="AR277" i="1" s="1"/>
  <c r="AB278" i="1"/>
  <c r="AR278" i="1" s="1"/>
  <c r="AB279" i="1"/>
  <c r="AR279" i="1" s="1"/>
  <c r="AB280" i="1"/>
  <c r="AR280" i="1" s="1"/>
  <c r="AB281" i="1"/>
  <c r="AR281" i="1" s="1"/>
  <c r="AB282" i="1"/>
  <c r="AR282" i="1" s="1"/>
  <c r="AB283" i="1"/>
  <c r="AR283" i="1" s="1"/>
  <c r="AB27" i="1"/>
  <c r="AR27" i="1" s="1"/>
  <c r="AB28" i="1"/>
  <c r="AR28" i="1" s="1"/>
  <c r="AB29" i="1"/>
  <c r="AR29" i="1" s="1"/>
  <c r="AB30" i="1"/>
  <c r="AR30" i="1" s="1"/>
  <c r="AB31" i="1"/>
  <c r="AR31" i="1" s="1"/>
  <c r="AB32" i="1"/>
  <c r="AR32" i="1" s="1"/>
  <c r="AB33" i="1"/>
  <c r="AR33" i="1" s="1"/>
  <c r="AB34" i="1"/>
  <c r="AR34" i="1" s="1"/>
  <c r="AB35" i="1"/>
  <c r="AR35" i="1" s="1"/>
  <c r="AB36" i="1"/>
  <c r="AR36" i="1" s="1"/>
  <c r="AB37" i="1"/>
  <c r="AR37" i="1" s="1"/>
  <c r="AB38" i="1"/>
  <c r="AR38" i="1" s="1"/>
  <c r="AB39" i="1"/>
  <c r="AR39" i="1" s="1"/>
  <c r="AB40" i="1"/>
  <c r="AR40" i="1" s="1"/>
  <c r="AB41" i="1"/>
  <c r="AR41" i="1" s="1"/>
  <c r="AB3" i="1"/>
  <c r="AR3" i="1" s="1"/>
  <c r="AB4" i="1"/>
  <c r="AR4" i="1" s="1"/>
  <c r="AB5" i="1"/>
  <c r="AR5" i="1" s="1"/>
  <c r="AB6" i="1"/>
  <c r="AR6" i="1" s="1"/>
  <c r="AB7" i="1"/>
  <c r="AR7" i="1" s="1"/>
  <c r="AB8" i="1"/>
  <c r="AR8" i="1" s="1"/>
  <c r="AB9" i="1"/>
  <c r="AR9" i="1" s="1"/>
  <c r="AB10" i="1"/>
  <c r="AR10" i="1" s="1"/>
  <c r="AB11" i="1"/>
  <c r="AR11" i="1" s="1"/>
  <c r="AB12" i="1"/>
  <c r="AR12" i="1" s="1"/>
  <c r="AB13" i="1"/>
  <c r="AR13" i="1" s="1"/>
  <c r="AB14" i="1"/>
  <c r="AR14" i="1" s="1"/>
  <c r="AB15" i="1"/>
  <c r="AR15" i="1" s="1"/>
  <c r="AB16" i="1"/>
  <c r="AR16" i="1" s="1"/>
  <c r="AB17" i="1"/>
  <c r="AR17" i="1" s="1"/>
  <c r="AB18" i="1"/>
  <c r="AR18" i="1" s="1"/>
  <c r="AB19" i="1"/>
  <c r="AR19" i="1" s="1"/>
  <c r="AB20" i="1"/>
  <c r="AR20" i="1" s="1"/>
  <c r="AB21" i="1"/>
  <c r="AR21" i="1" s="1"/>
  <c r="AB22" i="1"/>
  <c r="AR22" i="1" s="1"/>
  <c r="AB23" i="1"/>
  <c r="AR23" i="1" s="1"/>
  <c r="AB24" i="1"/>
  <c r="AR24" i="1" s="1"/>
  <c r="AB25" i="1"/>
  <c r="AR25" i="1" s="1"/>
  <c r="AB26" i="1"/>
  <c r="AR26" i="1" s="1"/>
  <c r="C2" i="18" l="1" a="1"/>
  <c r="C2" i="18" s="1"/>
  <c r="C2" i="14" a="1"/>
  <c r="C2" i="14" s="1"/>
  <c r="AI104" i="3"/>
  <c r="X631" i="8"/>
  <c r="AF630" i="8"/>
  <c r="X291" i="8"/>
  <c r="AF290" i="8"/>
  <c r="X9" i="8"/>
  <c r="AF8" i="8"/>
  <c r="K846" i="8"/>
  <c r="AC846" i="8" s="1"/>
  <c r="AD846" i="8" s="1"/>
  <c r="AQ846" i="8" s="1"/>
  <c r="W846" i="8"/>
  <c r="K104" i="3"/>
  <c r="AA104" i="3" s="1"/>
  <c r="AB104" i="3" s="1"/>
  <c r="AI846" i="8"/>
  <c r="AG104" i="3"/>
  <c r="AG133" i="3"/>
  <c r="AG105" i="3"/>
  <c r="AG200" i="3"/>
  <c r="AG149" i="3"/>
  <c r="AG187" i="3"/>
  <c r="AG134" i="3"/>
  <c r="AG129" i="3"/>
  <c r="AG153" i="3"/>
  <c r="AG202" i="3"/>
  <c r="AG222" i="3"/>
  <c r="AG223" i="3"/>
  <c r="AG137" i="3"/>
  <c r="AG159" i="3"/>
  <c r="AG210" i="3"/>
  <c r="AG117" i="3"/>
  <c r="AG188" i="3"/>
  <c r="AG131" i="3"/>
  <c r="AG118" i="3"/>
  <c r="AG164" i="3"/>
  <c r="AG111" i="3"/>
  <c r="AG220" i="3"/>
  <c r="AG110" i="3"/>
  <c r="AG183" i="3"/>
  <c r="AG140" i="3"/>
  <c r="AG108" i="3"/>
  <c r="AG175" i="3"/>
  <c r="AG136" i="3"/>
  <c r="AG146" i="3"/>
  <c r="AG139" i="3"/>
  <c r="AG125" i="3"/>
  <c r="AG209" i="3"/>
  <c r="AG208" i="3"/>
  <c r="AG192" i="3"/>
  <c r="AG206" i="3"/>
  <c r="AG115" i="3"/>
  <c r="AG138" i="3"/>
  <c r="AG201" i="3"/>
  <c r="AG217" i="3"/>
  <c r="AG161" i="3"/>
  <c r="AG120" i="3"/>
  <c r="AG147" i="3"/>
  <c r="AG132" i="3"/>
  <c r="AG123" i="3"/>
  <c r="AG214" i="3"/>
  <c r="AG219" i="3"/>
  <c r="AG193" i="3"/>
  <c r="AG113" i="3"/>
  <c r="AG141" i="3"/>
  <c r="AG174" i="3"/>
  <c r="AG189" i="3"/>
  <c r="AG180" i="3"/>
  <c r="AG185" i="3"/>
  <c r="AG124" i="3"/>
  <c r="AG144" i="3"/>
  <c r="AG195" i="3"/>
  <c r="AG197" i="3"/>
  <c r="AG155" i="3"/>
  <c r="AG135" i="3"/>
  <c r="AG176" i="3"/>
  <c r="AG157" i="3"/>
  <c r="AG205" i="3"/>
  <c r="AG181" i="3"/>
  <c r="AG169" i="3"/>
  <c r="AG221" i="3"/>
  <c r="AG177" i="3"/>
  <c r="AG168" i="3"/>
  <c r="AG143" i="3"/>
  <c r="AG150" i="3"/>
  <c r="AG127" i="3"/>
  <c r="AG167" i="3"/>
  <c r="AG128" i="3"/>
  <c r="AG184" i="3"/>
  <c r="AG204" i="3"/>
  <c r="AG142" i="3"/>
  <c r="AG152" i="3"/>
  <c r="AG194" i="3"/>
  <c r="AG179" i="3"/>
  <c r="AG162" i="3"/>
  <c r="AG213" i="3"/>
  <c r="AG154" i="3"/>
  <c r="AG116" i="3"/>
  <c r="AG122" i="3"/>
  <c r="AG171" i="3"/>
  <c r="AG172" i="3"/>
  <c r="AG196" i="3"/>
  <c r="AG190" i="3"/>
  <c r="AG218" i="3"/>
  <c r="AG166" i="3"/>
  <c r="AG173" i="3"/>
  <c r="AG112" i="3"/>
  <c r="AG186" i="3"/>
  <c r="AG151" i="3"/>
  <c r="AG119" i="3"/>
  <c r="AG160" i="3"/>
  <c r="AG148" i="3"/>
  <c r="AG130" i="3"/>
  <c r="AG109" i="3"/>
  <c r="AG163" i="3"/>
  <c r="AG216" i="3"/>
  <c r="AG158" i="3"/>
  <c r="AG156" i="3"/>
  <c r="AG107" i="3"/>
  <c r="AG165" i="3"/>
  <c r="AG126" i="3"/>
  <c r="AG191" i="3"/>
  <c r="AG106" i="3"/>
  <c r="AG182" i="3"/>
  <c r="AG198" i="3"/>
  <c r="AG207" i="3"/>
  <c r="AG211" i="3"/>
  <c r="AG178" i="3"/>
  <c r="AG215" i="3"/>
  <c r="AG199" i="3"/>
  <c r="AG212" i="3"/>
  <c r="AG145" i="3"/>
  <c r="AG203" i="3"/>
  <c r="AG114" i="3"/>
  <c r="AG170" i="3"/>
  <c r="AG121" i="3"/>
  <c r="B224" i="3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2" i="4"/>
  <c r="X21" i="3"/>
  <c r="X22" i="3"/>
  <c r="X23" i="3"/>
  <c r="X24" i="3"/>
  <c r="X28" i="3"/>
  <c r="X30" i="3"/>
  <c r="X31" i="3"/>
  <c r="X32" i="3"/>
  <c r="X33" i="3"/>
  <c r="X35" i="3"/>
  <c r="X36" i="3"/>
  <c r="X40" i="3"/>
  <c r="X41" i="3"/>
  <c r="X42" i="3"/>
  <c r="X43" i="3"/>
  <c r="X45" i="3"/>
  <c r="X47" i="3"/>
  <c r="X48" i="3"/>
  <c r="X49" i="3"/>
  <c r="X54" i="3"/>
  <c r="X55" i="3"/>
  <c r="X56" i="3"/>
  <c r="X57" i="3"/>
  <c r="X58" i="3"/>
  <c r="X59" i="3"/>
  <c r="X62" i="3"/>
  <c r="X65" i="3"/>
  <c r="X66" i="3"/>
  <c r="X67" i="3"/>
  <c r="X69" i="3"/>
  <c r="X70" i="3"/>
  <c r="X71" i="3"/>
  <c r="X72" i="3"/>
  <c r="X73" i="3"/>
  <c r="X78" i="3"/>
  <c r="X80" i="3"/>
  <c r="X81" i="3"/>
  <c r="X84" i="3"/>
  <c r="X90" i="3"/>
  <c r="X91" i="3"/>
  <c r="X92" i="3"/>
  <c r="X94" i="3"/>
  <c r="X96" i="3"/>
  <c r="X97" i="3"/>
  <c r="X99" i="3"/>
  <c r="X100" i="3"/>
  <c r="X102" i="3"/>
  <c r="X103" i="3"/>
  <c r="X105" i="3"/>
  <c r="X106" i="3"/>
  <c r="X107" i="3"/>
  <c r="X108" i="3"/>
  <c r="X109" i="3"/>
  <c r="X112" i="3"/>
  <c r="X114" i="3"/>
  <c r="X115" i="3"/>
  <c r="X116" i="3"/>
  <c r="X117" i="3"/>
  <c r="X118" i="3"/>
  <c r="X119" i="3"/>
  <c r="X120" i="3"/>
  <c r="X121" i="3"/>
  <c r="X122" i="3"/>
  <c r="X125" i="3"/>
  <c r="X126" i="3"/>
  <c r="X127" i="3"/>
  <c r="X128" i="3"/>
  <c r="X129" i="3"/>
  <c r="X132" i="3"/>
  <c r="X133" i="3"/>
  <c r="X138" i="3"/>
  <c r="X142" i="3"/>
  <c r="X143" i="3"/>
  <c r="X144" i="3"/>
  <c r="X145" i="3"/>
  <c r="X146" i="3"/>
  <c r="X149" i="3"/>
  <c r="X152" i="3"/>
  <c r="X153" i="3"/>
  <c r="X154" i="3"/>
  <c r="X155" i="3"/>
  <c r="X156" i="3"/>
  <c r="X157" i="3"/>
  <c r="X159" i="3"/>
  <c r="X160" i="3"/>
  <c r="X162" i="3"/>
  <c r="X164" i="3"/>
  <c r="X166" i="3"/>
  <c r="X167" i="3"/>
  <c r="X168" i="3"/>
  <c r="X175" i="3"/>
  <c r="X179" i="3"/>
  <c r="X181" i="3"/>
  <c r="X182" i="3"/>
  <c r="X183" i="3"/>
  <c r="X184" i="3"/>
  <c r="X185" i="3"/>
  <c r="X187" i="3"/>
  <c r="X188" i="3"/>
  <c r="X189" i="3"/>
  <c r="X194" i="3"/>
  <c r="X195" i="3"/>
  <c r="X196" i="3"/>
  <c r="X201" i="3"/>
  <c r="X206" i="3"/>
  <c r="X208" i="3"/>
  <c r="X209" i="3"/>
  <c r="X210" i="3"/>
  <c r="X211" i="3"/>
  <c r="X213" i="3"/>
  <c r="X215" i="3"/>
  <c r="X217" i="3"/>
  <c r="X223" i="3"/>
  <c r="X3" i="3"/>
  <c r="X4" i="3"/>
  <c r="X5" i="3"/>
  <c r="X6" i="3"/>
  <c r="X10" i="3"/>
  <c r="X11" i="3"/>
  <c r="X12" i="3"/>
  <c r="X13" i="3"/>
  <c r="X18" i="3"/>
  <c r="X19" i="3"/>
  <c r="X20" i="3"/>
  <c r="X15" i="2"/>
  <c r="X16" i="2"/>
  <c r="X20" i="2"/>
  <c r="X21" i="2"/>
  <c r="X22" i="2"/>
  <c r="X26" i="2"/>
  <c r="X28" i="2"/>
  <c r="X31" i="2"/>
  <c r="X35" i="2"/>
  <c r="X36" i="2"/>
  <c r="X37" i="2"/>
  <c r="X38" i="2"/>
  <c r="X46" i="2"/>
  <c r="X47" i="2"/>
  <c r="X54" i="2"/>
  <c r="X56" i="2"/>
  <c r="X57" i="2"/>
  <c r="X58" i="2"/>
  <c r="X59" i="2"/>
  <c r="X60" i="2"/>
  <c r="X63" i="2"/>
  <c r="X64" i="2"/>
  <c r="X68" i="2"/>
  <c r="X70" i="2"/>
  <c r="X73" i="2"/>
  <c r="X76" i="2"/>
  <c r="X77" i="2"/>
  <c r="X78" i="2"/>
  <c r="X80" i="2"/>
  <c r="X81" i="2"/>
  <c r="X83" i="2"/>
  <c r="X87" i="2"/>
  <c r="X90" i="2"/>
  <c r="X95" i="2"/>
  <c r="X97" i="2"/>
  <c r="X99" i="2"/>
  <c r="X100" i="2"/>
  <c r="X101" i="2"/>
  <c r="X102" i="2"/>
  <c r="X114" i="2"/>
  <c r="X119" i="2"/>
  <c r="X121" i="2"/>
  <c r="X123" i="2"/>
  <c r="X130" i="2"/>
  <c r="X131" i="2"/>
  <c r="X133" i="2"/>
  <c r="X136" i="2"/>
  <c r="X139" i="2"/>
  <c r="X140" i="2"/>
  <c r="X142" i="2"/>
  <c r="X143" i="2"/>
  <c r="X144" i="2"/>
  <c r="X145" i="2"/>
  <c r="X146" i="2"/>
  <c r="X148" i="2"/>
  <c r="X150" i="2"/>
  <c r="X153" i="2"/>
  <c r="X156" i="2"/>
  <c r="X161" i="2"/>
  <c r="X162" i="2"/>
  <c r="X164" i="2"/>
  <c r="X165" i="2"/>
  <c r="X166" i="2"/>
  <c r="X168" i="2"/>
  <c r="X169" i="2"/>
  <c r="X170" i="2"/>
  <c r="X171" i="2"/>
  <c r="X172" i="2"/>
  <c r="X175" i="2"/>
  <c r="X181" i="2"/>
  <c r="X182" i="2"/>
  <c r="X183" i="2"/>
  <c r="X184" i="2"/>
  <c r="X188" i="2"/>
  <c r="X190" i="2"/>
  <c r="X191" i="2"/>
  <c r="X192" i="2"/>
  <c r="X196" i="2"/>
  <c r="X197" i="2"/>
  <c r="X199" i="2"/>
  <c r="X200" i="2"/>
  <c r="X204" i="2"/>
  <c r="X205" i="2"/>
  <c r="X206" i="2"/>
  <c r="X207" i="2"/>
  <c r="X208" i="2"/>
  <c r="X211" i="2"/>
  <c r="X213" i="2"/>
  <c r="X215" i="2"/>
  <c r="X216" i="2"/>
  <c r="X217" i="2"/>
  <c r="X222" i="2"/>
  <c r="X224" i="2"/>
  <c r="X227" i="2"/>
  <c r="X228" i="2"/>
  <c r="X229" i="2"/>
  <c r="X230" i="2"/>
  <c r="X234" i="2"/>
  <c r="X235" i="2"/>
  <c r="X236" i="2"/>
  <c r="X238" i="2"/>
  <c r="X239" i="2"/>
  <c r="X240" i="2"/>
  <c r="X244" i="2"/>
  <c r="X245" i="2"/>
  <c r="X247" i="2"/>
  <c r="X254" i="2"/>
  <c r="X255" i="2"/>
  <c r="X257" i="2"/>
  <c r="X258" i="2"/>
  <c r="X261" i="2"/>
  <c r="X263" i="2"/>
  <c r="X264" i="2"/>
  <c r="X265" i="2"/>
  <c r="X266" i="2"/>
  <c r="X269" i="2"/>
  <c r="X272" i="2"/>
  <c r="X275" i="2"/>
  <c r="X278" i="2"/>
  <c r="X279" i="2"/>
  <c r="X280" i="2"/>
  <c r="X281" i="2"/>
  <c r="X282" i="2"/>
  <c r="X283" i="2"/>
  <c r="X286" i="2"/>
  <c r="X290" i="2"/>
  <c r="X292" i="2"/>
  <c r="X295" i="2"/>
  <c r="X298" i="2"/>
  <c r="X300" i="2"/>
  <c r="X302" i="2"/>
  <c r="X304" i="2"/>
  <c r="X305" i="2"/>
  <c r="X306" i="2"/>
  <c r="X307" i="2"/>
  <c r="X308" i="2"/>
  <c r="X314" i="2"/>
  <c r="X316" i="2"/>
  <c r="X321" i="2"/>
  <c r="X324" i="2"/>
  <c r="X326" i="2"/>
  <c r="X327" i="2"/>
  <c r="X338" i="2"/>
  <c r="X339" i="2"/>
  <c r="X4" i="2"/>
  <c r="X5" i="2"/>
  <c r="X6" i="2"/>
  <c r="X7" i="2"/>
  <c r="X9" i="2"/>
  <c r="X3" i="1"/>
  <c r="X4" i="1"/>
  <c r="X5" i="1"/>
  <c r="X6" i="1"/>
  <c r="X7" i="1"/>
  <c r="X8" i="1"/>
  <c r="X9" i="1"/>
  <c r="X11" i="1"/>
  <c r="X12" i="1"/>
  <c r="X14" i="1"/>
  <c r="X15" i="1"/>
  <c r="X16" i="1"/>
  <c r="X17" i="1"/>
  <c r="X18" i="1"/>
  <c r="X20" i="1"/>
  <c r="X21" i="1"/>
  <c r="X22" i="1"/>
  <c r="X23" i="1"/>
  <c r="X24" i="1"/>
  <c r="X25" i="1"/>
  <c r="X26" i="1"/>
  <c r="X28" i="1"/>
  <c r="X29" i="1"/>
  <c r="X30" i="1"/>
  <c r="X31" i="1"/>
  <c r="X34" i="1"/>
  <c r="X35" i="1"/>
  <c r="X38" i="1"/>
  <c r="X40" i="1"/>
  <c r="X41" i="1"/>
  <c r="X42" i="1"/>
  <c r="X43" i="1"/>
  <c r="X46" i="1"/>
  <c r="X47" i="1"/>
  <c r="X48" i="1"/>
  <c r="X49" i="1"/>
  <c r="X51" i="1"/>
  <c r="X52" i="1"/>
  <c r="X53" i="1"/>
  <c r="X54" i="1"/>
  <c r="X55" i="1"/>
  <c r="X56" i="1"/>
  <c r="X58" i="1"/>
  <c r="X59" i="1"/>
  <c r="X60" i="1"/>
  <c r="X62" i="1"/>
  <c r="X63" i="1"/>
  <c r="X69" i="1"/>
  <c r="X73" i="1"/>
  <c r="X75" i="1"/>
  <c r="X78" i="1"/>
  <c r="X80" i="1"/>
  <c r="X81" i="1"/>
  <c r="X83" i="1"/>
  <c r="X84" i="1"/>
  <c r="X85" i="1"/>
  <c r="X87" i="1"/>
  <c r="X88" i="1"/>
  <c r="X89" i="1"/>
  <c r="X94" i="1"/>
  <c r="X95" i="1"/>
  <c r="X96" i="1"/>
  <c r="X104" i="1"/>
  <c r="X105" i="1"/>
  <c r="X108" i="1"/>
  <c r="X109" i="1"/>
  <c r="X110" i="1"/>
  <c r="X116" i="1"/>
  <c r="X118" i="1"/>
  <c r="X128" i="1"/>
  <c r="X132" i="1"/>
  <c r="X134" i="1"/>
  <c r="X135" i="1"/>
  <c r="X137" i="1"/>
  <c r="X138" i="1"/>
  <c r="X139" i="1"/>
  <c r="X140" i="1"/>
  <c r="X145" i="1"/>
  <c r="X146" i="1"/>
  <c r="X147" i="1"/>
  <c r="X148" i="1"/>
  <c r="X149" i="1"/>
  <c r="X151" i="1"/>
  <c r="X152" i="1"/>
  <c r="X153" i="1"/>
  <c r="X154" i="1"/>
  <c r="X155" i="1"/>
  <c r="X156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5" i="1"/>
  <c r="X176" i="1"/>
  <c r="X177" i="1"/>
  <c r="X179" i="1"/>
  <c r="X180" i="1"/>
  <c r="X181" i="1"/>
  <c r="X182" i="1"/>
  <c r="X183" i="1"/>
  <c r="X184" i="1"/>
  <c r="X185" i="1"/>
  <c r="X186" i="1"/>
  <c r="X188" i="1"/>
  <c r="X193" i="1"/>
  <c r="X194" i="1"/>
  <c r="X195" i="1"/>
  <c r="X196" i="1"/>
  <c r="X197" i="1"/>
  <c r="X198" i="1"/>
  <c r="X199" i="1"/>
  <c r="X201" i="1"/>
  <c r="X202" i="1"/>
  <c r="X205" i="1"/>
  <c r="X214" i="1"/>
  <c r="X217" i="1"/>
  <c r="X218" i="1"/>
  <c r="X219" i="1"/>
  <c r="X221" i="1"/>
  <c r="X222" i="1"/>
  <c r="X224" i="1"/>
  <c r="X225" i="1"/>
  <c r="X226" i="1"/>
  <c r="X233" i="1"/>
  <c r="X234" i="1"/>
  <c r="X239" i="1"/>
  <c r="X242" i="1"/>
  <c r="X243" i="1"/>
  <c r="X244" i="1"/>
  <c r="X245" i="1"/>
  <c r="X246" i="1"/>
  <c r="X257" i="1"/>
  <c r="X258" i="1"/>
  <c r="X259" i="1"/>
  <c r="X263" i="1"/>
  <c r="X264" i="1"/>
  <c r="X265" i="1"/>
  <c r="X266" i="1"/>
  <c r="X267" i="1"/>
  <c r="X268" i="1"/>
  <c r="X269" i="1"/>
  <c r="X272" i="1"/>
  <c r="X273" i="1"/>
  <c r="X276" i="1"/>
  <c r="X277" i="1"/>
  <c r="X280" i="1"/>
  <c r="X283" i="1"/>
  <c r="B78" i="5"/>
  <c r="B61" i="5"/>
  <c r="B105" i="5"/>
  <c r="B83" i="5"/>
  <c r="Z375" i="8" s="1"/>
  <c r="B74" i="5"/>
  <c r="B62" i="5"/>
  <c r="B57" i="5"/>
  <c r="B50" i="5"/>
  <c r="Z261" i="8" s="1"/>
  <c r="B6" i="5"/>
  <c r="B5" i="5"/>
  <c r="W19" i="4"/>
  <c r="AN19" i="4" s="1"/>
  <c r="W20" i="4"/>
  <c r="AN20" i="4" s="1"/>
  <c r="W21" i="4"/>
  <c r="AN21" i="4" s="1"/>
  <c r="W22" i="4"/>
  <c r="AN22" i="4" s="1"/>
  <c r="W23" i="4"/>
  <c r="AN23" i="4" s="1"/>
  <c r="W24" i="4"/>
  <c r="AN24" i="4" s="1"/>
  <c r="W25" i="4"/>
  <c r="AN25" i="4" s="1"/>
  <c r="W26" i="4"/>
  <c r="AN26" i="4" s="1"/>
  <c r="W27" i="4"/>
  <c r="AN27" i="4" s="1"/>
  <c r="W28" i="4"/>
  <c r="AN28" i="4" s="1"/>
  <c r="W29" i="4"/>
  <c r="AN29" i="4" s="1"/>
  <c r="W30" i="4"/>
  <c r="AN30" i="4" s="1"/>
  <c r="W31" i="4"/>
  <c r="AN31" i="4" s="1"/>
  <c r="W32" i="4"/>
  <c r="AN32" i="4" s="1"/>
  <c r="W33" i="4"/>
  <c r="AN33" i="4" s="1"/>
  <c r="W34" i="4"/>
  <c r="AN34" i="4" s="1"/>
  <c r="W35" i="4"/>
  <c r="AN35" i="4" s="1"/>
  <c r="W36" i="4"/>
  <c r="AN36" i="4" s="1"/>
  <c r="W37" i="4"/>
  <c r="AN37" i="4" s="1"/>
  <c r="W38" i="4"/>
  <c r="AN38" i="4" s="1"/>
  <c r="W39" i="4"/>
  <c r="AN39" i="4" s="1"/>
  <c r="W40" i="4"/>
  <c r="AN40" i="4" s="1"/>
  <c r="W41" i="4"/>
  <c r="AN41" i="4" s="1"/>
  <c r="W42" i="4"/>
  <c r="AN42" i="4" s="1"/>
  <c r="W43" i="4"/>
  <c r="AN43" i="4" s="1"/>
  <c r="W44" i="4"/>
  <c r="AN44" i="4" s="1"/>
  <c r="W45" i="4"/>
  <c r="AN45" i="4" s="1"/>
  <c r="W46" i="4"/>
  <c r="AN46" i="4" s="1"/>
  <c r="W47" i="4"/>
  <c r="AN47" i="4" s="1"/>
  <c r="W48" i="4"/>
  <c r="AN48" i="4" s="1"/>
  <c r="W49" i="4"/>
  <c r="AN49" i="4" s="1"/>
  <c r="W50" i="4"/>
  <c r="AN50" i="4" s="1"/>
  <c r="W51" i="4"/>
  <c r="AN51" i="4" s="1"/>
  <c r="W52" i="4"/>
  <c r="AN52" i="4" s="1"/>
  <c r="W53" i="4"/>
  <c r="AN53" i="4" s="1"/>
  <c r="W54" i="4"/>
  <c r="AN54" i="4" s="1"/>
  <c r="W55" i="4"/>
  <c r="AN55" i="4" s="1"/>
  <c r="W56" i="4"/>
  <c r="AN56" i="4" s="1"/>
  <c r="W57" i="4"/>
  <c r="AN57" i="4" s="1"/>
  <c r="W58" i="4"/>
  <c r="AN58" i="4" s="1"/>
  <c r="W59" i="4"/>
  <c r="AN59" i="4" s="1"/>
  <c r="W60" i="4"/>
  <c r="AN60" i="4" s="1"/>
  <c r="W61" i="4"/>
  <c r="AN61" i="4" s="1"/>
  <c r="W62" i="4"/>
  <c r="AN62" i="4" s="1"/>
  <c r="W63" i="4"/>
  <c r="AN63" i="4" s="1"/>
  <c r="W64" i="4"/>
  <c r="AN64" i="4" s="1"/>
  <c r="W65" i="4"/>
  <c r="AN65" i="4" s="1"/>
  <c r="W66" i="4"/>
  <c r="AN66" i="4" s="1"/>
  <c r="W67" i="4"/>
  <c r="AN67" i="4" s="1"/>
  <c r="W68" i="4"/>
  <c r="AN68" i="4" s="1"/>
  <c r="W69" i="4"/>
  <c r="AN69" i="4" s="1"/>
  <c r="W70" i="4"/>
  <c r="AN70" i="4" s="1"/>
  <c r="W71" i="4"/>
  <c r="AN71" i="4" s="1"/>
  <c r="W72" i="4"/>
  <c r="AN72" i="4" s="1"/>
  <c r="W73" i="4"/>
  <c r="AN73" i="4" s="1"/>
  <c r="W74" i="4"/>
  <c r="AN74" i="4" s="1"/>
  <c r="W75" i="4"/>
  <c r="AN75" i="4" s="1"/>
  <c r="W76" i="4"/>
  <c r="AN76" i="4" s="1"/>
  <c r="W77" i="4"/>
  <c r="AN77" i="4" s="1"/>
  <c r="W78" i="4"/>
  <c r="AN78" i="4" s="1"/>
  <c r="W79" i="4"/>
  <c r="AN79" i="4" s="1"/>
  <c r="W80" i="4"/>
  <c r="AN80" i="4" s="1"/>
  <c r="W81" i="4"/>
  <c r="AN81" i="4" s="1"/>
  <c r="W82" i="4"/>
  <c r="AN82" i="4" s="1"/>
  <c r="W83" i="4"/>
  <c r="AN83" i="4" s="1"/>
  <c r="W3" i="4"/>
  <c r="AN3" i="4" s="1"/>
  <c r="W4" i="4"/>
  <c r="AN4" i="4" s="1"/>
  <c r="W5" i="4"/>
  <c r="AN5" i="4" s="1"/>
  <c r="W6" i="4"/>
  <c r="AN6" i="4" s="1"/>
  <c r="W7" i="4"/>
  <c r="AN7" i="4" s="1"/>
  <c r="W8" i="4"/>
  <c r="AN8" i="4" s="1"/>
  <c r="W9" i="4"/>
  <c r="AN9" i="4" s="1"/>
  <c r="W10" i="4"/>
  <c r="AN10" i="4" s="1"/>
  <c r="W11" i="4"/>
  <c r="AN11" i="4" s="1"/>
  <c r="W12" i="4"/>
  <c r="AN12" i="4" s="1"/>
  <c r="W13" i="4"/>
  <c r="AN13" i="4" s="1"/>
  <c r="W14" i="4"/>
  <c r="AN14" i="4" s="1"/>
  <c r="W15" i="4"/>
  <c r="AN15" i="4" s="1"/>
  <c r="W16" i="4"/>
  <c r="AN16" i="4" s="1"/>
  <c r="W17" i="4"/>
  <c r="AN17" i="4" s="1"/>
  <c r="W18" i="4"/>
  <c r="AN18" i="4" s="1"/>
  <c r="W2" i="4"/>
  <c r="AN2" i="4" s="1"/>
  <c r="W3" i="3"/>
  <c r="AN3" i="3" s="1"/>
  <c r="W4" i="3"/>
  <c r="AN4" i="3" s="1"/>
  <c r="W5" i="3"/>
  <c r="AN5" i="3" s="1"/>
  <c r="W6" i="3"/>
  <c r="AN6" i="3" s="1"/>
  <c r="W7" i="3"/>
  <c r="AN7" i="3" s="1"/>
  <c r="W8" i="3"/>
  <c r="AN8" i="3" s="1"/>
  <c r="W9" i="3"/>
  <c r="AN9" i="3" s="1"/>
  <c r="W10" i="3"/>
  <c r="AN10" i="3" s="1"/>
  <c r="W11" i="3"/>
  <c r="AN11" i="3" s="1"/>
  <c r="W12" i="3"/>
  <c r="AN12" i="3" s="1"/>
  <c r="W13" i="3"/>
  <c r="AN13" i="3" s="1"/>
  <c r="W14" i="3"/>
  <c r="AN14" i="3" s="1"/>
  <c r="W15" i="3"/>
  <c r="AN15" i="3" s="1"/>
  <c r="W16" i="3"/>
  <c r="AN16" i="3" s="1"/>
  <c r="W17" i="3"/>
  <c r="AN17" i="3" s="1"/>
  <c r="W18" i="3"/>
  <c r="AN18" i="3" s="1"/>
  <c r="W19" i="3"/>
  <c r="AN19" i="3" s="1"/>
  <c r="W20" i="3"/>
  <c r="AN20" i="3" s="1"/>
  <c r="W21" i="3"/>
  <c r="AN21" i="3" s="1"/>
  <c r="W22" i="3"/>
  <c r="AN22" i="3" s="1"/>
  <c r="W23" i="3"/>
  <c r="AN23" i="3" s="1"/>
  <c r="W24" i="3"/>
  <c r="AN24" i="3" s="1"/>
  <c r="W25" i="3"/>
  <c r="AN25" i="3" s="1"/>
  <c r="W26" i="3"/>
  <c r="AN26" i="3" s="1"/>
  <c r="W27" i="3"/>
  <c r="AN27" i="3" s="1"/>
  <c r="W28" i="3"/>
  <c r="AN28" i="3" s="1"/>
  <c r="W29" i="3"/>
  <c r="AN29" i="3" s="1"/>
  <c r="W30" i="3"/>
  <c r="AN30" i="3" s="1"/>
  <c r="W31" i="3"/>
  <c r="AN31" i="3" s="1"/>
  <c r="W32" i="3"/>
  <c r="AN32" i="3" s="1"/>
  <c r="W33" i="3"/>
  <c r="AN33" i="3" s="1"/>
  <c r="W34" i="3"/>
  <c r="AN34" i="3" s="1"/>
  <c r="W35" i="3"/>
  <c r="AN35" i="3" s="1"/>
  <c r="W36" i="3"/>
  <c r="AN36" i="3" s="1"/>
  <c r="W37" i="3"/>
  <c r="AN37" i="3" s="1"/>
  <c r="W38" i="3"/>
  <c r="AN38" i="3" s="1"/>
  <c r="W39" i="3"/>
  <c r="AN39" i="3" s="1"/>
  <c r="W40" i="3"/>
  <c r="AN40" i="3" s="1"/>
  <c r="W41" i="3"/>
  <c r="AN41" i="3" s="1"/>
  <c r="W42" i="3"/>
  <c r="AN42" i="3" s="1"/>
  <c r="W43" i="3"/>
  <c r="AN43" i="3" s="1"/>
  <c r="W44" i="3"/>
  <c r="AN44" i="3" s="1"/>
  <c r="W45" i="3"/>
  <c r="AN45" i="3" s="1"/>
  <c r="W46" i="3"/>
  <c r="AN46" i="3" s="1"/>
  <c r="W47" i="3"/>
  <c r="AN47" i="3" s="1"/>
  <c r="W48" i="3"/>
  <c r="AN48" i="3" s="1"/>
  <c r="W49" i="3"/>
  <c r="AN49" i="3" s="1"/>
  <c r="W50" i="3"/>
  <c r="AN50" i="3" s="1"/>
  <c r="W51" i="3"/>
  <c r="AN51" i="3" s="1"/>
  <c r="W52" i="3"/>
  <c r="AN52" i="3" s="1"/>
  <c r="W53" i="3"/>
  <c r="AN53" i="3" s="1"/>
  <c r="W54" i="3"/>
  <c r="AN54" i="3" s="1"/>
  <c r="W55" i="3"/>
  <c r="AN55" i="3" s="1"/>
  <c r="W56" i="3"/>
  <c r="AN56" i="3" s="1"/>
  <c r="W57" i="3"/>
  <c r="AN57" i="3" s="1"/>
  <c r="W58" i="3"/>
  <c r="AN58" i="3" s="1"/>
  <c r="W59" i="3"/>
  <c r="AN59" i="3" s="1"/>
  <c r="W60" i="3"/>
  <c r="AN60" i="3" s="1"/>
  <c r="W61" i="3"/>
  <c r="AN61" i="3" s="1"/>
  <c r="W62" i="3"/>
  <c r="AN62" i="3" s="1"/>
  <c r="W63" i="3"/>
  <c r="AN63" i="3" s="1"/>
  <c r="W64" i="3"/>
  <c r="AN64" i="3" s="1"/>
  <c r="W65" i="3"/>
  <c r="AN65" i="3" s="1"/>
  <c r="W66" i="3"/>
  <c r="AN66" i="3" s="1"/>
  <c r="W67" i="3"/>
  <c r="AN67" i="3" s="1"/>
  <c r="W68" i="3"/>
  <c r="AN68" i="3" s="1"/>
  <c r="W69" i="3"/>
  <c r="AN69" i="3" s="1"/>
  <c r="W70" i="3"/>
  <c r="AN70" i="3" s="1"/>
  <c r="W71" i="3"/>
  <c r="AN71" i="3" s="1"/>
  <c r="W72" i="3"/>
  <c r="AN72" i="3" s="1"/>
  <c r="W73" i="3"/>
  <c r="AN73" i="3" s="1"/>
  <c r="W74" i="3"/>
  <c r="AN74" i="3" s="1"/>
  <c r="W75" i="3"/>
  <c r="AN75" i="3" s="1"/>
  <c r="W76" i="3"/>
  <c r="AN76" i="3" s="1"/>
  <c r="W77" i="3"/>
  <c r="AN77" i="3" s="1"/>
  <c r="W78" i="3"/>
  <c r="AN78" i="3" s="1"/>
  <c r="W79" i="3"/>
  <c r="AN79" i="3" s="1"/>
  <c r="W80" i="3"/>
  <c r="AN80" i="3" s="1"/>
  <c r="W81" i="3"/>
  <c r="AN81" i="3" s="1"/>
  <c r="W82" i="3"/>
  <c r="AN82" i="3" s="1"/>
  <c r="W83" i="3"/>
  <c r="AN83" i="3" s="1"/>
  <c r="W84" i="3"/>
  <c r="AN84" i="3" s="1"/>
  <c r="W85" i="3"/>
  <c r="AN85" i="3" s="1"/>
  <c r="W86" i="3"/>
  <c r="AN86" i="3" s="1"/>
  <c r="W87" i="3"/>
  <c r="AN87" i="3" s="1"/>
  <c r="W88" i="3"/>
  <c r="AN88" i="3" s="1"/>
  <c r="W89" i="3"/>
  <c r="AN89" i="3" s="1"/>
  <c r="W90" i="3"/>
  <c r="AN90" i="3" s="1"/>
  <c r="W91" i="3"/>
  <c r="AN91" i="3" s="1"/>
  <c r="W92" i="3"/>
  <c r="AN92" i="3" s="1"/>
  <c r="W93" i="3"/>
  <c r="AN93" i="3" s="1"/>
  <c r="W94" i="3"/>
  <c r="AN94" i="3" s="1"/>
  <c r="W95" i="3"/>
  <c r="AN95" i="3" s="1"/>
  <c r="W96" i="3"/>
  <c r="AN96" i="3" s="1"/>
  <c r="W97" i="3"/>
  <c r="AN97" i="3" s="1"/>
  <c r="W98" i="3"/>
  <c r="AN98" i="3" s="1"/>
  <c r="W99" i="3"/>
  <c r="AN99" i="3" s="1"/>
  <c r="W100" i="3"/>
  <c r="AN100" i="3" s="1"/>
  <c r="W101" i="3"/>
  <c r="AN101" i="3" s="1"/>
  <c r="W102" i="3"/>
  <c r="AN102" i="3" s="1"/>
  <c r="W103" i="3"/>
  <c r="AN103" i="3" s="1"/>
  <c r="W104" i="3"/>
  <c r="AN104" i="3" s="1"/>
  <c r="W105" i="3"/>
  <c r="AN105" i="3" s="1"/>
  <c r="W106" i="3"/>
  <c r="AN106" i="3" s="1"/>
  <c r="W107" i="3"/>
  <c r="AN107" i="3" s="1"/>
  <c r="W108" i="3"/>
  <c r="AN108" i="3" s="1"/>
  <c r="W109" i="3"/>
  <c r="AN109" i="3" s="1"/>
  <c r="W110" i="3"/>
  <c r="AN110" i="3" s="1"/>
  <c r="W111" i="3"/>
  <c r="AN111" i="3" s="1"/>
  <c r="W112" i="3"/>
  <c r="AN112" i="3" s="1"/>
  <c r="W113" i="3"/>
  <c r="AN113" i="3" s="1"/>
  <c r="W114" i="3"/>
  <c r="AN114" i="3" s="1"/>
  <c r="W115" i="3"/>
  <c r="AN115" i="3" s="1"/>
  <c r="W116" i="3"/>
  <c r="AN116" i="3" s="1"/>
  <c r="W117" i="3"/>
  <c r="AN117" i="3" s="1"/>
  <c r="W118" i="3"/>
  <c r="AN118" i="3" s="1"/>
  <c r="W119" i="3"/>
  <c r="AN119" i="3" s="1"/>
  <c r="W120" i="3"/>
  <c r="AN120" i="3" s="1"/>
  <c r="W121" i="3"/>
  <c r="AN121" i="3" s="1"/>
  <c r="W122" i="3"/>
  <c r="AN122" i="3" s="1"/>
  <c r="W123" i="3"/>
  <c r="AN123" i="3" s="1"/>
  <c r="W124" i="3"/>
  <c r="AN124" i="3" s="1"/>
  <c r="W125" i="3"/>
  <c r="AN125" i="3" s="1"/>
  <c r="W126" i="3"/>
  <c r="AN126" i="3" s="1"/>
  <c r="W127" i="3"/>
  <c r="AN127" i="3" s="1"/>
  <c r="W128" i="3"/>
  <c r="AN128" i="3" s="1"/>
  <c r="W129" i="3"/>
  <c r="AN129" i="3" s="1"/>
  <c r="W130" i="3"/>
  <c r="AN130" i="3" s="1"/>
  <c r="W131" i="3"/>
  <c r="AN131" i="3" s="1"/>
  <c r="W132" i="3"/>
  <c r="AN132" i="3" s="1"/>
  <c r="W133" i="3"/>
  <c r="AN133" i="3" s="1"/>
  <c r="W134" i="3"/>
  <c r="AN134" i="3" s="1"/>
  <c r="W135" i="3"/>
  <c r="AN135" i="3" s="1"/>
  <c r="W136" i="3"/>
  <c r="AN136" i="3" s="1"/>
  <c r="W137" i="3"/>
  <c r="AN137" i="3" s="1"/>
  <c r="W138" i="3"/>
  <c r="AN138" i="3" s="1"/>
  <c r="W139" i="3"/>
  <c r="AN139" i="3" s="1"/>
  <c r="W140" i="3"/>
  <c r="AN140" i="3" s="1"/>
  <c r="W141" i="3"/>
  <c r="AN141" i="3" s="1"/>
  <c r="W142" i="3"/>
  <c r="AN142" i="3" s="1"/>
  <c r="W143" i="3"/>
  <c r="AN143" i="3" s="1"/>
  <c r="W144" i="3"/>
  <c r="AN144" i="3" s="1"/>
  <c r="W145" i="3"/>
  <c r="AN145" i="3" s="1"/>
  <c r="W146" i="3"/>
  <c r="AN146" i="3" s="1"/>
  <c r="W147" i="3"/>
  <c r="AN147" i="3" s="1"/>
  <c r="W148" i="3"/>
  <c r="AN148" i="3" s="1"/>
  <c r="W149" i="3"/>
  <c r="AN149" i="3" s="1"/>
  <c r="W150" i="3"/>
  <c r="AN150" i="3" s="1"/>
  <c r="W151" i="3"/>
  <c r="AN151" i="3" s="1"/>
  <c r="W152" i="3"/>
  <c r="AN152" i="3" s="1"/>
  <c r="W153" i="3"/>
  <c r="AN153" i="3" s="1"/>
  <c r="W154" i="3"/>
  <c r="AN154" i="3" s="1"/>
  <c r="W155" i="3"/>
  <c r="AN155" i="3" s="1"/>
  <c r="W156" i="3"/>
  <c r="AN156" i="3" s="1"/>
  <c r="W157" i="3"/>
  <c r="AN157" i="3" s="1"/>
  <c r="W158" i="3"/>
  <c r="AN158" i="3" s="1"/>
  <c r="W159" i="3"/>
  <c r="AN159" i="3" s="1"/>
  <c r="W160" i="3"/>
  <c r="AN160" i="3" s="1"/>
  <c r="W161" i="3"/>
  <c r="AN161" i="3" s="1"/>
  <c r="W162" i="3"/>
  <c r="AN162" i="3" s="1"/>
  <c r="W163" i="3"/>
  <c r="AN163" i="3" s="1"/>
  <c r="W164" i="3"/>
  <c r="AN164" i="3" s="1"/>
  <c r="W165" i="3"/>
  <c r="AN165" i="3" s="1"/>
  <c r="W166" i="3"/>
  <c r="AN166" i="3" s="1"/>
  <c r="W167" i="3"/>
  <c r="AN167" i="3" s="1"/>
  <c r="W168" i="3"/>
  <c r="AN168" i="3" s="1"/>
  <c r="W169" i="3"/>
  <c r="AN169" i="3" s="1"/>
  <c r="W170" i="3"/>
  <c r="AN170" i="3" s="1"/>
  <c r="W171" i="3"/>
  <c r="AN171" i="3" s="1"/>
  <c r="W172" i="3"/>
  <c r="AN172" i="3" s="1"/>
  <c r="W173" i="3"/>
  <c r="AN173" i="3" s="1"/>
  <c r="W174" i="3"/>
  <c r="AN174" i="3" s="1"/>
  <c r="W175" i="3"/>
  <c r="AN175" i="3" s="1"/>
  <c r="W176" i="3"/>
  <c r="AN176" i="3" s="1"/>
  <c r="W177" i="3"/>
  <c r="AN177" i="3" s="1"/>
  <c r="W178" i="3"/>
  <c r="AN178" i="3" s="1"/>
  <c r="W179" i="3"/>
  <c r="AN179" i="3" s="1"/>
  <c r="W180" i="3"/>
  <c r="AN180" i="3" s="1"/>
  <c r="W181" i="3"/>
  <c r="AN181" i="3" s="1"/>
  <c r="W182" i="3"/>
  <c r="AN182" i="3" s="1"/>
  <c r="W183" i="3"/>
  <c r="AN183" i="3" s="1"/>
  <c r="W184" i="3"/>
  <c r="AN184" i="3" s="1"/>
  <c r="W185" i="3"/>
  <c r="AN185" i="3" s="1"/>
  <c r="W186" i="3"/>
  <c r="AN186" i="3" s="1"/>
  <c r="W187" i="3"/>
  <c r="AN187" i="3" s="1"/>
  <c r="W188" i="3"/>
  <c r="AN188" i="3" s="1"/>
  <c r="W189" i="3"/>
  <c r="AN189" i="3" s="1"/>
  <c r="W190" i="3"/>
  <c r="AN190" i="3" s="1"/>
  <c r="W191" i="3"/>
  <c r="AN191" i="3" s="1"/>
  <c r="W192" i="3"/>
  <c r="AN192" i="3" s="1"/>
  <c r="W193" i="3"/>
  <c r="AN193" i="3" s="1"/>
  <c r="W194" i="3"/>
  <c r="AN194" i="3" s="1"/>
  <c r="W195" i="3"/>
  <c r="AN195" i="3" s="1"/>
  <c r="W196" i="3"/>
  <c r="AN196" i="3" s="1"/>
  <c r="W197" i="3"/>
  <c r="AN197" i="3" s="1"/>
  <c r="W198" i="3"/>
  <c r="AN198" i="3" s="1"/>
  <c r="W199" i="3"/>
  <c r="AN199" i="3" s="1"/>
  <c r="W200" i="3"/>
  <c r="AN200" i="3" s="1"/>
  <c r="W201" i="3"/>
  <c r="AN201" i="3" s="1"/>
  <c r="W202" i="3"/>
  <c r="AN202" i="3" s="1"/>
  <c r="W203" i="3"/>
  <c r="AN203" i="3" s="1"/>
  <c r="W204" i="3"/>
  <c r="AN204" i="3" s="1"/>
  <c r="W205" i="3"/>
  <c r="AN205" i="3" s="1"/>
  <c r="W206" i="3"/>
  <c r="AN206" i="3" s="1"/>
  <c r="W207" i="3"/>
  <c r="AN207" i="3" s="1"/>
  <c r="W208" i="3"/>
  <c r="AN208" i="3" s="1"/>
  <c r="W209" i="3"/>
  <c r="AN209" i="3" s="1"/>
  <c r="W210" i="3"/>
  <c r="AN210" i="3" s="1"/>
  <c r="W211" i="3"/>
  <c r="AN211" i="3" s="1"/>
  <c r="W212" i="3"/>
  <c r="AN212" i="3" s="1"/>
  <c r="W213" i="3"/>
  <c r="AN213" i="3" s="1"/>
  <c r="W214" i="3"/>
  <c r="AN214" i="3" s="1"/>
  <c r="W215" i="3"/>
  <c r="AN215" i="3" s="1"/>
  <c r="W216" i="3"/>
  <c r="AN216" i="3" s="1"/>
  <c r="W217" i="3"/>
  <c r="AN217" i="3" s="1"/>
  <c r="W218" i="3"/>
  <c r="AN218" i="3" s="1"/>
  <c r="W219" i="3"/>
  <c r="AN219" i="3" s="1"/>
  <c r="W220" i="3"/>
  <c r="AN220" i="3" s="1"/>
  <c r="W221" i="3"/>
  <c r="AN221" i="3" s="1"/>
  <c r="W222" i="3"/>
  <c r="AN222" i="3" s="1"/>
  <c r="W223" i="3"/>
  <c r="AN223" i="3" s="1"/>
  <c r="W224" i="3"/>
  <c r="W2" i="3"/>
  <c r="AN2" i="3" s="1"/>
  <c r="W3" i="2"/>
  <c r="AN3" i="2" s="1"/>
  <c r="W4" i="2"/>
  <c r="AN4" i="2" s="1"/>
  <c r="W5" i="2"/>
  <c r="AN5" i="2" s="1"/>
  <c r="W6" i="2"/>
  <c r="AN6" i="2" s="1"/>
  <c r="W7" i="2"/>
  <c r="AN7" i="2" s="1"/>
  <c r="W8" i="2"/>
  <c r="AN8" i="2" s="1"/>
  <c r="W9" i="2"/>
  <c r="AN9" i="2" s="1"/>
  <c r="W10" i="2"/>
  <c r="AN10" i="2" s="1"/>
  <c r="W11" i="2"/>
  <c r="AN11" i="2" s="1"/>
  <c r="W12" i="2"/>
  <c r="AN12" i="2" s="1"/>
  <c r="W13" i="2"/>
  <c r="AN13" i="2" s="1"/>
  <c r="W14" i="2"/>
  <c r="AN14" i="2" s="1"/>
  <c r="W15" i="2"/>
  <c r="AN15" i="2" s="1"/>
  <c r="W16" i="2"/>
  <c r="AN16" i="2" s="1"/>
  <c r="W17" i="2"/>
  <c r="AN17" i="2" s="1"/>
  <c r="W18" i="2"/>
  <c r="AN18" i="2" s="1"/>
  <c r="W19" i="2"/>
  <c r="AN19" i="2" s="1"/>
  <c r="W20" i="2"/>
  <c r="AN20" i="2" s="1"/>
  <c r="W21" i="2"/>
  <c r="AN21" i="2" s="1"/>
  <c r="W22" i="2"/>
  <c r="AN22" i="2" s="1"/>
  <c r="W23" i="2"/>
  <c r="AN23" i="2" s="1"/>
  <c r="W24" i="2"/>
  <c r="AN24" i="2" s="1"/>
  <c r="W25" i="2"/>
  <c r="AN25" i="2" s="1"/>
  <c r="W26" i="2"/>
  <c r="AN26" i="2" s="1"/>
  <c r="W27" i="2"/>
  <c r="AN27" i="2" s="1"/>
  <c r="W28" i="2"/>
  <c r="AN28" i="2" s="1"/>
  <c r="W29" i="2"/>
  <c r="AN29" i="2" s="1"/>
  <c r="W30" i="2"/>
  <c r="AN30" i="2" s="1"/>
  <c r="W31" i="2"/>
  <c r="AN31" i="2" s="1"/>
  <c r="W32" i="2"/>
  <c r="AN32" i="2" s="1"/>
  <c r="W33" i="2"/>
  <c r="AN33" i="2" s="1"/>
  <c r="W34" i="2"/>
  <c r="AN34" i="2" s="1"/>
  <c r="W35" i="2"/>
  <c r="AN35" i="2" s="1"/>
  <c r="W36" i="2"/>
  <c r="AN36" i="2" s="1"/>
  <c r="W37" i="2"/>
  <c r="AN37" i="2" s="1"/>
  <c r="W38" i="2"/>
  <c r="AN38" i="2" s="1"/>
  <c r="W39" i="2"/>
  <c r="AN39" i="2" s="1"/>
  <c r="W40" i="2"/>
  <c r="AN40" i="2" s="1"/>
  <c r="W41" i="2"/>
  <c r="AN41" i="2" s="1"/>
  <c r="W42" i="2"/>
  <c r="AN42" i="2" s="1"/>
  <c r="W43" i="2"/>
  <c r="AN43" i="2" s="1"/>
  <c r="W44" i="2"/>
  <c r="AN44" i="2" s="1"/>
  <c r="W45" i="2"/>
  <c r="AN45" i="2" s="1"/>
  <c r="W46" i="2"/>
  <c r="AN46" i="2" s="1"/>
  <c r="W47" i="2"/>
  <c r="AN47" i="2" s="1"/>
  <c r="W48" i="2"/>
  <c r="AN48" i="2" s="1"/>
  <c r="W49" i="2"/>
  <c r="AN49" i="2" s="1"/>
  <c r="W50" i="2"/>
  <c r="AN50" i="2" s="1"/>
  <c r="W51" i="2"/>
  <c r="AN51" i="2" s="1"/>
  <c r="W52" i="2"/>
  <c r="AN52" i="2" s="1"/>
  <c r="W53" i="2"/>
  <c r="AN53" i="2" s="1"/>
  <c r="W54" i="2"/>
  <c r="AN54" i="2" s="1"/>
  <c r="W55" i="2"/>
  <c r="AN55" i="2" s="1"/>
  <c r="W56" i="2"/>
  <c r="AN56" i="2" s="1"/>
  <c r="W57" i="2"/>
  <c r="AN57" i="2" s="1"/>
  <c r="W58" i="2"/>
  <c r="AN58" i="2" s="1"/>
  <c r="W59" i="2"/>
  <c r="AN59" i="2" s="1"/>
  <c r="W60" i="2"/>
  <c r="AN60" i="2" s="1"/>
  <c r="W61" i="2"/>
  <c r="AN61" i="2" s="1"/>
  <c r="W62" i="2"/>
  <c r="AN62" i="2" s="1"/>
  <c r="W63" i="2"/>
  <c r="AN63" i="2" s="1"/>
  <c r="W64" i="2"/>
  <c r="AN64" i="2" s="1"/>
  <c r="W65" i="2"/>
  <c r="AN65" i="2" s="1"/>
  <c r="W66" i="2"/>
  <c r="AN66" i="2" s="1"/>
  <c r="W67" i="2"/>
  <c r="AN67" i="2" s="1"/>
  <c r="W68" i="2"/>
  <c r="AN68" i="2" s="1"/>
  <c r="W69" i="2"/>
  <c r="AN69" i="2" s="1"/>
  <c r="W70" i="2"/>
  <c r="AN70" i="2" s="1"/>
  <c r="W71" i="2"/>
  <c r="AN71" i="2" s="1"/>
  <c r="W72" i="2"/>
  <c r="AN72" i="2" s="1"/>
  <c r="W73" i="2"/>
  <c r="AN73" i="2" s="1"/>
  <c r="W74" i="2"/>
  <c r="AN74" i="2" s="1"/>
  <c r="W75" i="2"/>
  <c r="AN75" i="2" s="1"/>
  <c r="W76" i="2"/>
  <c r="AN76" i="2" s="1"/>
  <c r="W77" i="2"/>
  <c r="AN77" i="2" s="1"/>
  <c r="W78" i="2"/>
  <c r="AN78" i="2" s="1"/>
  <c r="W79" i="2"/>
  <c r="AN79" i="2" s="1"/>
  <c r="W80" i="2"/>
  <c r="AN80" i="2" s="1"/>
  <c r="W81" i="2"/>
  <c r="AN81" i="2" s="1"/>
  <c r="W82" i="2"/>
  <c r="AN82" i="2" s="1"/>
  <c r="W83" i="2"/>
  <c r="AN83" i="2" s="1"/>
  <c r="W84" i="2"/>
  <c r="AN84" i="2" s="1"/>
  <c r="W85" i="2"/>
  <c r="AN85" i="2" s="1"/>
  <c r="W86" i="2"/>
  <c r="AN86" i="2" s="1"/>
  <c r="W87" i="2"/>
  <c r="AN87" i="2" s="1"/>
  <c r="W88" i="2"/>
  <c r="AN88" i="2" s="1"/>
  <c r="W89" i="2"/>
  <c r="AN89" i="2" s="1"/>
  <c r="W90" i="2"/>
  <c r="AN90" i="2" s="1"/>
  <c r="W91" i="2"/>
  <c r="AN91" i="2" s="1"/>
  <c r="W92" i="2"/>
  <c r="AN92" i="2" s="1"/>
  <c r="W93" i="2"/>
  <c r="AN93" i="2" s="1"/>
  <c r="W94" i="2"/>
  <c r="AN94" i="2" s="1"/>
  <c r="W95" i="2"/>
  <c r="AN95" i="2" s="1"/>
  <c r="W96" i="2"/>
  <c r="AN96" i="2" s="1"/>
  <c r="W97" i="2"/>
  <c r="AN97" i="2" s="1"/>
  <c r="W98" i="2"/>
  <c r="AN98" i="2" s="1"/>
  <c r="W99" i="2"/>
  <c r="AN99" i="2" s="1"/>
  <c r="W100" i="2"/>
  <c r="AN100" i="2" s="1"/>
  <c r="W101" i="2"/>
  <c r="AN101" i="2" s="1"/>
  <c r="W102" i="2"/>
  <c r="AN102" i="2" s="1"/>
  <c r="W103" i="2"/>
  <c r="AN103" i="2" s="1"/>
  <c r="W104" i="2"/>
  <c r="AN104" i="2" s="1"/>
  <c r="W105" i="2"/>
  <c r="AN105" i="2" s="1"/>
  <c r="W106" i="2"/>
  <c r="AN106" i="2" s="1"/>
  <c r="W107" i="2"/>
  <c r="AN107" i="2" s="1"/>
  <c r="W108" i="2"/>
  <c r="AN108" i="2" s="1"/>
  <c r="W109" i="2"/>
  <c r="AN109" i="2" s="1"/>
  <c r="W110" i="2"/>
  <c r="AN110" i="2" s="1"/>
  <c r="W111" i="2"/>
  <c r="AN111" i="2" s="1"/>
  <c r="W112" i="2"/>
  <c r="AN112" i="2" s="1"/>
  <c r="W113" i="2"/>
  <c r="AN113" i="2" s="1"/>
  <c r="W114" i="2"/>
  <c r="AN114" i="2" s="1"/>
  <c r="W115" i="2"/>
  <c r="AN115" i="2" s="1"/>
  <c r="W116" i="2"/>
  <c r="AN116" i="2" s="1"/>
  <c r="W117" i="2"/>
  <c r="AN117" i="2" s="1"/>
  <c r="W118" i="2"/>
  <c r="AN118" i="2" s="1"/>
  <c r="W119" i="2"/>
  <c r="AN119" i="2" s="1"/>
  <c r="W120" i="2"/>
  <c r="AN120" i="2" s="1"/>
  <c r="W121" i="2"/>
  <c r="AN121" i="2" s="1"/>
  <c r="W122" i="2"/>
  <c r="AN122" i="2" s="1"/>
  <c r="W123" i="2"/>
  <c r="AN123" i="2" s="1"/>
  <c r="W124" i="2"/>
  <c r="AN124" i="2" s="1"/>
  <c r="W125" i="2"/>
  <c r="AN125" i="2" s="1"/>
  <c r="W126" i="2"/>
  <c r="AN126" i="2" s="1"/>
  <c r="W127" i="2"/>
  <c r="AN127" i="2" s="1"/>
  <c r="W128" i="2"/>
  <c r="AN128" i="2" s="1"/>
  <c r="W129" i="2"/>
  <c r="AN129" i="2" s="1"/>
  <c r="W130" i="2"/>
  <c r="AN130" i="2" s="1"/>
  <c r="W131" i="2"/>
  <c r="AN131" i="2" s="1"/>
  <c r="W132" i="2"/>
  <c r="AN132" i="2" s="1"/>
  <c r="W133" i="2"/>
  <c r="AN133" i="2" s="1"/>
  <c r="W134" i="2"/>
  <c r="AN134" i="2" s="1"/>
  <c r="W135" i="2"/>
  <c r="AN135" i="2" s="1"/>
  <c r="W136" i="2"/>
  <c r="AN136" i="2" s="1"/>
  <c r="W137" i="2"/>
  <c r="AN137" i="2" s="1"/>
  <c r="W138" i="2"/>
  <c r="AN138" i="2" s="1"/>
  <c r="W139" i="2"/>
  <c r="AN139" i="2" s="1"/>
  <c r="W140" i="2"/>
  <c r="AN140" i="2" s="1"/>
  <c r="W141" i="2"/>
  <c r="AN141" i="2" s="1"/>
  <c r="W142" i="2"/>
  <c r="AN142" i="2" s="1"/>
  <c r="W143" i="2"/>
  <c r="AN143" i="2" s="1"/>
  <c r="W144" i="2"/>
  <c r="AN144" i="2" s="1"/>
  <c r="W145" i="2"/>
  <c r="AN145" i="2" s="1"/>
  <c r="W146" i="2"/>
  <c r="AN146" i="2" s="1"/>
  <c r="W147" i="2"/>
  <c r="AN147" i="2" s="1"/>
  <c r="W148" i="2"/>
  <c r="AN148" i="2" s="1"/>
  <c r="W149" i="2"/>
  <c r="AN149" i="2" s="1"/>
  <c r="W150" i="2"/>
  <c r="AN150" i="2" s="1"/>
  <c r="W151" i="2"/>
  <c r="AN151" i="2" s="1"/>
  <c r="W152" i="2"/>
  <c r="AN152" i="2" s="1"/>
  <c r="W153" i="2"/>
  <c r="AN153" i="2" s="1"/>
  <c r="W154" i="2"/>
  <c r="AN154" i="2" s="1"/>
  <c r="W155" i="2"/>
  <c r="AN155" i="2" s="1"/>
  <c r="W156" i="2"/>
  <c r="AN156" i="2" s="1"/>
  <c r="W157" i="2"/>
  <c r="AN157" i="2" s="1"/>
  <c r="W158" i="2"/>
  <c r="AN158" i="2" s="1"/>
  <c r="W159" i="2"/>
  <c r="AN159" i="2" s="1"/>
  <c r="W160" i="2"/>
  <c r="AN160" i="2" s="1"/>
  <c r="W161" i="2"/>
  <c r="AN161" i="2" s="1"/>
  <c r="W162" i="2"/>
  <c r="AN162" i="2" s="1"/>
  <c r="W163" i="2"/>
  <c r="AN163" i="2" s="1"/>
  <c r="W164" i="2"/>
  <c r="AN164" i="2" s="1"/>
  <c r="W165" i="2"/>
  <c r="AN165" i="2" s="1"/>
  <c r="W166" i="2"/>
  <c r="AN166" i="2" s="1"/>
  <c r="W167" i="2"/>
  <c r="AN167" i="2" s="1"/>
  <c r="W168" i="2"/>
  <c r="AN168" i="2" s="1"/>
  <c r="W169" i="2"/>
  <c r="AN169" i="2" s="1"/>
  <c r="W170" i="2"/>
  <c r="AN170" i="2" s="1"/>
  <c r="W171" i="2"/>
  <c r="AN171" i="2" s="1"/>
  <c r="W172" i="2"/>
  <c r="AN172" i="2" s="1"/>
  <c r="W173" i="2"/>
  <c r="AN173" i="2" s="1"/>
  <c r="W174" i="2"/>
  <c r="AN174" i="2" s="1"/>
  <c r="W175" i="2"/>
  <c r="AN175" i="2" s="1"/>
  <c r="W176" i="2"/>
  <c r="AN176" i="2" s="1"/>
  <c r="W177" i="2"/>
  <c r="AN177" i="2" s="1"/>
  <c r="W178" i="2"/>
  <c r="AN178" i="2" s="1"/>
  <c r="W179" i="2"/>
  <c r="AN179" i="2" s="1"/>
  <c r="W180" i="2"/>
  <c r="AN180" i="2" s="1"/>
  <c r="W181" i="2"/>
  <c r="AN181" i="2" s="1"/>
  <c r="W182" i="2"/>
  <c r="AN182" i="2" s="1"/>
  <c r="W183" i="2"/>
  <c r="AN183" i="2" s="1"/>
  <c r="W184" i="2"/>
  <c r="AN184" i="2" s="1"/>
  <c r="W185" i="2"/>
  <c r="AN185" i="2" s="1"/>
  <c r="W186" i="2"/>
  <c r="AN186" i="2" s="1"/>
  <c r="W187" i="2"/>
  <c r="AN187" i="2" s="1"/>
  <c r="W188" i="2"/>
  <c r="AN188" i="2" s="1"/>
  <c r="W189" i="2"/>
  <c r="AN189" i="2" s="1"/>
  <c r="W190" i="2"/>
  <c r="AN190" i="2" s="1"/>
  <c r="W191" i="2"/>
  <c r="AN191" i="2" s="1"/>
  <c r="W192" i="2"/>
  <c r="AN192" i="2" s="1"/>
  <c r="W193" i="2"/>
  <c r="AN193" i="2" s="1"/>
  <c r="W194" i="2"/>
  <c r="AN194" i="2" s="1"/>
  <c r="W195" i="2"/>
  <c r="AN195" i="2" s="1"/>
  <c r="W196" i="2"/>
  <c r="AN196" i="2" s="1"/>
  <c r="W197" i="2"/>
  <c r="AN197" i="2" s="1"/>
  <c r="W198" i="2"/>
  <c r="AN198" i="2" s="1"/>
  <c r="W199" i="2"/>
  <c r="AN199" i="2" s="1"/>
  <c r="W200" i="2"/>
  <c r="AN200" i="2" s="1"/>
  <c r="W201" i="2"/>
  <c r="AN201" i="2" s="1"/>
  <c r="W202" i="2"/>
  <c r="AN202" i="2" s="1"/>
  <c r="W203" i="2"/>
  <c r="AN203" i="2" s="1"/>
  <c r="W204" i="2"/>
  <c r="AN204" i="2" s="1"/>
  <c r="W205" i="2"/>
  <c r="AN205" i="2" s="1"/>
  <c r="W206" i="2"/>
  <c r="AN206" i="2" s="1"/>
  <c r="W207" i="2"/>
  <c r="AN207" i="2" s="1"/>
  <c r="W208" i="2"/>
  <c r="AN208" i="2" s="1"/>
  <c r="W209" i="2"/>
  <c r="AN209" i="2" s="1"/>
  <c r="W210" i="2"/>
  <c r="AN210" i="2" s="1"/>
  <c r="W211" i="2"/>
  <c r="AN211" i="2" s="1"/>
  <c r="W212" i="2"/>
  <c r="AN212" i="2" s="1"/>
  <c r="W213" i="2"/>
  <c r="AN213" i="2" s="1"/>
  <c r="W214" i="2"/>
  <c r="AN214" i="2" s="1"/>
  <c r="W215" i="2"/>
  <c r="AN215" i="2" s="1"/>
  <c r="W216" i="2"/>
  <c r="AN216" i="2" s="1"/>
  <c r="W217" i="2"/>
  <c r="AN217" i="2" s="1"/>
  <c r="W218" i="2"/>
  <c r="AN218" i="2" s="1"/>
  <c r="W219" i="2"/>
  <c r="AN219" i="2" s="1"/>
  <c r="W220" i="2"/>
  <c r="AN220" i="2" s="1"/>
  <c r="W221" i="2"/>
  <c r="AN221" i="2" s="1"/>
  <c r="W222" i="2"/>
  <c r="AN222" i="2" s="1"/>
  <c r="W223" i="2"/>
  <c r="AN223" i="2" s="1"/>
  <c r="W224" i="2"/>
  <c r="AN224" i="2" s="1"/>
  <c r="W225" i="2"/>
  <c r="AN225" i="2" s="1"/>
  <c r="W226" i="2"/>
  <c r="AN226" i="2" s="1"/>
  <c r="W227" i="2"/>
  <c r="AN227" i="2" s="1"/>
  <c r="W228" i="2"/>
  <c r="AN228" i="2" s="1"/>
  <c r="W229" i="2"/>
  <c r="AN229" i="2" s="1"/>
  <c r="W230" i="2"/>
  <c r="AN230" i="2" s="1"/>
  <c r="W231" i="2"/>
  <c r="AN231" i="2" s="1"/>
  <c r="W232" i="2"/>
  <c r="AN232" i="2" s="1"/>
  <c r="W233" i="2"/>
  <c r="AN233" i="2" s="1"/>
  <c r="W234" i="2"/>
  <c r="AN234" i="2" s="1"/>
  <c r="W235" i="2"/>
  <c r="AN235" i="2" s="1"/>
  <c r="W236" i="2"/>
  <c r="AN236" i="2" s="1"/>
  <c r="W237" i="2"/>
  <c r="AN237" i="2" s="1"/>
  <c r="W238" i="2"/>
  <c r="AN238" i="2" s="1"/>
  <c r="W239" i="2"/>
  <c r="AN239" i="2" s="1"/>
  <c r="W240" i="2"/>
  <c r="AN240" i="2" s="1"/>
  <c r="W241" i="2"/>
  <c r="AN241" i="2" s="1"/>
  <c r="W242" i="2"/>
  <c r="AN242" i="2" s="1"/>
  <c r="W243" i="2"/>
  <c r="AN243" i="2" s="1"/>
  <c r="W244" i="2"/>
  <c r="AN244" i="2" s="1"/>
  <c r="W245" i="2"/>
  <c r="AN245" i="2" s="1"/>
  <c r="W246" i="2"/>
  <c r="AN246" i="2" s="1"/>
  <c r="W247" i="2"/>
  <c r="AN247" i="2" s="1"/>
  <c r="W248" i="2"/>
  <c r="AN248" i="2" s="1"/>
  <c r="W249" i="2"/>
  <c r="AN249" i="2" s="1"/>
  <c r="W250" i="2"/>
  <c r="AN250" i="2" s="1"/>
  <c r="W251" i="2"/>
  <c r="AN251" i="2" s="1"/>
  <c r="W252" i="2"/>
  <c r="AN252" i="2" s="1"/>
  <c r="W253" i="2"/>
  <c r="AN253" i="2" s="1"/>
  <c r="W254" i="2"/>
  <c r="AN254" i="2" s="1"/>
  <c r="W255" i="2"/>
  <c r="AN255" i="2" s="1"/>
  <c r="W256" i="2"/>
  <c r="AN256" i="2" s="1"/>
  <c r="W257" i="2"/>
  <c r="AN257" i="2" s="1"/>
  <c r="W258" i="2"/>
  <c r="AN258" i="2" s="1"/>
  <c r="W259" i="2"/>
  <c r="AN259" i="2" s="1"/>
  <c r="W260" i="2"/>
  <c r="AN260" i="2" s="1"/>
  <c r="W261" i="2"/>
  <c r="AN261" i="2" s="1"/>
  <c r="W262" i="2"/>
  <c r="AN262" i="2" s="1"/>
  <c r="W263" i="2"/>
  <c r="AN263" i="2" s="1"/>
  <c r="W264" i="2"/>
  <c r="AN264" i="2" s="1"/>
  <c r="W265" i="2"/>
  <c r="AN265" i="2" s="1"/>
  <c r="W266" i="2"/>
  <c r="AN266" i="2" s="1"/>
  <c r="W267" i="2"/>
  <c r="AN267" i="2" s="1"/>
  <c r="W268" i="2"/>
  <c r="AN268" i="2" s="1"/>
  <c r="W269" i="2"/>
  <c r="AN269" i="2" s="1"/>
  <c r="W270" i="2"/>
  <c r="AN270" i="2" s="1"/>
  <c r="W271" i="2"/>
  <c r="AN271" i="2" s="1"/>
  <c r="W272" i="2"/>
  <c r="AN272" i="2" s="1"/>
  <c r="W273" i="2"/>
  <c r="AN273" i="2" s="1"/>
  <c r="W274" i="2"/>
  <c r="AN274" i="2" s="1"/>
  <c r="W275" i="2"/>
  <c r="AN275" i="2" s="1"/>
  <c r="W276" i="2"/>
  <c r="AN276" i="2" s="1"/>
  <c r="W277" i="2"/>
  <c r="AN277" i="2" s="1"/>
  <c r="W278" i="2"/>
  <c r="AN278" i="2" s="1"/>
  <c r="W279" i="2"/>
  <c r="AN279" i="2" s="1"/>
  <c r="W280" i="2"/>
  <c r="AN280" i="2" s="1"/>
  <c r="W281" i="2"/>
  <c r="AN281" i="2" s="1"/>
  <c r="W282" i="2"/>
  <c r="AN282" i="2" s="1"/>
  <c r="W283" i="2"/>
  <c r="AN283" i="2" s="1"/>
  <c r="W284" i="2"/>
  <c r="AN284" i="2" s="1"/>
  <c r="W285" i="2"/>
  <c r="AN285" i="2" s="1"/>
  <c r="W286" i="2"/>
  <c r="AN286" i="2" s="1"/>
  <c r="W287" i="2"/>
  <c r="AN287" i="2" s="1"/>
  <c r="W288" i="2"/>
  <c r="AN288" i="2" s="1"/>
  <c r="W289" i="2"/>
  <c r="AN289" i="2" s="1"/>
  <c r="W290" i="2"/>
  <c r="AN290" i="2" s="1"/>
  <c r="W291" i="2"/>
  <c r="AN291" i="2" s="1"/>
  <c r="W292" i="2"/>
  <c r="AN292" i="2" s="1"/>
  <c r="W293" i="2"/>
  <c r="AN293" i="2" s="1"/>
  <c r="W294" i="2"/>
  <c r="AN294" i="2" s="1"/>
  <c r="W295" i="2"/>
  <c r="AN295" i="2" s="1"/>
  <c r="W296" i="2"/>
  <c r="AN296" i="2" s="1"/>
  <c r="W297" i="2"/>
  <c r="AN297" i="2" s="1"/>
  <c r="W298" i="2"/>
  <c r="AN298" i="2" s="1"/>
  <c r="W299" i="2"/>
  <c r="AN299" i="2" s="1"/>
  <c r="W300" i="2"/>
  <c r="AN300" i="2" s="1"/>
  <c r="W301" i="2"/>
  <c r="AN301" i="2" s="1"/>
  <c r="W302" i="2"/>
  <c r="AN302" i="2" s="1"/>
  <c r="W303" i="2"/>
  <c r="AN303" i="2" s="1"/>
  <c r="W304" i="2"/>
  <c r="AN304" i="2" s="1"/>
  <c r="W305" i="2"/>
  <c r="AN305" i="2" s="1"/>
  <c r="W306" i="2"/>
  <c r="AN306" i="2" s="1"/>
  <c r="W307" i="2"/>
  <c r="AN307" i="2" s="1"/>
  <c r="W308" i="2"/>
  <c r="AN308" i="2" s="1"/>
  <c r="W309" i="2"/>
  <c r="AN309" i="2" s="1"/>
  <c r="W310" i="2"/>
  <c r="AN310" i="2" s="1"/>
  <c r="W311" i="2"/>
  <c r="AN311" i="2" s="1"/>
  <c r="W312" i="2"/>
  <c r="AN312" i="2" s="1"/>
  <c r="W313" i="2"/>
  <c r="AN313" i="2" s="1"/>
  <c r="W314" i="2"/>
  <c r="AN314" i="2" s="1"/>
  <c r="W315" i="2"/>
  <c r="AN315" i="2" s="1"/>
  <c r="W316" i="2"/>
  <c r="AN316" i="2" s="1"/>
  <c r="W317" i="2"/>
  <c r="AN317" i="2" s="1"/>
  <c r="W318" i="2"/>
  <c r="AN318" i="2" s="1"/>
  <c r="W319" i="2"/>
  <c r="AN319" i="2" s="1"/>
  <c r="W320" i="2"/>
  <c r="AN320" i="2" s="1"/>
  <c r="W321" i="2"/>
  <c r="AN321" i="2" s="1"/>
  <c r="W322" i="2"/>
  <c r="AN322" i="2" s="1"/>
  <c r="W323" i="2"/>
  <c r="AN323" i="2" s="1"/>
  <c r="W324" i="2"/>
  <c r="AN324" i="2" s="1"/>
  <c r="W325" i="2"/>
  <c r="AN325" i="2" s="1"/>
  <c r="W326" i="2"/>
  <c r="AN326" i="2" s="1"/>
  <c r="W327" i="2"/>
  <c r="AN327" i="2" s="1"/>
  <c r="W328" i="2"/>
  <c r="AN328" i="2" s="1"/>
  <c r="W329" i="2"/>
  <c r="AN329" i="2" s="1"/>
  <c r="W330" i="2"/>
  <c r="AN330" i="2" s="1"/>
  <c r="W331" i="2"/>
  <c r="AN331" i="2" s="1"/>
  <c r="W332" i="2"/>
  <c r="AN332" i="2" s="1"/>
  <c r="W333" i="2"/>
  <c r="AN333" i="2" s="1"/>
  <c r="W334" i="2"/>
  <c r="AN334" i="2" s="1"/>
  <c r="W335" i="2"/>
  <c r="AN335" i="2" s="1"/>
  <c r="W336" i="2"/>
  <c r="AN336" i="2" s="1"/>
  <c r="W337" i="2"/>
  <c r="AN337" i="2" s="1"/>
  <c r="W338" i="2"/>
  <c r="AN338" i="2" s="1"/>
  <c r="W339" i="2"/>
  <c r="AN339" i="2" s="1"/>
  <c r="W340" i="2"/>
  <c r="AN340" i="2" s="1"/>
  <c r="W341" i="2"/>
  <c r="AN341" i="2" s="1"/>
  <c r="W3" i="1"/>
  <c r="AN3" i="1" s="1"/>
  <c r="W4" i="1"/>
  <c r="AN4" i="1" s="1"/>
  <c r="W5" i="1"/>
  <c r="AN5" i="1" s="1"/>
  <c r="W6" i="1"/>
  <c r="AN6" i="1" s="1"/>
  <c r="W7" i="1"/>
  <c r="AN7" i="1" s="1"/>
  <c r="W8" i="1"/>
  <c r="AN8" i="1" s="1"/>
  <c r="W9" i="1"/>
  <c r="AN9" i="1" s="1"/>
  <c r="W10" i="1"/>
  <c r="AN10" i="1" s="1"/>
  <c r="W11" i="1"/>
  <c r="AN11" i="1" s="1"/>
  <c r="W12" i="1"/>
  <c r="AN12" i="1" s="1"/>
  <c r="W13" i="1"/>
  <c r="AN13" i="1" s="1"/>
  <c r="W14" i="1"/>
  <c r="AN14" i="1" s="1"/>
  <c r="W15" i="1"/>
  <c r="AN15" i="1" s="1"/>
  <c r="W16" i="1"/>
  <c r="AN16" i="1" s="1"/>
  <c r="W17" i="1"/>
  <c r="AN17" i="1" s="1"/>
  <c r="W18" i="1"/>
  <c r="AN18" i="1" s="1"/>
  <c r="W19" i="1"/>
  <c r="AN19" i="1" s="1"/>
  <c r="W20" i="1"/>
  <c r="AN20" i="1" s="1"/>
  <c r="W21" i="1"/>
  <c r="AN21" i="1" s="1"/>
  <c r="W22" i="1"/>
  <c r="AN22" i="1" s="1"/>
  <c r="W23" i="1"/>
  <c r="AN23" i="1" s="1"/>
  <c r="W24" i="1"/>
  <c r="AN24" i="1" s="1"/>
  <c r="W25" i="1"/>
  <c r="AN25" i="1" s="1"/>
  <c r="W26" i="1"/>
  <c r="AN26" i="1" s="1"/>
  <c r="W27" i="1"/>
  <c r="AN27" i="1" s="1"/>
  <c r="W28" i="1"/>
  <c r="AN28" i="1" s="1"/>
  <c r="W29" i="1"/>
  <c r="AN29" i="1" s="1"/>
  <c r="W30" i="1"/>
  <c r="AN30" i="1" s="1"/>
  <c r="W31" i="1"/>
  <c r="AN31" i="1" s="1"/>
  <c r="W32" i="1"/>
  <c r="AN32" i="1" s="1"/>
  <c r="W33" i="1"/>
  <c r="AN33" i="1" s="1"/>
  <c r="W34" i="1"/>
  <c r="AN34" i="1" s="1"/>
  <c r="W35" i="1"/>
  <c r="AN35" i="1" s="1"/>
  <c r="W36" i="1"/>
  <c r="AN36" i="1" s="1"/>
  <c r="W37" i="1"/>
  <c r="AN37" i="1" s="1"/>
  <c r="W38" i="1"/>
  <c r="AN38" i="1" s="1"/>
  <c r="W39" i="1"/>
  <c r="AN39" i="1" s="1"/>
  <c r="W40" i="1"/>
  <c r="AN40" i="1" s="1"/>
  <c r="W41" i="1"/>
  <c r="AN41" i="1" s="1"/>
  <c r="W42" i="1"/>
  <c r="AN42" i="1" s="1"/>
  <c r="W43" i="1"/>
  <c r="AN43" i="1" s="1"/>
  <c r="W44" i="1"/>
  <c r="AN44" i="1" s="1"/>
  <c r="W45" i="1"/>
  <c r="AN45" i="1" s="1"/>
  <c r="W46" i="1"/>
  <c r="AN46" i="1" s="1"/>
  <c r="W47" i="1"/>
  <c r="AN47" i="1" s="1"/>
  <c r="W48" i="1"/>
  <c r="AN48" i="1" s="1"/>
  <c r="W49" i="1"/>
  <c r="AN49" i="1" s="1"/>
  <c r="W50" i="1"/>
  <c r="AN50" i="1" s="1"/>
  <c r="W51" i="1"/>
  <c r="AN51" i="1" s="1"/>
  <c r="W52" i="1"/>
  <c r="AN52" i="1" s="1"/>
  <c r="W53" i="1"/>
  <c r="AN53" i="1" s="1"/>
  <c r="W54" i="1"/>
  <c r="AN54" i="1" s="1"/>
  <c r="W55" i="1"/>
  <c r="AN55" i="1" s="1"/>
  <c r="W56" i="1"/>
  <c r="AN56" i="1" s="1"/>
  <c r="W57" i="1"/>
  <c r="AN57" i="1" s="1"/>
  <c r="W58" i="1"/>
  <c r="AN58" i="1" s="1"/>
  <c r="W59" i="1"/>
  <c r="AN59" i="1" s="1"/>
  <c r="W60" i="1"/>
  <c r="AN60" i="1" s="1"/>
  <c r="W61" i="1"/>
  <c r="AN61" i="1" s="1"/>
  <c r="W62" i="1"/>
  <c r="AN62" i="1" s="1"/>
  <c r="W63" i="1"/>
  <c r="AN63" i="1" s="1"/>
  <c r="W64" i="1"/>
  <c r="AN64" i="1" s="1"/>
  <c r="W65" i="1"/>
  <c r="AN65" i="1" s="1"/>
  <c r="W66" i="1"/>
  <c r="AN66" i="1" s="1"/>
  <c r="W67" i="1"/>
  <c r="AN67" i="1" s="1"/>
  <c r="W68" i="1"/>
  <c r="AN68" i="1" s="1"/>
  <c r="W69" i="1"/>
  <c r="AN69" i="1" s="1"/>
  <c r="W70" i="1"/>
  <c r="AN70" i="1" s="1"/>
  <c r="W71" i="1"/>
  <c r="AN71" i="1" s="1"/>
  <c r="W72" i="1"/>
  <c r="AN72" i="1" s="1"/>
  <c r="W73" i="1"/>
  <c r="AN73" i="1" s="1"/>
  <c r="W74" i="1"/>
  <c r="AN74" i="1" s="1"/>
  <c r="W75" i="1"/>
  <c r="AN75" i="1" s="1"/>
  <c r="W76" i="1"/>
  <c r="AN76" i="1" s="1"/>
  <c r="W77" i="1"/>
  <c r="AN77" i="1" s="1"/>
  <c r="W78" i="1"/>
  <c r="AN78" i="1" s="1"/>
  <c r="W79" i="1"/>
  <c r="AN79" i="1" s="1"/>
  <c r="W80" i="1"/>
  <c r="AN80" i="1" s="1"/>
  <c r="W81" i="1"/>
  <c r="AN81" i="1" s="1"/>
  <c r="W82" i="1"/>
  <c r="AN82" i="1" s="1"/>
  <c r="W83" i="1"/>
  <c r="AN83" i="1" s="1"/>
  <c r="W84" i="1"/>
  <c r="AN84" i="1" s="1"/>
  <c r="W85" i="1"/>
  <c r="AN85" i="1" s="1"/>
  <c r="W86" i="1"/>
  <c r="AN86" i="1" s="1"/>
  <c r="W87" i="1"/>
  <c r="AN87" i="1" s="1"/>
  <c r="W88" i="1"/>
  <c r="AN88" i="1" s="1"/>
  <c r="W89" i="1"/>
  <c r="AN89" i="1" s="1"/>
  <c r="W90" i="1"/>
  <c r="AN90" i="1" s="1"/>
  <c r="W91" i="1"/>
  <c r="AN91" i="1" s="1"/>
  <c r="W92" i="1"/>
  <c r="AN92" i="1" s="1"/>
  <c r="W93" i="1"/>
  <c r="AN93" i="1" s="1"/>
  <c r="W94" i="1"/>
  <c r="AN94" i="1" s="1"/>
  <c r="W95" i="1"/>
  <c r="AN95" i="1" s="1"/>
  <c r="W96" i="1"/>
  <c r="AN96" i="1" s="1"/>
  <c r="W97" i="1"/>
  <c r="AN97" i="1" s="1"/>
  <c r="W98" i="1"/>
  <c r="AN98" i="1" s="1"/>
  <c r="W99" i="1"/>
  <c r="AN99" i="1" s="1"/>
  <c r="W100" i="1"/>
  <c r="AN100" i="1" s="1"/>
  <c r="W101" i="1"/>
  <c r="AN101" i="1" s="1"/>
  <c r="W102" i="1"/>
  <c r="AN102" i="1" s="1"/>
  <c r="W103" i="1"/>
  <c r="AN103" i="1" s="1"/>
  <c r="W104" i="1"/>
  <c r="AN104" i="1" s="1"/>
  <c r="W105" i="1"/>
  <c r="AN105" i="1" s="1"/>
  <c r="W106" i="1"/>
  <c r="AN106" i="1" s="1"/>
  <c r="W107" i="1"/>
  <c r="AN107" i="1" s="1"/>
  <c r="W108" i="1"/>
  <c r="AN108" i="1" s="1"/>
  <c r="W109" i="1"/>
  <c r="AN109" i="1" s="1"/>
  <c r="W110" i="1"/>
  <c r="AN110" i="1" s="1"/>
  <c r="W111" i="1"/>
  <c r="AN111" i="1" s="1"/>
  <c r="W112" i="1"/>
  <c r="AN112" i="1" s="1"/>
  <c r="W113" i="1"/>
  <c r="AN113" i="1" s="1"/>
  <c r="W114" i="1"/>
  <c r="AN114" i="1" s="1"/>
  <c r="W115" i="1"/>
  <c r="AN115" i="1" s="1"/>
  <c r="W116" i="1"/>
  <c r="AN116" i="1" s="1"/>
  <c r="W117" i="1"/>
  <c r="AN117" i="1" s="1"/>
  <c r="W118" i="1"/>
  <c r="AN118" i="1" s="1"/>
  <c r="W119" i="1"/>
  <c r="AN119" i="1" s="1"/>
  <c r="W120" i="1"/>
  <c r="AN120" i="1" s="1"/>
  <c r="W121" i="1"/>
  <c r="AN121" i="1" s="1"/>
  <c r="W122" i="1"/>
  <c r="AN122" i="1" s="1"/>
  <c r="W123" i="1"/>
  <c r="AN123" i="1" s="1"/>
  <c r="W124" i="1"/>
  <c r="AN124" i="1" s="1"/>
  <c r="W125" i="1"/>
  <c r="AN125" i="1" s="1"/>
  <c r="W126" i="1"/>
  <c r="AN126" i="1" s="1"/>
  <c r="W127" i="1"/>
  <c r="AN127" i="1" s="1"/>
  <c r="W128" i="1"/>
  <c r="AN128" i="1" s="1"/>
  <c r="W129" i="1"/>
  <c r="AN129" i="1" s="1"/>
  <c r="W130" i="1"/>
  <c r="AN130" i="1" s="1"/>
  <c r="W131" i="1"/>
  <c r="AN131" i="1" s="1"/>
  <c r="W132" i="1"/>
  <c r="AN132" i="1" s="1"/>
  <c r="W133" i="1"/>
  <c r="AN133" i="1" s="1"/>
  <c r="W134" i="1"/>
  <c r="AN134" i="1" s="1"/>
  <c r="W135" i="1"/>
  <c r="AN135" i="1" s="1"/>
  <c r="W136" i="1"/>
  <c r="AN136" i="1" s="1"/>
  <c r="W137" i="1"/>
  <c r="AN137" i="1" s="1"/>
  <c r="W138" i="1"/>
  <c r="AN138" i="1" s="1"/>
  <c r="W139" i="1"/>
  <c r="AN139" i="1" s="1"/>
  <c r="W140" i="1"/>
  <c r="AN140" i="1" s="1"/>
  <c r="W141" i="1"/>
  <c r="AN141" i="1" s="1"/>
  <c r="W142" i="1"/>
  <c r="AN142" i="1" s="1"/>
  <c r="W143" i="1"/>
  <c r="AN143" i="1" s="1"/>
  <c r="W144" i="1"/>
  <c r="AN144" i="1" s="1"/>
  <c r="W145" i="1"/>
  <c r="AN145" i="1" s="1"/>
  <c r="W146" i="1"/>
  <c r="AN146" i="1" s="1"/>
  <c r="W147" i="1"/>
  <c r="AN147" i="1" s="1"/>
  <c r="W148" i="1"/>
  <c r="AN148" i="1" s="1"/>
  <c r="W149" i="1"/>
  <c r="AN149" i="1" s="1"/>
  <c r="W150" i="1"/>
  <c r="AN150" i="1" s="1"/>
  <c r="W151" i="1"/>
  <c r="AN151" i="1" s="1"/>
  <c r="W152" i="1"/>
  <c r="AN152" i="1" s="1"/>
  <c r="W153" i="1"/>
  <c r="AN153" i="1" s="1"/>
  <c r="W154" i="1"/>
  <c r="AN154" i="1" s="1"/>
  <c r="W155" i="1"/>
  <c r="AN155" i="1" s="1"/>
  <c r="W156" i="1"/>
  <c r="AN156" i="1" s="1"/>
  <c r="W157" i="1"/>
  <c r="AN157" i="1" s="1"/>
  <c r="W158" i="1"/>
  <c r="AN158" i="1" s="1"/>
  <c r="W159" i="1"/>
  <c r="AN159" i="1" s="1"/>
  <c r="W160" i="1"/>
  <c r="AN160" i="1" s="1"/>
  <c r="W161" i="1"/>
  <c r="AN161" i="1" s="1"/>
  <c r="W162" i="1"/>
  <c r="AN162" i="1" s="1"/>
  <c r="W163" i="1"/>
  <c r="AN163" i="1" s="1"/>
  <c r="W164" i="1"/>
  <c r="AN164" i="1" s="1"/>
  <c r="W165" i="1"/>
  <c r="AN165" i="1" s="1"/>
  <c r="W166" i="1"/>
  <c r="AN166" i="1" s="1"/>
  <c r="W167" i="1"/>
  <c r="AN167" i="1" s="1"/>
  <c r="W168" i="1"/>
  <c r="AN168" i="1" s="1"/>
  <c r="W169" i="1"/>
  <c r="AN169" i="1" s="1"/>
  <c r="W170" i="1"/>
  <c r="AN170" i="1" s="1"/>
  <c r="W171" i="1"/>
  <c r="AN171" i="1" s="1"/>
  <c r="W172" i="1"/>
  <c r="AN172" i="1" s="1"/>
  <c r="W173" i="1"/>
  <c r="AN173" i="1" s="1"/>
  <c r="W174" i="1"/>
  <c r="AN174" i="1" s="1"/>
  <c r="W175" i="1"/>
  <c r="AN175" i="1" s="1"/>
  <c r="W176" i="1"/>
  <c r="AN176" i="1" s="1"/>
  <c r="W177" i="1"/>
  <c r="AN177" i="1" s="1"/>
  <c r="W178" i="1"/>
  <c r="AN178" i="1" s="1"/>
  <c r="W179" i="1"/>
  <c r="AN179" i="1" s="1"/>
  <c r="W180" i="1"/>
  <c r="AN180" i="1" s="1"/>
  <c r="W181" i="1"/>
  <c r="AN181" i="1" s="1"/>
  <c r="W182" i="1"/>
  <c r="AN182" i="1" s="1"/>
  <c r="W183" i="1"/>
  <c r="AN183" i="1" s="1"/>
  <c r="W184" i="1"/>
  <c r="AN184" i="1" s="1"/>
  <c r="W185" i="1"/>
  <c r="AN185" i="1" s="1"/>
  <c r="W186" i="1"/>
  <c r="AN186" i="1" s="1"/>
  <c r="W187" i="1"/>
  <c r="AN187" i="1" s="1"/>
  <c r="W188" i="1"/>
  <c r="AN188" i="1" s="1"/>
  <c r="W189" i="1"/>
  <c r="AN189" i="1" s="1"/>
  <c r="W190" i="1"/>
  <c r="AN190" i="1" s="1"/>
  <c r="W191" i="1"/>
  <c r="AN191" i="1" s="1"/>
  <c r="W192" i="1"/>
  <c r="AN192" i="1" s="1"/>
  <c r="W193" i="1"/>
  <c r="AN193" i="1" s="1"/>
  <c r="W194" i="1"/>
  <c r="AN194" i="1" s="1"/>
  <c r="W195" i="1"/>
  <c r="AN195" i="1" s="1"/>
  <c r="W196" i="1"/>
  <c r="AN196" i="1" s="1"/>
  <c r="W197" i="1"/>
  <c r="AN197" i="1" s="1"/>
  <c r="W198" i="1"/>
  <c r="AN198" i="1" s="1"/>
  <c r="W199" i="1"/>
  <c r="AN199" i="1" s="1"/>
  <c r="W200" i="1"/>
  <c r="AN200" i="1" s="1"/>
  <c r="W201" i="1"/>
  <c r="AN201" i="1" s="1"/>
  <c r="W202" i="1"/>
  <c r="AN202" i="1" s="1"/>
  <c r="W203" i="1"/>
  <c r="AN203" i="1" s="1"/>
  <c r="W204" i="1"/>
  <c r="AN204" i="1" s="1"/>
  <c r="W205" i="1"/>
  <c r="AN205" i="1" s="1"/>
  <c r="W206" i="1"/>
  <c r="AN206" i="1" s="1"/>
  <c r="W207" i="1"/>
  <c r="AN207" i="1" s="1"/>
  <c r="W208" i="1"/>
  <c r="AN208" i="1" s="1"/>
  <c r="W209" i="1"/>
  <c r="AN209" i="1" s="1"/>
  <c r="W210" i="1"/>
  <c r="AN210" i="1" s="1"/>
  <c r="W211" i="1"/>
  <c r="AN211" i="1" s="1"/>
  <c r="W212" i="1"/>
  <c r="AN212" i="1" s="1"/>
  <c r="W213" i="1"/>
  <c r="AN213" i="1" s="1"/>
  <c r="W214" i="1"/>
  <c r="AN214" i="1" s="1"/>
  <c r="W215" i="1"/>
  <c r="AN215" i="1" s="1"/>
  <c r="W216" i="1"/>
  <c r="AN216" i="1" s="1"/>
  <c r="W217" i="1"/>
  <c r="AN217" i="1" s="1"/>
  <c r="W218" i="1"/>
  <c r="AN218" i="1" s="1"/>
  <c r="W219" i="1"/>
  <c r="AN219" i="1" s="1"/>
  <c r="W220" i="1"/>
  <c r="AN220" i="1" s="1"/>
  <c r="W221" i="1"/>
  <c r="AN221" i="1" s="1"/>
  <c r="W222" i="1"/>
  <c r="AN222" i="1" s="1"/>
  <c r="W223" i="1"/>
  <c r="AN223" i="1" s="1"/>
  <c r="W224" i="1"/>
  <c r="AN224" i="1" s="1"/>
  <c r="W225" i="1"/>
  <c r="AN225" i="1" s="1"/>
  <c r="W226" i="1"/>
  <c r="AN226" i="1" s="1"/>
  <c r="W227" i="1"/>
  <c r="AN227" i="1" s="1"/>
  <c r="W228" i="1"/>
  <c r="AN228" i="1" s="1"/>
  <c r="W229" i="1"/>
  <c r="AN229" i="1" s="1"/>
  <c r="W230" i="1"/>
  <c r="AN230" i="1" s="1"/>
  <c r="W231" i="1"/>
  <c r="AN231" i="1" s="1"/>
  <c r="W232" i="1"/>
  <c r="AN232" i="1" s="1"/>
  <c r="W233" i="1"/>
  <c r="AN233" i="1" s="1"/>
  <c r="W234" i="1"/>
  <c r="AN234" i="1" s="1"/>
  <c r="W235" i="1"/>
  <c r="AN235" i="1" s="1"/>
  <c r="W236" i="1"/>
  <c r="AN236" i="1" s="1"/>
  <c r="W237" i="1"/>
  <c r="AN237" i="1" s="1"/>
  <c r="W238" i="1"/>
  <c r="AN238" i="1" s="1"/>
  <c r="W239" i="1"/>
  <c r="AN239" i="1" s="1"/>
  <c r="W240" i="1"/>
  <c r="AN240" i="1" s="1"/>
  <c r="W241" i="1"/>
  <c r="AN241" i="1" s="1"/>
  <c r="W242" i="1"/>
  <c r="AN242" i="1" s="1"/>
  <c r="W243" i="1"/>
  <c r="AN243" i="1" s="1"/>
  <c r="W244" i="1"/>
  <c r="AN244" i="1" s="1"/>
  <c r="W245" i="1"/>
  <c r="AN245" i="1" s="1"/>
  <c r="W246" i="1"/>
  <c r="AN246" i="1" s="1"/>
  <c r="W247" i="1"/>
  <c r="AN247" i="1" s="1"/>
  <c r="W248" i="1"/>
  <c r="AN248" i="1" s="1"/>
  <c r="W249" i="1"/>
  <c r="AN249" i="1" s="1"/>
  <c r="W250" i="1"/>
  <c r="AN250" i="1" s="1"/>
  <c r="W251" i="1"/>
  <c r="AN251" i="1" s="1"/>
  <c r="W252" i="1"/>
  <c r="AN252" i="1" s="1"/>
  <c r="W253" i="1"/>
  <c r="AN253" i="1" s="1"/>
  <c r="W254" i="1"/>
  <c r="AN254" i="1" s="1"/>
  <c r="W255" i="1"/>
  <c r="AN255" i="1" s="1"/>
  <c r="W256" i="1"/>
  <c r="AN256" i="1" s="1"/>
  <c r="W257" i="1"/>
  <c r="AN257" i="1" s="1"/>
  <c r="W258" i="1"/>
  <c r="AN258" i="1" s="1"/>
  <c r="W259" i="1"/>
  <c r="AN259" i="1" s="1"/>
  <c r="W260" i="1"/>
  <c r="AN260" i="1" s="1"/>
  <c r="W261" i="1"/>
  <c r="AN261" i="1" s="1"/>
  <c r="W262" i="1"/>
  <c r="AN262" i="1" s="1"/>
  <c r="W263" i="1"/>
  <c r="AN263" i="1" s="1"/>
  <c r="W264" i="1"/>
  <c r="AN264" i="1" s="1"/>
  <c r="W265" i="1"/>
  <c r="AN265" i="1" s="1"/>
  <c r="W266" i="1"/>
  <c r="AN266" i="1" s="1"/>
  <c r="W267" i="1"/>
  <c r="AN267" i="1" s="1"/>
  <c r="W268" i="1"/>
  <c r="AN268" i="1" s="1"/>
  <c r="W269" i="1"/>
  <c r="AN269" i="1" s="1"/>
  <c r="W270" i="1"/>
  <c r="AN270" i="1" s="1"/>
  <c r="W271" i="1"/>
  <c r="AN271" i="1" s="1"/>
  <c r="W272" i="1"/>
  <c r="AN272" i="1" s="1"/>
  <c r="W273" i="1"/>
  <c r="AN273" i="1" s="1"/>
  <c r="W274" i="1"/>
  <c r="AN274" i="1" s="1"/>
  <c r="W275" i="1"/>
  <c r="AN275" i="1" s="1"/>
  <c r="W276" i="1"/>
  <c r="AN276" i="1" s="1"/>
  <c r="W277" i="1"/>
  <c r="AN277" i="1" s="1"/>
  <c r="W278" i="1"/>
  <c r="AN278" i="1" s="1"/>
  <c r="W279" i="1"/>
  <c r="AN279" i="1" s="1"/>
  <c r="W280" i="1"/>
  <c r="AN280" i="1" s="1"/>
  <c r="W281" i="1"/>
  <c r="AN281" i="1" s="1"/>
  <c r="W282" i="1"/>
  <c r="AN282" i="1" s="1"/>
  <c r="W283" i="1"/>
  <c r="AN283" i="1" s="1"/>
  <c r="AO2" i="1" l="1"/>
  <c r="AI224" i="3"/>
  <c r="X292" i="8"/>
  <c r="AF291" i="8"/>
  <c r="X10" i="8"/>
  <c r="AF9" i="8"/>
  <c r="X632" i="8"/>
  <c r="AF631" i="8"/>
  <c r="K224" i="3"/>
  <c r="AA224" i="3" s="1"/>
  <c r="AB224" i="3" s="1"/>
  <c r="AO152" i="1"/>
  <c r="E5" i="7"/>
  <c r="AO4" i="4"/>
  <c r="AO3" i="1"/>
  <c r="X242" i="2"/>
  <c r="Z411" i="8"/>
  <c r="Z507" i="8"/>
  <c r="Z524" i="8"/>
  <c r="Z290" i="8"/>
  <c r="Z601" i="8"/>
  <c r="Z523" i="8"/>
  <c r="Z559" i="8"/>
  <c r="Z599" i="8"/>
  <c r="X121" i="1"/>
  <c r="Z13" i="8"/>
  <c r="Z82" i="8"/>
  <c r="Z142" i="8"/>
  <c r="Z121" i="8"/>
  <c r="X214" i="2"/>
  <c r="Z471" i="8"/>
  <c r="Z300" i="8"/>
  <c r="Z388" i="8"/>
  <c r="Z496" i="8"/>
  <c r="Z494" i="8"/>
  <c r="Z622" i="8"/>
  <c r="Z573" i="8"/>
  <c r="Z591" i="8"/>
  <c r="Z619" i="8"/>
  <c r="Z299" i="8"/>
  <c r="Z389" i="8"/>
  <c r="X37" i="1"/>
  <c r="Z91" i="8"/>
  <c r="Z215" i="8"/>
  <c r="Z227" i="8"/>
  <c r="Z231" i="8"/>
  <c r="Z247" i="8"/>
  <c r="Z251" i="8"/>
  <c r="Z255" i="8"/>
  <c r="Z36" i="8"/>
  <c r="Z92" i="8"/>
  <c r="Z200" i="8"/>
  <c r="Z216" i="8"/>
  <c r="Z228" i="8"/>
  <c r="Z232" i="8"/>
  <c r="Z240" i="8"/>
  <c r="Z248" i="8"/>
  <c r="Z252" i="8"/>
  <c r="Z256" i="8"/>
  <c r="Z10" i="8"/>
  <c r="Z74" i="8"/>
  <c r="Z90" i="8"/>
  <c r="Z230" i="8"/>
  <c r="Z254" i="8"/>
  <c r="Z37" i="8"/>
  <c r="Z249" i="8"/>
  <c r="Z229" i="8"/>
  <c r="Z253" i="8"/>
  <c r="Z93" i="8"/>
  <c r="Z241" i="8"/>
  <c r="X98" i="3"/>
  <c r="Z624" i="8"/>
  <c r="Z638" i="8"/>
  <c r="Z690" i="8"/>
  <c r="Z705" i="8"/>
  <c r="Z752" i="8"/>
  <c r="Z808" i="8"/>
  <c r="Z704" i="8"/>
  <c r="Z753" i="8"/>
  <c r="Z757" i="8"/>
  <c r="Z761" i="8"/>
  <c r="Z821" i="8"/>
  <c r="Z720" i="8"/>
  <c r="Z762" i="8"/>
  <c r="Z717" i="8"/>
  <c r="X274" i="2"/>
  <c r="Z423" i="8"/>
  <c r="Z519" i="8"/>
  <c r="Z380" i="8"/>
  <c r="Z556" i="8"/>
  <c r="Z337" i="8"/>
  <c r="X186" i="2"/>
  <c r="Z351" i="8"/>
  <c r="Z399" i="8"/>
  <c r="Z400" i="8"/>
  <c r="Z468" i="8"/>
  <c r="Z492" i="8"/>
  <c r="Z604" i="8"/>
  <c r="Z406" i="8"/>
  <c r="Z433" i="8"/>
  <c r="AG224" i="3"/>
  <c r="AN224" i="3"/>
  <c r="AO224" i="3" s="1"/>
  <c r="AO4" i="1"/>
  <c r="AO4" i="2"/>
  <c r="AO340" i="2"/>
  <c r="AO328" i="2"/>
  <c r="AO312" i="2"/>
  <c r="AO300" i="2"/>
  <c r="AO288" i="2"/>
  <c r="AO276" i="2"/>
  <c r="AO264" i="2"/>
  <c r="AO248" i="2"/>
  <c r="AO236" i="2"/>
  <c r="AO228" i="2"/>
  <c r="AO224" i="2"/>
  <c r="AO212" i="2"/>
  <c r="AO208" i="2"/>
  <c r="AO204" i="2"/>
  <c r="AO200" i="2"/>
  <c r="AO196" i="2"/>
  <c r="AO192" i="2"/>
  <c r="AO188" i="2"/>
  <c r="AO184" i="2"/>
  <c r="AO180" i="2"/>
  <c r="AO176" i="2"/>
  <c r="AO172" i="2"/>
  <c r="AO168" i="2"/>
  <c r="AO164" i="2"/>
  <c r="AO160" i="2"/>
  <c r="AO156" i="2"/>
  <c r="AO152" i="2"/>
  <c r="AO148" i="2"/>
  <c r="AO144" i="2"/>
  <c r="AO140" i="2"/>
  <c r="AO136" i="2"/>
  <c r="AO132" i="2"/>
  <c r="AO128" i="2"/>
  <c r="AO124" i="2"/>
  <c r="AO120" i="2"/>
  <c r="AO116" i="2"/>
  <c r="AO112" i="2"/>
  <c r="AO108" i="2"/>
  <c r="AO104" i="2"/>
  <c r="AO100" i="2"/>
  <c r="AO96" i="2"/>
  <c r="AO80" i="2"/>
  <c r="AO76" i="2"/>
  <c r="AO72" i="2"/>
  <c r="AO68" i="2"/>
  <c r="AO64" i="2"/>
  <c r="AO60" i="2"/>
  <c r="AO56" i="2"/>
  <c r="AO52" i="2"/>
  <c r="AO48" i="2"/>
  <c r="AO44" i="2"/>
  <c r="AO40" i="2"/>
  <c r="AO36" i="2"/>
  <c r="AO32" i="2"/>
  <c r="AO28" i="2"/>
  <c r="AO24" i="2"/>
  <c r="AO20" i="2"/>
  <c r="AO16" i="2"/>
  <c r="AO12" i="2"/>
  <c r="AO8" i="2"/>
  <c r="AO332" i="2"/>
  <c r="AO320" i="2"/>
  <c r="AO308" i="2"/>
  <c r="AO296" i="2"/>
  <c r="AO284" i="2"/>
  <c r="AO272" i="2"/>
  <c r="AO260" i="2"/>
  <c r="AO252" i="2"/>
  <c r="AO240" i="2"/>
  <c r="AO216" i="2"/>
  <c r="AO336" i="2"/>
  <c r="AO324" i="2"/>
  <c r="AO316" i="2"/>
  <c r="AO304" i="2"/>
  <c r="AO292" i="2"/>
  <c r="AO280" i="2"/>
  <c r="AO268" i="2"/>
  <c r="AO256" i="2"/>
  <c r="AO244" i="2"/>
  <c r="AO232" i="2"/>
  <c r="AO220" i="2"/>
  <c r="AO12" i="4"/>
  <c r="AO16" i="4"/>
  <c r="AO8" i="4"/>
  <c r="AO81" i="4"/>
  <c r="AO77" i="4"/>
  <c r="AO73" i="4"/>
  <c r="AO69" i="4"/>
  <c r="AO65" i="4"/>
  <c r="AO61" i="4"/>
  <c r="AO57" i="4"/>
  <c r="AO53" i="4"/>
  <c r="AO49" i="4"/>
  <c r="AO45" i="4"/>
  <c r="AO41" i="4"/>
  <c r="AO37" i="4"/>
  <c r="AO33" i="4"/>
  <c r="AO29" i="4"/>
  <c r="AO25" i="4"/>
  <c r="AO21" i="4"/>
  <c r="AO15" i="4"/>
  <c r="AO11" i="4"/>
  <c r="AO7" i="4"/>
  <c r="AO3" i="4"/>
  <c r="AO80" i="4"/>
  <c r="E4" i="7" s="1"/>
  <c r="AO76" i="4"/>
  <c r="AO72" i="4"/>
  <c r="AO68" i="4"/>
  <c r="AO64" i="4"/>
  <c r="AO60" i="4"/>
  <c r="AO56" i="4"/>
  <c r="AO52" i="4"/>
  <c r="AO48" i="4"/>
  <c r="AO44" i="4"/>
  <c r="AO40" i="4"/>
  <c r="AO36" i="4"/>
  <c r="AO32" i="4"/>
  <c r="AO28" i="4"/>
  <c r="AO24" i="4"/>
  <c r="AO20" i="4"/>
  <c r="AO18" i="4"/>
  <c r="AO14" i="4"/>
  <c r="AO10" i="4"/>
  <c r="AO6" i="4"/>
  <c r="AO83" i="4"/>
  <c r="AO79" i="4"/>
  <c r="AO75" i="4"/>
  <c r="AO71" i="4"/>
  <c r="AO67" i="4"/>
  <c r="AO63" i="4"/>
  <c r="AO59" i="4"/>
  <c r="AO55" i="4"/>
  <c r="AO51" i="4"/>
  <c r="AO47" i="4"/>
  <c r="AO43" i="4"/>
  <c r="AO39" i="4"/>
  <c r="AO35" i="4"/>
  <c r="AO31" i="4"/>
  <c r="AO27" i="4"/>
  <c r="AO23" i="4"/>
  <c r="AO19" i="4"/>
  <c r="AO17" i="4"/>
  <c r="AO13" i="4"/>
  <c r="AO9" i="4"/>
  <c r="AO5" i="4"/>
  <c r="AO82" i="4"/>
  <c r="AO78" i="4"/>
  <c r="AO74" i="4"/>
  <c r="AO70" i="4"/>
  <c r="AO66" i="4"/>
  <c r="AO62" i="4"/>
  <c r="AO58" i="4"/>
  <c r="AO54" i="4"/>
  <c r="AO50" i="4"/>
  <c r="AO46" i="4"/>
  <c r="AO42" i="4"/>
  <c r="AO38" i="4"/>
  <c r="AO34" i="4"/>
  <c r="AO30" i="4"/>
  <c r="AO26" i="4"/>
  <c r="AO22" i="4"/>
  <c r="AO2" i="4"/>
  <c r="AO221" i="3"/>
  <c r="AO209" i="3"/>
  <c r="AO205" i="3"/>
  <c r="AO193" i="3"/>
  <c r="AO185" i="3"/>
  <c r="AO177" i="3"/>
  <c r="AO169" i="3"/>
  <c r="AO161" i="3"/>
  <c r="AO153" i="3"/>
  <c r="AO149" i="3"/>
  <c r="AO137" i="3"/>
  <c r="AO129" i="3"/>
  <c r="AO121" i="3"/>
  <c r="AO109" i="3"/>
  <c r="AO101" i="3"/>
  <c r="AO93" i="3"/>
  <c r="AO81" i="3"/>
  <c r="AO77" i="3"/>
  <c r="AO65" i="3"/>
  <c r="AO61" i="3"/>
  <c r="AO49" i="3"/>
  <c r="AO45" i="3"/>
  <c r="AO37" i="3"/>
  <c r="AO29" i="3"/>
  <c r="AO21" i="3"/>
  <c r="AO13" i="3"/>
  <c r="AO9" i="3"/>
  <c r="AO216" i="3"/>
  <c r="AO204" i="3"/>
  <c r="AO196" i="3"/>
  <c r="AO188" i="3"/>
  <c r="AO180" i="3"/>
  <c r="AO168" i="3"/>
  <c r="AO160" i="3"/>
  <c r="AO152" i="3"/>
  <c r="AO144" i="3"/>
  <c r="AO136" i="3"/>
  <c r="AO132" i="3"/>
  <c r="AO124" i="3"/>
  <c r="AO116" i="3"/>
  <c r="AO104" i="3"/>
  <c r="AO100" i="3"/>
  <c r="AO88" i="3"/>
  <c r="AO80" i="3"/>
  <c r="AO72" i="3"/>
  <c r="AO64" i="3"/>
  <c r="AO60" i="3"/>
  <c r="AO48" i="3"/>
  <c r="AO40" i="3"/>
  <c r="AO36" i="3"/>
  <c r="AO28" i="3"/>
  <c r="AO24" i="3"/>
  <c r="AO20" i="3"/>
  <c r="AO16" i="3"/>
  <c r="AO12" i="3"/>
  <c r="AO8" i="3"/>
  <c r="AO4" i="3"/>
  <c r="AO2" i="3"/>
  <c r="AO217" i="3"/>
  <c r="AO213" i="3"/>
  <c r="AO201" i="3"/>
  <c r="AO197" i="3"/>
  <c r="AO189" i="3"/>
  <c r="AO181" i="3"/>
  <c r="AO173" i="3"/>
  <c r="AO165" i="3"/>
  <c r="AO157" i="3"/>
  <c r="AO145" i="3"/>
  <c r="AO141" i="3"/>
  <c r="AO133" i="3"/>
  <c r="AO125" i="3"/>
  <c r="AO117" i="3"/>
  <c r="AO113" i="3"/>
  <c r="AO105" i="3"/>
  <c r="AO97" i="3"/>
  <c r="AO89" i="3"/>
  <c r="AO85" i="3"/>
  <c r="AO73" i="3"/>
  <c r="AO69" i="3"/>
  <c r="AO57" i="3"/>
  <c r="AO53" i="3"/>
  <c r="AO41" i="3"/>
  <c r="AO33" i="3"/>
  <c r="AO25" i="3"/>
  <c r="AO17" i="3"/>
  <c r="AO5" i="3"/>
  <c r="AO220" i="3"/>
  <c r="AO212" i="3"/>
  <c r="AO208" i="3"/>
  <c r="AO200" i="3"/>
  <c r="AO192" i="3"/>
  <c r="AO184" i="3"/>
  <c r="AO176" i="3"/>
  <c r="AO172" i="3"/>
  <c r="AO164" i="3"/>
  <c r="AO156" i="3"/>
  <c r="AO148" i="3"/>
  <c r="AO140" i="3"/>
  <c r="AO128" i="3"/>
  <c r="AO120" i="3"/>
  <c r="AO112" i="3"/>
  <c r="AO108" i="3"/>
  <c r="AO96" i="3"/>
  <c r="AO92" i="3"/>
  <c r="AO84" i="3"/>
  <c r="AO76" i="3"/>
  <c r="AO68" i="3"/>
  <c r="AO56" i="3"/>
  <c r="AO52" i="3"/>
  <c r="AO44" i="3"/>
  <c r="AO32" i="3"/>
  <c r="AO223" i="3"/>
  <c r="AO219" i="3"/>
  <c r="AO215" i="3"/>
  <c r="AO211" i="3"/>
  <c r="AO207" i="3"/>
  <c r="AO203" i="3"/>
  <c r="AO199" i="3"/>
  <c r="AO195" i="3"/>
  <c r="AO191" i="3"/>
  <c r="AO187" i="3"/>
  <c r="AO183" i="3"/>
  <c r="AO179" i="3"/>
  <c r="AO175" i="3"/>
  <c r="AO171" i="3"/>
  <c r="AO167" i="3"/>
  <c r="AO163" i="3"/>
  <c r="AO159" i="3"/>
  <c r="AO155" i="3"/>
  <c r="AO151" i="3"/>
  <c r="AO147" i="3"/>
  <c r="AO143" i="3"/>
  <c r="AO139" i="3"/>
  <c r="AO135" i="3"/>
  <c r="AO131" i="3"/>
  <c r="AO127" i="3"/>
  <c r="AO123" i="3"/>
  <c r="AO119" i="3"/>
  <c r="AO115" i="3"/>
  <c r="AO111" i="3"/>
  <c r="AO107" i="3"/>
  <c r="AO103" i="3"/>
  <c r="AO99" i="3"/>
  <c r="AO95" i="3"/>
  <c r="AO91" i="3"/>
  <c r="AO87" i="3"/>
  <c r="AO83" i="3"/>
  <c r="AO79" i="3"/>
  <c r="AO75" i="3"/>
  <c r="AO71" i="3"/>
  <c r="AO67" i="3"/>
  <c r="AO63" i="3"/>
  <c r="AO59" i="3"/>
  <c r="AO55" i="3"/>
  <c r="AO51" i="3"/>
  <c r="AO47" i="3"/>
  <c r="AO43" i="3"/>
  <c r="AO39" i="3"/>
  <c r="AO35" i="3"/>
  <c r="AO31" i="3"/>
  <c r="AO27" i="3"/>
  <c r="AO23" i="3"/>
  <c r="AO19" i="3"/>
  <c r="AO15" i="3"/>
  <c r="AO7" i="3"/>
  <c r="AO11" i="3"/>
  <c r="AO3" i="3"/>
  <c r="AO222" i="3"/>
  <c r="AO218" i="3"/>
  <c r="AO214" i="3"/>
  <c r="AO210" i="3"/>
  <c r="AO206" i="3"/>
  <c r="AO202" i="3"/>
  <c r="AO198" i="3"/>
  <c r="AO194" i="3"/>
  <c r="AO190" i="3"/>
  <c r="AO186" i="3"/>
  <c r="AO182" i="3"/>
  <c r="AO178" i="3"/>
  <c r="AO174" i="3"/>
  <c r="AO170" i="3"/>
  <c r="AO166" i="3"/>
  <c r="AO162" i="3"/>
  <c r="AO158" i="3"/>
  <c r="AO154" i="3"/>
  <c r="AO150" i="3"/>
  <c r="AO146" i="3"/>
  <c r="AO142" i="3"/>
  <c r="AO138" i="3"/>
  <c r="AO134" i="3"/>
  <c r="AO130" i="3"/>
  <c r="AO126" i="3"/>
  <c r="AO122" i="3"/>
  <c r="AO118" i="3"/>
  <c r="AO114" i="3"/>
  <c r="AO110" i="3"/>
  <c r="AO106" i="3"/>
  <c r="AO102" i="3"/>
  <c r="AO98" i="3"/>
  <c r="AO94" i="3"/>
  <c r="AO90" i="3"/>
  <c r="AO86" i="3"/>
  <c r="AO82" i="3"/>
  <c r="AO78" i="3"/>
  <c r="AO74" i="3"/>
  <c r="AO70" i="3"/>
  <c r="AO66" i="3"/>
  <c r="AO62" i="3"/>
  <c r="AO58" i="3"/>
  <c r="AO54" i="3"/>
  <c r="AO50" i="3"/>
  <c r="AO46" i="3"/>
  <c r="AO42" i="3"/>
  <c r="AO38" i="3"/>
  <c r="AO34" i="3"/>
  <c r="AO30" i="3"/>
  <c r="AO26" i="3"/>
  <c r="AO22" i="3"/>
  <c r="AO18" i="3"/>
  <c r="AO14" i="3"/>
  <c r="AO10" i="3"/>
  <c r="AO6" i="3"/>
  <c r="AO88" i="2"/>
  <c r="AO84" i="2"/>
  <c r="AO92" i="2"/>
  <c r="AO335" i="2"/>
  <c r="AO323" i="2"/>
  <c r="AO315" i="2"/>
  <c r="AO307" i="2"/>
  <c r="AO303" i="2"/>
  <c r="AO299" i="2"/>
  <c r="AO295" i="2"/>
  <c r="AO291" i="2"/>
  <c r="AO287" i="2"/>
  <c r="AO283" i="2"/>
  <c r="AO279" i="2"/>
  <c r="AO275" i="2"/>
  <c r="AO271" i="2"/>
  <c r="AO267" i="2"/>
  <c r="AO263" i="2"/>
  <c r="AO259" i="2"/>
  <c r="AO255" i="2"/>
  <c r="AO251" i="2"/>
  <c r="AO247" i="2"/>
  <c r="AO243" i="2"/>
  <c r="AO239" i="2"/>
  <c r="AO235" i="2"/>
  <c r="AO231" i="2"/>
  <c r="AO227" i="2"/>
  <c r="AO223" i="2"/>
  <c r="AO219" i="2"/>
  <c r="AO215" i="2"/>
  <c r="AO211" i="2"/>
  <c r="AO207" i="2"/>
  <c r="AO203" i="2"/>
  <c r="AO199" i="2"/>
  <c r="AO195" i="2"/>
  <c r="AO191" i="2"/>
  <c r="AO187" i="2"/>
  <c r="AO183" i="2"/>
  <c r="AO179" i="2"/>
  <c r="AO175" i="2"/>
  <c r="AO171" i="2"/>
  <c r="AO167" i="2"/>
  <c r="AO163" i="2"/>
  <c r="AO159" i="2"/>
  <c r="AO155" i="2"/>
  <c r="AO151" i="2"/>
  <c r="AO147" i="2"/>
  <c r="AO143" i="2"/>
  <c r="AO139" i="2"/>
  <c r="AO135" i="2"/>
  <c r="AO131" i="2"/>
  <c r="AO127" i="2"/>
  <c r="AO123" i="2"/>
  <c r="AO119" i="2"/>
  <c r="AO115" i="2"/>
  <c r="AO111" i="2"/>
  <c r="AO107" i="2"/>
  <c r="AO103" i="2"/>
  <c r="AO99" i="2"/>
  <c r="AO95" i="2"/>
  <c r="AO91" i="2"/>
  <c r="AO87" i="2"/>
  <c r="AO83" i="2"/>
  <c r="AO79" i="2"/>
  <c r="AO75" i="2"/>
  <c r="AO71" i="2"/>
  <c r="AO67" i="2"/>
  <c r="AO63" i="2"/>
  <c r="AO59" i="2"/>
  <c r="AO55" i="2"/>
  <c r="AO51" i="2"/>
  <c r="AO47" i="2"/>
  <c r="AO43" i="2"/>
  <c r="AO39" i="2"/>
  <c r="AO35" i="2"/>
  <c r="AO31" i="2"/>
  <c r="AO27" i="2"/>
  <c r="AO23" i="2"/>
  <c r="AO19" i="2"/>
  <c r="AO15" i="2"/>
  <c r="AO11" i="2"/>
  <c r="AO7" i="2"/>
  <c r="AO3" i="2"/>
  <c r="AO339" i="2"/>
  <c r="AO331" i="2"/>
  <c r="AO327" i="2"/>
  <c r="AO319" i="2"/>
  <c r="AO311" i="2"/>
  <c r="AO338" i="2"/>
  <c r="AO334" i="2"/>
  <c r="AO330" i="2"/>
  <c r="AO326" i="2"/>
  <c r="AO322" i="2"/>
  <c r="AO318" i="2"/>
  <c r="AO314" i="2"/>
  <c r="AO310" i="2"/>
  <c r="AO306" i="2"/>
  <c r="AO302" i="2"/>
  <c r="AO298" i="2"/>
  <c r="AO294" i="2"/>
  <c r="AO290" i="2"/>
  <c r="AO286" i="2"/>
  <c r="AO282" i="2"/>
  <c r="AO278" i="2"/>
  <c r="AO274" i="2"/>
  <c r="AO270" i="2"/>
  <c r="AO266" i="2"/>
  <c r="AO262" i="2"/>
  <c r="AO258" i="2"/>
  <c r="AO254" i="2"/>
  <c r="AO250" i="2"/>
  <c r="AO246" i="2"/>
  <c r="AO242" i="2"/>
  <c r="AO238" i="2"/>
  <c r="AO234" i="2"/>
  <c r="AO230" i="2"/>
  <c r="AO226" i="2"/>
  <c r="AO222" i="2"/>
  <c r="AO218" i="2"/>
  <c r="AO214" i="2"/>
  <c r="AO210" i="2"/>
  <c r="AO206" i="2"/>
  <c r="AO202" i="2"/>
  <c r="AO198" i="2"/>
  <c r="AO194" i="2"/>
  <c r="AO190" i="2"/>
  <c r="AO186" i="2"/>
  <c r="AO182" i="2"/>
  <c r="AO178" i="2"/>
  <c r="AO174" i="2"/>
  <c r="AO170" i="2"/>
  <c r="AO166" i="2"/>
  <c r="AO162" i="2"/>
  <c r="AO158" i="2"/>
  <c r="AO154" i="2"/>
  <c r="AO150" i="2"/>
  <c r="AO146" i="2"/>
  <c r="AO142" i="2"/>
  <c r="AO138" i="2"/>
  <c r="AO134" i="2"/>
  <c r="AO130" i="2"/>
  <c r="AO126" i="2"/>
  <c r="AO122" i="2"/>
  <c r="AO118" i="2"/>
  <c r="AO114" i="2"/>
  <c r="AO110" i="2"/>
  <c r="AO106" i="2"/>
  <c r="AO102" i="2"/>
  <c r="AO98" i="2"/>
  <c r="AO94" i="2"/>
  <c r="AO90" i="2"/>
  <c r="AO86" i="2"/>
  <c r="AO82" i="2"/>
  <c r="AO78" i="2"/>
  <c r="AO74" i="2"/>
  <c r="AO70" i="2"/>
  <c r="AO66" i="2"/>
  <c r="AO62" i="2"/>
  <c r="AO58" i="2"/>
  <c r="AO54" i="2"/>
  <c r="AO50" i="2"/>
  <c r="AO46" i="2"/>
  <c r="AO42" i="2"/>
  <c r="AO38" i="2"/>
  <c r="AO34" i="2"/>
  <c r="AO30" i="2"/>
  <c r="AO26" i="2"/>
  <c r="AO22" i="2"/>
  <c r="AO18" i="2"/>
  <c r="AO14" i="2"/>
  <c r="AO10" i="2"/>
  <c r="AO6" i="2"/>
  <c r="AO341" i="2"/>
  <c r="AO337" i="2"/>
  <c r="AO333" i="2"/>
  <c r="AO329" i="2"/>
  <c r="AO325" i="2"/>
  <c r="AO321" i="2"/>
  <c r="AO317" i="2"/>
  <c r="AO313" i="2"/>
  <c r="AO309" i="2"/>
  <c r="AO305" i="2"/>
  <c r="AO301" i="2"/>
  <c r="AO297" i="2"/>
  <c r="AO293" i="2"/>
  <c r="AO289" i="2"/>
  <c r="AO285" i="2"/>
  <c r="AO281" i="2"/>
  <c r="AO277" i="2"/>
  <c r="AO273" i="2"/>
  <c r="AO269" i="2"/>
  <c r="AO265" i="2"/>
  <c r="AO261" i="2"/>
  <c r="AO257" i="2"/>
  <c r="AO253" i="2"/>
  <c r="AO249" i="2"/>
  <c r="AO245" i="2"/>
  <c r="AO241" i="2"/>
  <c r="AO237" i="2"/>
  <c r="AO233" i="2"/>
  <c r="AO229" i="2"/>
  <c r="AO225" i="2"/>
  <c r="AO221" i="2"/>
  <c r="AO217" i="2"/>
  <c r="AO213" i="2"/>
  <c r="AO209" i="2"/>
  <c r="AO205" i="2"/>
  <c r="AO201" i="2"/>
  <c r="AO197" i="2"/>
  <c r="AO193" i="2"/>
  <c r="AO189" i="2"/>
  <c r="AO185" i="2"/>
  <c r="AO181" i="2"/>
  <c r="AO177" i="2"/>
  <c r="AO173" i="2"/>
  <c r="AO169" i="2"/>
  <c r="AO165" i="2"/>
  <c r="AO161" i="2"/>
  <c r="AO157" i="2"/>
  <c r="AO153" i="2"/>
  <c r="AO149" i="2"/>
  <c r="AO145" i="2"/>
  <c r="AO141" i="2"/>
  <c r="AO137" i="2"/>
  <c r="AO133" i="2"/>
  <c r="AO129" i="2"/>
  <c r="AO125" i="2"/>
  <c r="AO121" i="2"/>
  <c r="AO117" i="2"/>
  <c r="AO113" i="2"/>
  <c r="AO109" i="2"/>
  <c r="AO105" i="2"/>
  <c r="AO101" i="2"/>
  <c r="AO97" i="2"/>
  <c r="AO93" i="2"/>
  <c r="AO89" i="2"/>
  <c r="AO85" i="2"/>
  <c r="AO81" i="2"/>
  <c r="AO77" i="2"/>
  <c r="AO73" i="2"/>
  <c r="AO69" i="2"/>
  <c r="AO65" i="2"/>
  <c r="AO61" i="2"/>
  <c r="AO57" i="2"/>
  <c r="AO53" i="2"/>
  <c r="AO49" i="2"/>
  <c r="AO45" i="2"/>
  <c r="AO41" i="2"/>
  <c r="AO37" i="2"/>
  <c r="AO33" i="2"/>
  <c r="AO29" i="2"/>
  <c r="AO25" i="2"/>
  <c r="AO21" i="2"/>
  <c r="AO17" i="2"/>
  <c r="AO13" i="2"/>
  <c r="AO9" i="2"/>
  <c r="AO5" i="2"/>
  <c r="X248" i="1"/>
  <c r="X253" i="1"/>
  <c r="X228" i="1"/>
  <c r="X93" i="1"/>
  <c r="X18" i="2"/>
  <c r="X252" i="1"/>
  <c r="X241" i="1"/>
  <c r="X216" i="1"/>
  <c r="X92" i="1"/>
  <c r="X256" i="1"/>
  <c r="X229" i="1"/>
  <c r="X249" i="1"/>
  <c r="X240" i="1"/>
  <c r="X232" i="1"/>
  <c r="X200" i="1"/>
  <c r="X98" i="2"/>
  <c r="B16" i="5"/>
  <c r="X10" i="1"/>
  <c r="X74" i="1"/>
  <c r="X90" i="1"/>
  <c r="X83" i="3"/>
  <c r="X95" i="3"/>
  <c r="X131" i="3"/>
  <c r="X135" i="3"/>
  <c r="X139" i="3"/>
  <c r="X199" i="3"/>
  <c r="X2" i="3"/>
  <c r="X68" i="3"/>
  <c r="X140" i="3"/>
  <c r="X255" i="1"/>
  <c r="X251" i="1"/>
  <c r="X247" i="1"/>
  <c r="X231" i="1"/>
  <c r="X227" i="1"/>
  <c r="X215" i="1"/>
  <c r="X91" i="1"/>
  <c r="X36" i="1"/>
  <c r="X82" i="3"/>
  <c r="X55" i="2"/>
  <c r="X141" i="2"/>
  <c r="X237" i="2"/>
  <c r="B117" i="5"/>
  <c r="X151" i="2"/>
  <c r="X124" i="2"/>
  <c r="X69" i="2"/>
  <c r="X117" i="2"/>
  <c r="X261" i="1"/>
  <c r="X118" i="2"/>
  <c r="B68" i="5"/>
  <c r="X319" i="2"/>
  <c r="X8" i="2"/>
  <c r="X129" i="2"/>
  <c r="X225" i="2"/>
  <c r="X241" i="2"/>
  <c r="X277" i="2"/>
  <c r="X317" i="2"/>
  <c r="B84" i="5"/>
  <c r="Z376" i="8" s="1"/>
  <c r="X93" i="2"/>
  <c r="X210" i="2"/>
  <c r="B9" i="5"/>
  <c r="Z19" i="8" s="1"/>
  <c r="X13" i="1"/>
  <c r="X82" i="1"/>
  <c r="X142" i="1"/>
  <c r="X291" i="2"/>
  <c r="X212" i="2"/>
  <c r="X340" i="2"/>
  <c r="X189" i="2"/>
  <c r="X309" i="2"/>
  <c r="X337" i="2"/>
  <c r="X107" i="2"/>
  <c r="X17" i="2"/>
  <c r="X254" i="1"/>
  <c r="X230" i="1"/>
  <c r="X322" i="2"/>
  <c r="X106" i="2"/>
  <c r="X16" i="3"/>
  <c r="X186" i="3"/>
  <c r="X130" i="3"/>
  <c r="X633" i="8" l="1"/>
  <c r="AF632" i="8"/>
  <c r="X293" i="8"/>
  <c r="AF292" i="8"/>
  <c r="X11" i="8"/>
  <c r="AF10" i="8"/>
  <c r="AO88" i="1"/>
  <c r="AO241" i="1"/>
  <c r="AO113" i="1"/>
  <c r="B5" i="7"/>
  <c r="AO138" i="1"/>
  <c r="AO74" i="1"/>
  <c r="AO177" i="1"/>
  <c r="AO216" i="1"/>
  <c r="AO219" i="1"/>
  <c r="AO24" i="1"/>
  <c r="AO280" i="1"/>
  <c r="AO283" i="1"/>
  <c r="AO11" i="1"/>
  <c r="AO202" i="1"/>
  <c r="AO75" i="1"/>
  <c r="AO49" i="1"/>
  <c r="AO10" i="1"/>
  <c r="AO139" i="1"/>
  <c r="AO57" i="1"/>
  <c r="AO129" i="1"/>
  <c r="AO218" i="1"/>
  <c r="AO267" i="1"/>
  <c r="AO184" i="1"/>
  <c r="AO91" i="1"/>
  <c r="AO253" i="1"/>
  <c r="AO160" i="1"/>
  <c r="AO70" i="1"/>
  <c r="AO194" i="1"/>
  <c r="AO266" i="1"/>
  <c r="AO115" i="1"/>
  <c r="AO227" i="1"/>
  <c r="AO188" i="1"/>
  <c r="AO40" i="1"/>
  <c r="AO104" i="1"/>
  <c r="AO168" i="1"/>
  <c r="AO232" i="1"/>
  <c r="AO282" i="1"/>
  <c r="AO65" i="1"/>
  <c r="AO193" i="1"/>
  <c r="AO257" i="1"/>
  <c r="AO26" i="1"/>
  <c r="AO90" i="1"/>
  <c r="AO154" i="1"/>
  <c r="AO27" i="1"/>
  <c r="AO155" i="1"/>
  <c r="AO29" i="1"/>
  <c r="AO197" i="1"/>
  <c r="AO228" i="1"/>
  <c r="AO46" i="1"/>
  <c r="AO150" i="1"/>
  <c r="AO246" i="1"/>
  <c r="AO47" i="1"/>
  <c r="AO199" i="1"/>
  <c r="AO255" i="1"/>
  <c r="AO28" i="1"/>
  <c r="AO56" i="1"/>
  <c r="AO120" i="1"/>
  <c r="AO248" i="1"/>
  <c r="AO17" i="1"/>
  <c r="AO81" i="1"/>
  <c r="AO145" i="1"/>
  <c r="AO209" i="1"/>
  <c r="AO273" i="1"/>
  <c r="AO42" i="1"/>
  <c r="AO106" i="1"/>
  <c r="AO170" i="1"/>
  <c r="AO234" i="1"/>
  <c r="AO203" i="1"/>
  <c r="AO43" i="1"/>
  <c r="AO107" i="1"/>
  <c r="AO179" i="1"/>
  <c r="AO93" i="1"/>
  <c r="AO237" i="1"/>
  <c r="AO84" i="1"/>
  <c r="AO30" i="1"/>
  <c r="AO110" i="1"/>
  <c r="AO52" i="1"/>
  <c r="AO67" i="1"/>
  <c r="AO240" i="1"/>
  <c r="AO8" i="1"/>
  <c r="AO72" i="1"/>
  <c r="AO136" i="1"/>
  <c r="AO200" i="1"/>
  <c r="AO264" i="1"/>
  <c r="AO33" i="1"/>
  <c r="AO97" i="1"/>
  <c r="AO161" i="1"/>
  <c r="AO225" i="1"/>
  <c r="AO254" i="1"/>
  <c r="AO58" i="1"/>
  <c r="AO122" i="1"/>
  <c r="AO186" i="1"/>
  <c r="AO274" i="1"/>
  <c r="AO167" i="1"/>
  <c r="AO251" i="1"/>
  <c r="AO59" i="1"/>
  <c r="AO123" i="1"/>
  <c r="AO223" i="1"/>
  <c r="AO12" i="1"/>
  <c r="AO44" i="1"/>
  <c r="AO60" i="1"/>
  <c r="AO76" i="1"/>
  <c r="AO92" i="1"/>
  <c r="AO108" i="1"/>
  <c r="AO124" i="1"/>
  <c r="AO140" i="1"/>
  <c r="AO156" i="1"/>
  <c r="AO172" i="1"/>
  <c r="AO204" i="1"/>
  <c r="AO220" i="1"/>
  <c r="AO236" i="1"/>
  <c r="AO252" i="1"/>
  <c r="AO268" i="1"/>
  <c r="AO250" i="1"/>
  <c r="AO5" i="1"/>
  <c r="AO21" i="1"/>
  <c r="AO37" i="1"/>
  <c r="AO53" i="1"/>
  <c r="AO69" i="1"/>
  <c r="AO85" i="1"/>
  <c r="AO101" i="1"/>
  <c r="AO117" i="1"/>
  <c r="AO133" i="1"/>
  <c r="AO149" i="1"/>
  <c r="AO165" i="1"/>
  <c r="AO181" i="1"/>
  <c r="AO213" i="1"/>
  <c r="AO229" i="1"/>
  <c r="AO245" i="1"/>
  <c r="AO261" i="1"/>
  <c r="AO277" i="1"/>
  <c r="AO14" i="1"/>
  <c r="AO62" i="1"/>
  <c r="AO78" i="1"/>
  <c r="AO94" i="1"/>
  <c r="AO126" i="1"/>
  <c r="AO142" i="1"/>
  <c r="AO158" i="1"/>
  <c r="AO174" i="1"/>
  <c r="AO190" i="1"/>
  <c r="AO206" i="1"/>
  <c r="AO222" i="1"/>
  <c r="AO238" i="1"/>
  <c r="AO183" i="1"/>
  <c r="AO231" i="1"/>
  <c r="AO275" i="1"/>
  <c r="AO215" i="1"/>
  <c r="AO263" i="1"/>
  <c r="AO15" i="1"/>
  <c r="AO31" i="1"/>
  <c r="AO63" i="1"/>
  <c r="AO79" i="1"/>
  <c r="AO95" i="1"/>
  <c r="AO111" i="1"/>
  <c r="AO127" i="1"/>
  <c r="AO143" i="1"/>
  <c r="AO159" i="1"/>
  <c r="AO187" i="1"/>
  <c r="AO247" i="1"/>
  <c r="AO16" i="1"/>
  <c r="AO32" i="1"/>
  <c r="AO48" i="1"/>
  <c r="AO64" i="1"/>
  <c r="AO80" i="1"/>
  <c r="AO96" i="1"/>
  <c r="AO112" i="1"/>
  <c r="AO128" i="1"/>
  <c r="AO144" i="1"/>
  <c r="AO176" i="1"/>
  <c r="AO192" i="1"/>
  <c r="AO208" i="1"/>
  <c r="AO224" i="1"/>
  <c r="AO256" i="1"/>
  <c r="AO272" i="1"/>
  <c r="AO262" i="1"/>
  <c r="AO9" i="1"/>
  <c r="AO25" i="1"/>
  <c r="AO41" i="1"/>
  <c r="AO73" i="1"/>
  <c r="AO89" i="1"/>
  <c r="AO105" i="1"/>
  <c r="AO121" i="1"/>
  <c r="AO137" i="1"/>
  <c r="AO153" i="1"/>
  <c r="AO169" i="1"/>
  <c r="AO185" i="1"/>
  <c r="AO201" i="1"/>
  <c r="AO217" i="1"/>
  <c r="AO233" i="1"/>
  <c r="AO249" i="1"/>
  <c r="AO265" i="1"/>
  <c r="AO281" i="1"/>
  <c r="AO278" i="1"/>
  <c r="AO18" i="1"/>
  <c r="AO34" i="1"/>
  <c r="AO50" i="1"/>
  <c r="AO66" i="1"/>
  <c r="AO82" i="1"/>
  <c r="AO98" i="1"/>
  <c r="AO114" i="1"/>
  <c r="AO130" i="1"/>
  <c r="AO146" i="1"/>
  <c r="AO162" i="1"/>
  <c r="AO178" i="1"/>
  <c r="AO210" i="1"/>
  <c r="AO226" i="1"/>
  <c r="AO195" i="1"/>
  <c r="AO243" i="1"/>
  <c r="AO175" i="1"/>
  <c r="AO279" i="1"/>
  <c r="AO19" i="1"/>
  <c r="AO35" i="1"/>
  <c r="AO51" i="1"/>
  <c r="AO83" i="1"/>
  <c r="AO99" i="1"/>
  <c r="AO131" i="1"/>
  <c r="AO147" i="1"/>
  <c r="AO163" i="1"/>
  <c r="AO20" i="1"/>
  <c r="AO36" i="1"/>
  <c r="AO68" i="1"/>
  <c r="AO100" i="1"/>
  <c r="AO116" i="1"/>
  <c r="AO132" i="1"/>
  <c r="AO148" i="1"/>
  <c r="AO164" i="1"/>
  <c r="AO180" i="1"/>
  <c r="AO196" i="1"/>
  <c r="AO212" i="1"/>
  <c r="AO244" i="1"/>
  <c r="AO260" i="1"/>
  <c r="AO276" i="1"/>
  <c r="AO270" i="1"/>
  <c r="AO13" i="1"/>
  <c r="AO45" i="1"/>
  <c r="AO61" i="1"/>
  <c r="AO77" i="1"/>
  <c r="AO109" i="1"/>
  <c r="AO125" i="1"/>
  <c r="AO141" i="1"/>
  <c r="AO157" i="1"/>
  <c r="AO173" i="1"/>
  <c r="AO189" i="1"/>
  <c r="AO205" i="1"/>
  <c r="AO221" i="1"/>
  <c r="AO269" i="1"/>
  <c r="AO242" i="1"/>
  <c r="AO6" i="1"/>
  <c r="AO22" i="1"/>
  <c r="AO38" i="1"/>
  <c r="AO54" i="1"/>
  <c r="AO86" i="1"/>
  <c r="AO102" i="1"/>
  <c r="AO118" i="1"/>
  <c r="AO134" i="1"/>
  <c r="AO166" i="1"/>
  <c r="AO182" i="1"/>
  <c r="AO198" i="1"/>
  <c r="AO214" i="1"/>
  <c r="AO230" i="1"/>
  <c r="AO258" i="1"/>
  <c r="AO211" i="1"/>
  <c r="AO259" i="1"/>
  <c r="AO191" i="1"/>
  <c r="AO239" i="1"/>
  <c r="AO7" i="1"/>
  <c r="AO23" i="1"/>
  <c r="AO39" i="1"/>
  <c r="AO55" i="1"/>
  <c r="AO71" i="1"/>
  <c r="AO87" i="1"/>
  <c r="AO103" i="1"/>
  <c r="AO119" i="1"/>
  <c r="AO135" i="1"/>
  <c r="AO151" i="1"/>
  <c r="AO171" i="1"/>
  <c r="AO207" i="1"/>
  <c r="AO271" i="1"/>
  <c r="AO235" i="1"/>
  <c r="E3" i="7"/>
  <c r="C3" i="7"/>
  <c r="B85" i="5"/>
  <c r="Z378" i="8" s="1"/>
  <c r="X96" i="2"/>
  <c r="Z682" i="8"/>
  <c r="Z675" i="8"/>
  <c r="Z67" i="8"/>
  <c r="Z111" i="8"/>
  <c r="Z115" i="8"/>
  <c r="Z131" i="8"/>
  <c r="Z271" i="8"/>
  <c r="Z275" i="8"/>
  <c r="Z44" i="8"/>
  <c r="Z68" i="8"/>
  <c r="Z112" i="8"/>
  <c r="Z66" i="8"/>
  <c r="Z114" i="8"/>
  <c r="Z130" i="8"/>
  <c r="Z270" i="8"/>
  <c r="Z274" i="8"/>
  <c r="Z282" i="8"/>
  <c r="Z65" i="8"/>
  <c r="Z129" i="8"/>
  <c r="Z113" i="8"/>
  <c r="Z45" i="8"/>
  <c r="Z281" i="8"/>
  <c r="Z323" i="8"/>
  <c r="Z367" i="8"/>
  <c r="Z395" i="8"/>
  <c r="Z407" i="8"/>
  <c r="Z316" i="8"/>
  <c r="Z364" i="8"/>
  <c r="Z368" i="8"/>
  <c r="Z420" i="8"/>
  <c r="Z508" i="8"/>
  <c r="Z544" i="8"/>
  <c r="Z600" i="8"/>
  <c r="Z314" i="8"/>
  <c r="Z322" i="8"/>
  <c r="Z354" i="8"/>
  <c r="Z386" i="8"/>
  <c r="Z410" i="8"/>
  <c r="Z558" i="8"/>
  <c r="Z602" i="8"/>
  <c r="Z614" i="8"/>
  <c r="Z505" i="8"/>
  <c r="Z535" i="8"/>
  <c r="Z607" i="8"/>
  <c r="Z361" i="8"/>
  <c r="Z449" i="8"/>
  <c r="Z429" i="8"/>
  <c r="Z321" i="8"/>
  <c r="Z385" i="8"/>
  <c r="Z525" i="8"/>
  <c r="C4" i="7"/>
  <c r="C5" i="7"/>
  <c r="D5" i="7"/>
  <c r="D3" i="7"/>
  <c r="D4" i="7"/>
  <c r="D2" i="7"/>
  <c r="C2" i="7"/>
  <c r="E2" i="7"/>
  <c r="X60" i="3"/>
  <c r="X53" i="3"/>
  <c r="B90" i="5"/>
  <c r="Z439" i="8" s="1"/>
  <c r="X94" i="2"/>
  <c r="B110" i="5"/>
  <c r="X39" i="2"/>
  <c r="X79" i="2"/>
  <c r="X103" i="2"/>
  <c r="X147" i="2"/>
  <c r="X167" i="2"/>
  <c r="X223" i="2"/>
  <c r="X243" i="2"/>
  <c r="X32" i="2"/>
  <c r="X40" i="2"/>
  <c r="X72" i="2"/>
  <c r="X104" i="2"/>
  <c r="X128" i="2"/>
  <c r="X276" i="2"/>
  <c r="X320" i="2"/>
  <c r="X332" i="2"/>
  <c r="X41" i="2"/>
  <c r="X85" i="2"/>
  <c r="X113" i="2"/>
  <c r="X125" i="2"/>
  <c r="X253" i="2"/>
  <c r="X325" i="2"/>
  <c r="X226" i="2"/>
  <c r="X318" i="2"/>
  <c r="X34" i="2"/>
  <c r="X86" i="2"/>
  <c r="X138" i="2"/>
  <c r="X262" i="2"/>
  <c r="X82" i="2"/>
  <c r="B10" i="5"/>
  <c r="X19" i="1"/>
  <c r="B19" i="5"/>
  <c r="X66" i="1"/>
  <c r="X114" i="1"/>
  <c r="X130" i="1"/>
  <c r="X113" i="1"/>
  <c r="X270" i="1"/>
  <c r="X274" i="1"/>
  <c r="X282" i="1"/>
  <c r="X68" i="1"/>
  <c r="X112" i="1"/>
  <c r="X281" i="1"/>
  <c r="X44" i="1"/>
  <c r="X65" i="1"/>
  <c r="X115" i="1"/>
  <c r="X129" i="1"/>
  <c r="X271" i="1"/>
  <c r="X275" i="1"/>
  <c r="X45" i="1"/>
  <c r="X67" i="1"/>
  <c r="X111" i="1"/>
  <c r="X131" i="1"/>
  <c r="X12" i="8" l="1"/>
  <c r="AF11" i="8"/>
  <c r="X294" i="8"/>
  <c r="AF293" i="8"/>
  <c r="X634" i="8"/>
  <c r="AF633" i="8"/>
  <c r="B4" i="7"/>
  <c r="I3" i="7"/>
  <c r="B2" i="7"/>
  <c r="B3" i="7"/>
  <c r="G2" i="7"/>
  <c r="Z71" i="8"/>
  <c r="Z72" i="8"/>
  <c r="Z50" i="8"/>
  <c r="Z70" i="8"/>
  <c r="Z238" i="8"/>
  <c r="Z250" i="8"/>
  <c r="Z237" i="8"/>
  <c r="Z27" i="8"/>
  <c r="Z127" i="8"/>
  <c r="Z191" i="8"/>
  <c r="Z32" i="8"/>
  <c r="Z76" i="8"/>
  <c r="Z86" i="8"/>
  <c r="Z178" i="8"/>
  <c r="Z190" i="8"/>
  <c r="Z278" i="8"/>
  <c r="Z33" i="8"/>
  <c r="Z97" i="8"/>
  <c r="Z125" i="8"/>
  <c r="Z189" i="8"/>
  <c r="Z117" i="8"/>
  <c r="Z666" i="8"/>
  <c r="Z709" i="8"/>
  <c r="Z792" i="8"/>
  <c r="Z824" i="8"/>
  <c r="Z844" i="8"/>
  <c r="Z651" i="8"/>
  <c r="Z715" i="8"/>
  <c r="Z723" i="8"/>
  <c r="Z829" i="8"/>
  <c r="Z814" i="8"/>
  <c r="Z838" i="8"/>
  <c r="Z842" i="8"/>
  <c r="Z629" i="8"/>
  <c r="Z783" i="8"/>
  <c r="Z815" i="8"/>
  <c r="Z843" i="8"/>
  <c r="H2" i="7"/>
  <c r="H4" i="7"/>
  <c r="H5" i="7"/>
  <c r="G4" i="7"/>
  <c r="G3" i="7"/>
  <c r="I4" i="7"/>
  <c r="I5" i="7"/>
  <c r="I2" i="7"/>
  <c r="H3" i="7"/>
  <c r="G5" i="7"/>
  <c r="B91" i="5"/>
  <c r="X157" i="2"/>
  <c r="B14" i="5"/>
  <c r="X86" i="1"/>
  <c r="X178" i="1"/>
  <c r="X190" i="1"/>
  <c r="X27" i="1"/>
  <c r="X189" i="1"/>
  <c r="X278" i="1"/>
  <c r="X33" i="1"/>
  <c r="X125" i="1"/>
  <c r="X97" i="1"/>
  <c r="X127" i="1"/>
  <c r="X32" i="1"/>
  <c r="X76" i="1"/>
  <c r="X191" i="1"/>
  <c r="X117" i="1"/>
  <c r="B25" i="5"/>
  <c r="X50" i="1"/>
  <c r="X70" i="1"/>
  <c r="X238" i="1"/>
  <c r="X250" i="1"/>
  <c r="X72" i="1"/>
  <c r="X237" i="1"/>
  <c r="X71" i="1"/>
  <c r="X87" i="3"/>
  <c r="X207" i="3"/>
  <c r="X44" i="3"/>
  <c r="X192" i="3"/>
  <c r="X216" i="3"/>
  <c r="X220" i="3"/>
  <c r="X29" i="3"/>
  <c r="X93" i="3"/>
  <c r="X101" i="3"/>
  <c r="X161" i="3"/>
  <c r="X193" i="3"/>
  <c r="X221" i="3"/>
  <c r="X7" i="3"/>
  <c r="X222" i="3"/>
  <c r="X170" i="3"/>
  <c r="X202" i="3"/>
  <c r="X13" i="8" l="1"/>
  <c r="AF12" i="8"/>
  <c r="X635" i="8"/>
  <c r="AF634" i="8"/>
  <c r="X295" i="8"/>
  <c r="AF294" i="8"/>
  <c r="F4" i="7"/>
  <c r="F2" i="7"/>
  <c r="F5" i="7"/>
  <c r="F3" i="7"/>
  <c r="B65" i="5"/>
  <c r="Z39" i="8"/>
  <c r="Z79" i="8"/>
  <c r="Z103" i="8"/>
  <c r="Z187" i="8"/>
  <c r="Z136" i="8"/>
  <c r="Z174" i="8"/>
  <c r="X158" i="2"/>
  <c r="Z440" i="8"/>
  <c r="Z223" i="8"/>
  <c r="Z77" i="8"/>
  <c r="B21" i="5"/>
  <c r="X174" i="1"/>
  <c r="X39" i="1"/>
  <c r="X79" i="1"/>
  <c r="X136" i="1"/>
  <c r="X187" i="1"/>
  <c r="X103" i="1"/>
  <c r="B28" i="5"/>
  <c r="B58" i="5" s="1"/>
  <c r="X223" i="1"/>
  <c r="X77" i="1"/>
  <c r="X296" i="8" l="1"/>
  <c r="AF295" i="8"/>
  <c r="X636" i="8"/>
  <c r="AF635" i="8"/>
  <c r="AF13" i="8"/>
  <c r="X14" i="8"/>
  <c r="Z307" i="8"/>
  <c r="Z343" i="8"/>
  <c r="Z467" i="8"/>
  <c r="Z515" i="8"/>
  <c r="Z348" i="8"/>
  <c r="Z456" i="8"/>
  <c r="Z528" i="8"/>
  <c r="Z612" i="8"/>
  <c r="Z374" i="8"/>
  <c r="Z434" i="8"/>
  <c r="Z530" i="8"/>
  <c r="Z550" i="8"/>
  <c r="Z349" i="8"/>
  <c r="Z325" i="8"/>
  <c r="Z305" i="8"/>
  <c r="Z579" i="8"/>
  <c r="Z353" i="8"/>
  <c r="Z397" i="8"/>
  <c r="Z531" i="8"/>
  <c r="Z623" i="8"/>
  <c r="X23" i="2"/>
  <c r="X75" i="2"/>
  <c r="X155" i="2"/>
  <c r="X231" i="2"/>
  <c r="X287" i="2"/>
  <c r="X335" i="2"/>
  <c r="X112" i="2"/>
  <c r="X160" i="2"/>
  <c r="X252" i="2"/>
  <c r="X288" i="2"/>
  <c r="X33" i="2"/>
  <c r="X65" i="2"/>
  <c r="X193" i="2"/>
  <c r="X249" i="2"/>
  <c r="X297" i="2"/>
  <c r="X341" i="2"/>
  <c r="X330" i="2"/>
  <c r="X246" i="2"/>
  <c r="X154" i="2"/>
  <c r="X194" i="2"/>
  <c r="X310" i="2"/>
  <c r="Z436" i="8"/>
  <c r="Z334" i="8"/>
  <c r="Z542" i="8"/>
  <c r="Z595" i="8"/>
  <c r="Z555" i="8"/>
  <c r="X219" i="2"/>
  <c r="X92" i="2"/>
  <c r="X268" i="2"/>
  <c r="X185" i="2"/>
  <c r="X333" i="2"/>
  <c r="X74" i="2"/>
  <c r="Z315" i="8"/>
  <c r="Z347" i="8"/>
  <c r="Z475" i="8"/>
  <c r="Z324" i="8"/>
  <c r="Z356" i="8"/>
  <c r="Z476" i="8"/>
  <c r="Z552" i="8"/>
  <c r="Z616" i="8"/>
  <c r="Z394" i="8"/>
  <c r="Z442" i="8"/>
  <c r="Z534" i="8"/>
  <c r="Z570" i="8"/>
  <c r="Z393" i="8"/>
  <c r="Z533" i="8"/>
  <c r="Z357" i="8"/>
  <c r="Z583" i="8"/>
  <c r="Z485" i="8"/>
  <c r="Z417" i="8"/>
  <c r="Z569" i="8"/>
  <c r="Z575" i="8"/>
  <c r="X43" i="2"/>
  <c r="X111" i="2"/>
  <c r="X163" i="2"/>
  <c r="X251" i="2"/>
  <c r="X299" i="2"/>
  <c r="X24" i="2"/>
  <c r="X116" i="2"/>
  <c r="X220" i="2"/>
  <c r="X256" i="2"/>
  <c r="X296" i="2"/>
  <c r="X49" i="2"/>
  <c r="X137" i="2"/>
  <c r="X201" i="2"/>
  <c r="X273" i="2"/>
  <c r="X301" i="2"/>
  <c r="X42" i="2"/>
  <c r="X62" i="2"/>
  <c r="X50" i="2"/>
  <c r="X218" i="2"/>
  <c r="Z344" i="8"/>
  <c r="Z514" i="8"/>
  <c r="Z567" i="8"/>
  <c r="Z615" i="8"/>
  <c r="Z617" i="8"/>
  <c r="B112" i="5"/>
  <c r="X135" i="2"/>
  <c r="X315" i="2"/>
  <c r="X152" i="2"/>
  <c r="X25" i="2"/>
  <c r="X233" i="2"/>
  <c r="X270" i="2"/>
  <c r="X334" i="2"/>
  <c r="Z331" i="8"/>
  <c r="Z419" i="8"/>
  <c r="Z483" i="8"/>
  <c r="Z332" i="8"/>
  <c r="Z404" i="8"/>
  <c r="Z484" i="8"/>
  <c r="Z576" i="8"/>
  <c r="Z306" i="8"/>
  <c r="Z398" i="8"/>
  <c r="Z502" i="8"/>
  <c r="Z538" i="8"/>
  <c r="Z578" i="8"/>
  <c r="Z437" i="8"/>
  <c r="Z581" i="8"/>
  <c r="Z445" i="8"/>
  <c r="Z597" i="8"/>
  <c r="Z549" i="8"/>
  <c r="Z501" i="8"/>
  <c r="Z593" i="8"/>
  <c r="X67" i="2"/>
  <c r="X115" i="2"/>
  <c r="X203" i="2"/>
  <c r="X267" i="2"/>
  <c r="X311" i="2"/>
  <c r="X52" i="2"/>
  <c r="X132" i="2"/>
  <c r="X232" i="2"/>
  <c r="X260" i="2"/>
  <c r="X336" i="2"/>
  <c r="X53" i="2"/>
  <c r="X173" i="2"/>
  <c r="X209" i="2"/>
  <c r="X285" i="2"/>
  <c r="X313" i="2"/>
  <c r="X202" i="2"/>
  <c r="X122" i="2"/>
  <c r="X66" i="2"/>
  <c r="X294" i="2"/>
  <c r="Z335" i="8"/>
  <c r="Z455" i="8"/>
  <c r="Z491" i="8"/>
  <c r="Z500" i="8"/>
  <c r="Z592" i="8"/>
  <c r="Z414" i="8"/>
  <c r="Z618" i="8"/>
  <c r="Z553" i="8"/>
  <c r="Z513" i="8"/>
  <c r="X71" i="2"/>
  <c r="X271" i="2"/>
  <c r="X248" i="2"/>
  <c r="X61" i="2"/>
  <c r="X293" i="2"/>
  <c r="X174" i="2"/>
  <c r="Z192" i="8"/>
  <c r="X192" i="1"/>
  <c r="Z99" i="8"/>
  <c r="Z207" i="8"/>
  <c r="Z211" i="8"/>
  <c r="Z100" i="8"/>
  <c r="Z208" i="8"/>
  <c r="Z220" i="8"/>
  <c r="Z150" i="8"/>
  <c r="Z206" i="8"/>
  <c r="Z210" i="8"/>
  <c r="Z101" i="8"/>
  <c r="Z209" i="8"/>
  <c r="Z123" i="8"/>
  <c r="Z64" i="8"/>
  <c r="Z236" i="8"/>
  <c r="Z57" i="8"/>
  <c r="B22" i="5"/>
  <c r="X64" i="1"/>
  <c r="X123" i="1"/>
  <c r="X236" i="1"/>
  <c r="X57" i="1"/>
  <c r="X150" i="1"/>
  <c r="X99" i="1"/>
  <c r="X206" i="1"/>
  <c r="X210" i="1"/>
  <c r="X209" i="1"/>
  <c r="X100" i="1"/>
  <c r="X207" i="1"/>
  <c r="X211" i="1"/>
  <c r="X101" i="1"/>
  <c r="X208" i="1"/>
  <c r="X220" i="1"/>
  <c r="X637" i="8" l="1"/>
  <c r="AF636" i="8"/>
  <c r="AF14" i="8"/>
  <c r="X15" i="8"/>
  <c r="X297" i="8"/>
  <c r="AF296" i="8"/>
  <c r="Z295" i="8"/>
  <c r="Z292" i="8"/>
  <c r="Z532" i="8"/>
  <c r="Z370" i="8"/>
  <c r="Z301" i="8"/>
  <c r="Z477" i="8"/>
  <c r="X27" i="2"/>
  <c r="X12" i="2"/>
  <c r="X284" i="2"/>
  <c r="X45" i="2"/>
  <c r="X126" i="2"/>
  <c r="Z408" i="8"/>
  <c r="Z409" i="8"/>
  <c r="X195" i="2"/>
  <c r="X10" i="2"/>
  <c r="X250" i="2"/>
  <c r="Z311" i="8"/>
  <c r="Z296" i="8"/>
  <c r="Z294" i="8"/>
  <c r="Z566" i="8"/>
  <c r="Z293" i="8"/>
  <c r="Z309" i="8"/>
  <c r="X51" i="2"/>
  <c r="X44" i="2"/>
  <c r="X328" i="2"/>
  <c r="X89" i="2"/>
  <c r="X30" i="2"/>
  <c r="X11" i="2"/>
  <c r="Z366" i="8"/>
  <c r="X19" i="2"/>
  <c r="X29" i="2"/>
  <c r="Z327" i="8"/>
  <c r="Z312" i="8"/>
  <c r="Z326" i="8"/>
  <c r="Z610" i="8"/>
  <c r="Z333" i="8"/>
  <c r="X127" i="2"/>
  <c r="X84" i="2"/>
  <c r="X13" i="2"/>
  <c r="X329" i="2"/>
  <c r="X14" i="2"/>
  <c r="Z371" i="8"/>
  <c r="Z611" i="8"/>
  <c r="X88" i="2"/>
  <c r="Z648" i="8"/>
  <c r="Z674" i="8"/>
  <c r="Z746" i="8"/>
  <c r="Z735" i="8"/>
  <c r="Z796" i="8"/>
  <c r="Z763" i="8"/>
  <c r="Z697" i="8"/>
  <c r="Z785" i="8"/>
  <c r="Z708" i="8"/>
  <c r="Z683" i="8"/>
  <c r="Z770" i="8"/>
  <c r="Z826" i="8"/>
  <c r="Z827" i="8"/>
  <c r="X75" i="3"/>
  <c r="X147" i="3"/>
  <c r="X203" i="3"/>
  <c r="X52" i="3"/>
  <c r="X124" i="3"/>
  <c r="X200" i="3"/>
  <c r="X61" i="3"/>
  <c r="X137" i="3"/>
  <c r="X173" i="3"/>
  <c r="X15" i="3"/>
  <c r="X38" i="3"/>
  <c r="X50" i="3"/>
  <c r="X134" i="3"/>
  <c r="Z773" i="8"/>
  <c r="Z791" i="8"/>
  <c r="X171" i="3"/>
  <c r="X37" i="3"/>
  <c r="X205" i="3"/>
  <c r="X86" i="3"/>
  <c r="Z660" i="8"/>
  <c r="Z686" i="8"/>
  <c r="Z631" i="8"/>
  <c r="Z756" i="8"/>
  <c r="Z812" i="8"/>
  <c r="Z787" i="8"/>
  <c r="Z711" i="8"/>
  <c r="Z793" i="8"/>
  <c r="Z795" i="8"/>
  <c r="Z699" i="8"/>
  <c r="Z794" i="8"/>
  <c r="Z834" i="8"/>
  <c r="X79" i="3"/>
  <c r="X151" i="3"/>
  <c r="X219" i="3"/>
  <c r="X64" i="3"/>
  <c r="X148" i="3"/>
  <c r="X204" i="3"/>
  <c r="X77" i="3"/>
  <c r="X141" i="3"/>
  <c r="X177" i="3"/>
  <c r="X190" i="3"/>
  <c r="X150" i="3"/>
  <c r="X214" i="3"/>
  <c r="Z710" i="8"/>
  <c r="Z780" i="8"/>
  <c r="Z637" i="8"/>
  <c r="Z841" i="8"/>
  <c r="Z745" i="8"/>
  <c r="X17" i="3"/>
  <c r="X180" i="3"/>
  <c r="X113" i="3"/>
  <c r="X158" i="3"/>
  <c r="Z668" i="8"/>
  <c r="Z698" i="8"/>
  <c r="Z659" i="8"/>
  <c r="Z772" i="8"/>
  <c r="Z836" i="8"/>
  <c r="Z799" i="8"/>
  <c r="Z769" i="8"/>
  <c r="Z825" i="8"/>
  <c r="Z819" i="8"/>
  <c r="Z733" i="8"/>
  <c r="Z802" i="8"/>
  <c r="Z759" i="8"/>
  <c r="X111" i="3"/>
  <c r="X163" i="3"/>
  <c r="X9" i="3"/>
  <c r="X76" i="3"/>
  <c r="X172" i="3"/>
  <c r="X212" i="3"/>
  <c r="X89" i="3"/>
  <c r="X165" i="3"/>
  <c r="X197" i="3"/>
  <c r="X218" i="3"/>
  <c r="X174" i="3"/>
  <c r="X26" i="3"/>
  <c r="Z672" i="8"/>
  <c r="Z701" i="8"/>
  <c r="Z840" i="8"/>
  <c r="Z639" i="8"/>
  <c r="Z822" i="8"/>
  <c r="X123" i="3"/>
  <c r="X88" i="3"/>
  <c r="X169" i="3"/>
  <c r="X46" i="3"/>
  <c r="Z279" i="8"/>
  <c r="Z106" i="8"/>
  <c r="Z126" i="8"/>
  <c r="Z61" i="8"/>
  <c r="Z157" i="8"/>
  <c r="B27" i="5"/>
  <c r="X106" i="1"/>
  <c r="X126" i="1"/>
  <c r="X157" i="1"/>
  <c r="X61" i="1"/>
  <c r="X279" i="1"/>
  <c r="AF15" i="8" l="1"/>
  <c r="X16" i="8"/>
  <c r="X298" i="8"/>
  <c r="AF297" i="8"/>
  <c r="X638" i="8"/>
  <c r="AF637" i="8"/>
  <c r="Z235" i="8"/>
  <c r="Z98" i="8"/>
  <c r="Z122" i="8"/>
  <c r="B29" i="5"/>
  <c r="X98" i="1"/>
  <c r="X122" i="1"/>
  <c r="X235" i="1"/>
  <c r="X299" i="8" l="1"/>
  <c r="AF298" i="8"/>
  <c r="X17" i="8"/>
  <c r="AF16" i="8"/>
  <c r="X639" i="8"/>
  <c r="AF638" i="8"/>
  <c r="Z203" i="8"/>
  <c r="Z120" i="8"/>
  <c r="Z102" i="8"/>
  <c r="B30" i="5"/>
  <c r="X102" i="1"/>
  <c r="X203" i="1"/>
  <c r="X120" i="1"/>
  <c r="AF17" i="8" l="1"/>
  <c r="X18" i="8"/>
  <c r="X640" i="8"/>
  <c r="AF639" i="8"/>
  <c r="X300" i="8"/>
  <c r="AF299" i="8"/>
  <c r="Z107" i="8"/>
  <c r="Z119" i="8"/>
  <c r="Z141" i="8"/>
  <c r="B31" i="5"/>
  <c r="X141" i="1"/>
  <c r="X107" i="1"/>
  <c r="X119" i="1"/>
  <c r="X641" i="8" l="1"/>
  <c r="AF640" i="8"/>
  <c r="X19" i="8"/>
  <c r="AF18" i="8"/>
  <c r="X301" i="8"/>
  <c r="AF300" i="8"/>
  <c r="Z124" i="8"/>
  <c r="Z173" i="8"/>
  <c r="B33" i="5"/>
  <c r="X173" i="1"/>
  <c r="X124" i="1"/>
  <c r="X302" i="8" l="1"/>
  <c r="AF301" i="8"/>
  <c r="AF19" i="8"/>
  <c r="X20" i="8"/>
  <c r="X642" i="8"/>
  <c r="AF641" i="8"/>
  <c r="B52" i="5"/>
  <c r="Z284" i="8" s="1"/>
  <c r="Z133" i="8"/>
  <c r="B53" i="5"/>
  <c r="Z285" i="8" s="1"/>
  <c r="X2" i="2"/>
  <c r="B36" i="5"/>
  <c r="X133" i="1"/>
  <c r="AF20" i="8" l="1"/>
  <c r="X21" i="8"/>
  <c r="X643" i="8"/>
  <c r="AF642" i="8"/>
  <c r="X303" i="8"/>
  <c r="AF302" i="8"/>
  <c r="Z143" i="8"/>
  <c r="Z144" i="8"/>
  <c r="Z204" i="8"/>
  <c r="X3" i="2"/>
  <c r="B72" i="5"/>
  <c r="Z330" i="8" s="1"/>
  <c r="B47" i="5"/>
  <c r="X144" i="1"/>
  <c r="X204" i="1"/>
  <c r="X143" i="1"/>
  <c r="X304" i="8" l="1"/>
  <c r="AF303" i="8"/>
  <c r="X644" i="8"/>
  <c r="AF643" i="8"/>
  <c r="AF21" i="8"/>
  <c r="X22" i="8"/>
  <c r="Z212" i="8"/>
  <c r="Z260" i="8"/>
  <c r="Z213" i="8"/>
  <c r="B86" i="5"/>
  <c r="X48" i="2"/>
  <c r="B82" i="5"/>
  <c r="B51" i="5"/>
  <c r="Z262" i="8" s="1"/>
  <c r="X212" i="1"/>
  <c r="X213" i="1"/>
  <c r="X260" i="1"/>
  <c r="X23" i="8" l="1"/>
  <c r="AF22" i="8"/>
  <c r="X645" i="8"/>
  <c r="AF644" i="8"/>
  <c r="X305" i="8"/>
  <c r="AF304" i="8"/>
  <c r="Z391" i="8"/>
  <c r="Z460" i="8"/>
  <c r="Z480" i="8"/>
  <c r="Z594" i="8"/>
  <c r="Z387" i="8"/>
  <c r="Z459" i="8"/>
  <c r="Z416" i="8"/>
  <c r="Z390" i="8"/>
  <c r="Z402" i="8"/>
  <c r="Z571" i="8"/>
  <c r="Z441" i="8"/>
  <c r="Z373" i="8"/>
  <c r="Z585" i="8"/>
  <c r="X91" i="2"/>
  <c r="X120" i="2"/>
  <c r="X134" i="2"/>
  <c r="X177" i="2"/>
  <c r="X289" i="2"/>
  <c r="X159" i="2"/>
  <c r="X105" i="2"/>
  <c r="X303" i="2"/>
  <c r="X108" i="2"/>
  <c r="X109" i="2"/>
  <c r="X198" i="2"/>
  <c r="X312" i="2"/>
  <c r="X178" i="2"/>
  <c r="B87" i="5"/>
  <c r="Z392" i="8" s="1"/>
  <c r="X262" i="1"/>
  <c r="X646" i="8" l="1"/>
  <c r="AF645" i="8"/>
  <c r="X306" i="8"/>
  <c r="AF305" i="8"/>
  <c r="X24" i="8"/>
  <c r="AF23" i="8"/>
  <c r="X191" i="3"/>
  <c r="Z813" i="8"/>
  <c r="Z431" i="8"/>
  <c r="Z461" i="8"/>
  <c r="Z613" i="8"/>
  <c r="Z605" i="8"/>
  <c r="Z630" i="8"/>
  <c r="Z800" i="8"/>
  <c r="Z820" i="8"/>
  <c r="Z732" i="8"/>
  <c r="Z673" i="8"/>
  <c r="Z758" i="8"/>
  <c r="Z798" i="8"/>
  <c r="X110" i="2"/>
  <c r="B95" i="5"/>
  <c r="X323" i="2"/>
  <c r="X331" i="2"/>
  <c r="X149" i="2"/>
  <c r="X179" i="2"/>
  <c r="X51" i="3"/>
  <c r="X136" i="3"/>
  <c r="X176" i="3"/>
  <c r="X110" i="3"/>
  <c r="X198" i="3"/>
  <c r="X8" i="3"/>
  <c r="X178" i="3"/>
  <c r="B8" i="6"/>
  <c r="V3" i="4"/>
  <c r="V3" i="3"/>
  <c r="V3" i="2"/>
  <c r="V3" i="1"/>
  <c r="A97" i="3"/>
  <c r="A69" i="3"/>
  <c r="A32" i="3"/>
  <c r="A211" i="3"/>
  <c r="A210" i="3"/>
  <c r="A209" i="3"/>
  <c r="A208" i="3"/>
  <c r="A201" i="3"/>
  <c r="A155" i="3"/>
  <c r="A115" i="3"/>
  <c r="A114" i="3"/>
  <c r="A56" i="3"/>
  <c r="A54" i="3"/>
  <c r="A43" i="3"/>
  <c r="A42" i="3"/>
  <c r="A35" i="3"/>
  <c r="A30" i="3"/>
  <c r="A21" i="3"/>
  <c r="A20" i="3"/>
  <c r="A19" i="3"/>
  <c r="A11" i="3"/>
  <c r="A194" i="3"/>
  <c r="A167" i="3"/>
  <c r="A129" i="3"/>
  <c r="A128" i="3"/>
  <c r="A125" i="3"/>
  <c r="A62" i="3"/>
  <c r="A84" i="3"/>
  <c r="A90" i="3" s="1"/>
  <c r="A316" i="2"/>
  <c r="A302" i="2"/>
  <c r="A298" i="2"/>
  <c r="A280" i="2"/>
  <c r="A206" i="2"/>
  <c r="A190" i="2"/>
  <c r="A181" i="2"/>
  <c r="A83" i="2"/>
  <c r="A68" i="2"/>
  <c r="A257" i="2"/>
  <c r="A165" i="2"/>
  <c r="A182" i="2" s="1"/>
  <c r="A78" i="2"/>
  <c r="A199" i="1"/>
  <c r="A183" i="1"/>
  <c r="A194" i="1" s="1"/>
  <c r="A182" i="1"/>
  <c r="A145" i="1"/>
  <c r="A180" i="1" s="1"/>
  <c r="A201" i="1" s="1"/>
  <c r="A219" i="1" s="1"/>
  <c r="A283" i="1" s="1"/>
  <c r="A48" i="1"/>
  <c r="A55" i="1" s="1"/>
  <c r="A59" i="1" s="1"/>
  <c r="A73" i="1" s="1"/>
  <c r="A75" i="1" s="1"/>
  <c r="A80" i="1" s="1"/>
  <c r="A110" i="1" s="1"/>
  <c r="AE3" i="4" l="1"/>
  <c r="AF3" i="4" s="1"/>
  <c r="AH3" i="4" s="1"/>
  <c r="AJ3" i="4" s="1"/>
  <c r="AD3" i="4"/>
  <c r="AD3" i="3"/>
  <c r="AD3" i="2"/>
  <c r="AD3" i="1"/>
  <c r="X307" i="8"/>
  <c r="AF306" i="8"/>
  <c r="X25" i="8"/>
  <c r="AF24" i="8"/>
  <c r="X647" i="8"/>
  <c r="AF646" i="8"/>
  <c r="Z458" i="8"/>
  <c r="Z469" i="8"/>
  <c r="V4" i="3"/>
  <c r="V4" i="4"/>
  <c r="V4" i="2"/>
  <c r="B96" i="5"/>
  <c r="Z462" i="8" s="1"/>
  <c r="X176" i="2"/>
  <c r="X187" i="2"/>
  <c r="A154" i="3"/>
  <c r="A108" i="3"/>
  <c r="A143" i="3"/>
  <c r="A91" i="3"/>
  <c r="A122" i="3"/>
  <c r="A118" i="3"/>
  <c r="A192" i="2"/>
  <c r="A207" i="2" s="1"/>
  <c r="A234" i="2" s="1"/>
  <c r="A235" i="2" s="1"/>
  <c r="A238" i="2" s="1"/>
  <c r="A239" i="2" s="1"/>
  <c r="A244" i="2" s="1"/>
  <c r="A258" i="2" s="1"/>
  <c r="A279" i="2" s="1"/>
  <c r="A292" i="2" s="1"/>
  <c r="A295" i="2" s="1"/>
  <c r="A339" i="2" s="1"/>
  <c r="A195" i="1"/>
  <c r="A196" i="1" s="1"/>
  <c r="A197" i="1" s="1"/>
  <c r="A244" i="1" s="1"/>
  <c r="A264" i="1" s="1"/>
  <c r="A184" i="1"/>
  <c r="AE4" i="4" l="1"/>
  <c r="AF4" i="4" s="1"/>
  <c r="AH4" i="4" s="1"/>
  <c r="AJ4" i="4" s="1"/>
  <c r="AD4" i="4"/>
  <c r="AD4" i="3"/>
  <c r="AD4" i="2"/>
  <c r="X26" i="8"/>
  <c r="AF25" i="8"/>
  <c r="X648" i="8"/>
  <c r="AF647" i="8"/>
  <c r="X308" i="8"/>
  <c r="AF307" i="8"/>
  <c r="V5" i="3"/>
  <c r="V5" i="4"/>
  <c r="V5" i="2"/>
  <c r="A246" i="1"/>
  <c r="B100" i="5"/>
  <c r="Z503" i="8" s="1"/>
  <c r="X180" i="2"/>
  <c r="A258" i="1"/>
  <c r="A268" i="1" s="1"/>
  <c r="A265" i="1"/>
  <c r="A245" i="1"/>
  <c r="AD5" i="4" l="1"/>
  <c r="AD5" i="3"/>
  <c r="AD5" i="2"/>
  <c r="X649" i="8"/>
  <c r="AF648" i="8"/>
  <c r="X309" i="8"/>
  <c r="AF308" i="8"/>
  <c r="X27" i="8"/>
  <c r="AF26" i="8"/>
  <c r="V6" i="3"/>
  <c r="V6" i="4"/>
  <c r="V6" i="2"/>
  <c r="AD6" i="2" s="1"/>
  <c r="A267" i="1"/>
  <c r="A266" i="1"/>
  <c r="X221" i="2"/>
  <c r="B113" i="5"/>
  <c r="AD6" i="4" l="1"/>
  <c r="AE6" i="4"/>
  <c r="AF6" i="4" s="1"/>
  <c r="AH6" i="4" s="1"/>
  <c r="AJ6" i="4" s="1"/>
  <c r="AD6" i="3"/>
  <c r="AF27" i="8"/>
  <c r="X28" i="8"/>
  <c r="X310" i="8"/>
  <c r="AF309" i="8"/>
  <c r="X650" i="8"/>
  <c r="AF649" i="8"/>
  <c r="Z636" i="8"/>
  <c r="Z656" i="8"/>
  <c r="Z696" i="8"/>
  <c r="Z685" i="8"/>
  <c r="Z661" i="8"/>
  <c r="Z649" i="8"/>
  <c r="Z647" i="8"/>
  <c r="Z707" i="8"/>
  <c r="Z846" i="8"/>
  <c r="X259" i="2"/>
  <c r="Z541" i="8"/>
  <c r="V7" i="3"/>
  <c r="V7" i="4"/>
  <c r="V7" i="2"/>
  <c r="B118" i="5"/>
  <c r="X224" i="3"/>
  <c r="X34" i="3"/>
  <c r="X74" i="3"/>
  <c r="X25" i="3"/>
  <c r="X85" i="3"/>
  <c r="X27" i="3"/>
  <c r="X14" i="3"/>
  <c r="X39" i="3"/>
  <c r="X63" i="3"/>
  <c r="AD7" i="4" l="1"/>
  <c r="AE7" i="4"/>
  <c r="AF7" i="4" s="1"/>
  <c r="AH7" i="4" s="1"/>
  <c r="AJ7" i="4" s="1"/>
  <c r="AE5" i="4"/>
  <c r="AF5" i="4" s="1"/>
  <c r="AH5" i="4" s="1"/>
  <c r="AJ5" i="4" s="1"/>
  <c r="AD7" i="3"/>
  <c r="AD7" i="2"/>
  <c r="X311" i="8"/>
  <c r="AF310" i="8"/>
  <c r="AF28" i="8"/>
  <c r="X29" i="8"/>
  <c r="X651" i="8"/>
  <c r="AF650" i="8"/>
  <c r="X104" i="3"/>
  <c r="Z726" i="8"/>
  <c r="V8" i="3"/>
  <c r="V8" i="4"/>
  <c r="V8" i="2"/>
  <c r="AD8" i="4" l="1"/>
  <c r="AD8" i="3"/>
  <c r="AD8" i="2"/>
  <c r="X652" i="8"/>
  <c r="AF651" i="8"/>
  <c r="AF29" i="8"/>
  <c r="X30" i="8"/>
  <c r="X312" i="8"/>
  <c r="AF311" i="8"/>
  <c r="AH191" i="2"/>
  <c r="AJ191" i="2" s="1"/>
  <c r="V9" i="3"/>
  <c r="V9" i="4"/>
  <c r="V9" i="2"/>
  <c r="AD9" i="4" l="1"/>
  <c r="AD9" i="3"/>
  <c r="AD9" i="2"/>
  <c r="AF30" i="8"/>
  <c r="X31" i="8"/>
  <c r="X313" i="8"/>
  <c r="AG313" i="8" s="1"/>
  <c r="AF312" i="8"/>
  <c r="X653" i="8"/>
  <c r="AF652" i="8"/>
  <c r="V10" i="3"/>
  <c r="V10" i="4"/>
  <c r="V10" i="2"/>
  <c r="AD10" i="4" l="1"/>
  <c r="AD10" i="3"/>
  <c r="AD10" i="2"/>
  <c r="X314" i="8"/>
  <c r="AF313" i="8"/>
  <c r="AH313" i="8"/>
  <c r="AJ313" i="8" s="1"/>
  <c r="AF31" i="8"/>
  <c r="X32" i="8"/>
  <c r="X654" i="8"/>
  <c r="AF653" i="8"/>
  <c r="V11" i="3"/>
  <c r="V11" i="4"/>
  <c r="V11" i="2"/>
  <c r="AD11" i="2" s="1"/>
  <c r="AK313" i="8" l="1"/>
  <c r="AO313" i="8"/>
  <c r="AE11" i="4"/>
  <c r="AF11" i="4" s="1"/>
  <c r="AH11" i="4" s="1"/>
  <c r="AJ11" i="4" s="1"/>
  <c r="AD11" i="4"/>
  <c r="V12" i="3"/>
  <c r="V13" i="3" s="1"/>
  <c r="AD11" i="3"/>
  <c r="AF32" i="8"/>
  <c r="X33" i="8"/>
  <c r="X655" i="8"/>
  <c r="AF654" i="8"/>
  <c r="X315" i="8"/>
  <c r="AF314" i="8"/>
  <c r="V12" i="4"/>
  <c r="V12" i="2"/>
  <c r="AD12" i="4" l="1"/>
  <c r="AD13" i="3"/>
  <c r="AD12" i="3"/>
  <c r="AD12" i="2"/>
  <c r="AF33" i="8"/>
  <c r="X34" i="8"/>
  <c r="X316" i="8"/>
  <c r="AF315" i="8"/>
  <c r="X656" i="8"/>
  <c r="AF655" i="8"/>
  <c r="V14" i="3"/>
  <c r="V13" i="4"/>
  <c r="V13" i="2"/>
  <c r="AE13" i="4" l="1"/>
  <c r="AF13" i="4" s="1"/>
  <c r="AH13" i="4" s="1"/>
  <c r="AJ13" i="4" s="1"/>
  <c r="AD13" i="4"/>
  <c r="AD14" i="3"/>
  <c r="AD13" i="2"/>
  <c r="X317" i="8"/>
  <c r="AF316" i="8"/>
  <c r="AF34" i="8"/>
  <c r="X35" i="8"/>
  <c r="X657" i="8"/>
  <c r="AF656" i="8"/>
  <c r="V15" i="3"/>
  <c r="V14" i="4"/>
  <c r="V14" i="2"/>
  <c r="AD14" i="4" l="1"/>
  <c r="AD15" i="3"/>
  <c r="AD14" i="2"/>
  <c r="X658" i="8"/>
  <c r="AF657" i="8"/>
  <c r="AF35" i="8"/>
  <c r="X36" i="8"/>
  <c r="X318" i="8"/>
  <c r="AF317" i="8"/>
  <c r="V16" i="3"/>
  <c r="V15" i="4"/>
  <c r="V15" i="2"/>
  <c r="AE15" i="4" l="1"/>
  <c r="AF15" i="4" s="1"/>
  <c r="AH15" i="4" s="1"/>
  <c r="AJ15" i="4" s="1"/>
  <c r="AD15" i="4"/>
  <c r="AD16" i="3"/>
  <c r="AD15" i="2"/>
  <c r="X37" i="8"/>
  <c r="AF36" i="8"/>
  <c r="X319" i="8"/>
  <c r="AF318" i="8"/>
  <c r="X659" i="8"/>
  <c r="AF658" i="8"/>
  <c r="V17" i="3"/>
  <c r="V16" i="4"/>
  <c r="V16" i="2"/>
  <c r="AE16" i="4" l="1"/>
  <c r="AF16" i="4" s="1"/>
  <c r="AH16" i="4" s="1"/>
  <c r="AJ16" i="4" s="1"/>
  <c r="AD16" i="4"/>
  <c r="AD17" i="3"/>
  <c r="AD16" i="2"/>
  <c r="X320" i="8"/>
  <c r="AF319" i="8"/>
  <c r="X660" i="8"/>
  <c r="AF659" i="8"/>
  <c r="X38" i="8"/>
  <c r="AF37" i="8"/>
  <c r="V18" i="3"/>
  <c r="V17" i="4"/>
  <c r="V17" i="2"/>
  <c r="AE17" i="4" l="1"/>
  <c r="AF17" i="4" s="1"/>
  <c r="AH17" i="4" s="1"/>
  <c r="AJ17" i="4" s="1"/>
  <c r="AD17" i="4"/>
  <c r="AD18" i="3"/>
  <c r="AD17" i="2"/>
  <c r="AF38" i="8"/>
  <c r="X39" i="8"/>
  <c r="X661" i="8"/>
  <c r="AF660" i="8"/>
  <c r="X321" i="8"/>
  <c r="AF320" i="8"/>
  <c r="V19" i="3"/>
  <c r="V18" i="4"/>
  <c r="V18" i="2"/>
  <c r="AD18" i="4" l="1"/>
  <c r="AD19" i="3"/>
  <c r="AD18" i="2"/>
  <c r="X662" i="8"/>
  <c r="AF661" i="8"/>
  <c r="AF39" i="8"/>
  <c r="X40" i="8"/>
  <c r="X322" i="8"/>
  <c r="AF321" i="8"/>
  <c r="V20" i="3"/>
  <c r="V19" i="4"/>
  <c r="V19" i="2"/>
  <c r="AD19" i="2" s="1"/>
  <c r="AD19" i="4" l="1"/>
  <c r="V21" i="3"/>
  <c r="AD20" i="3"/>
  <c r="X323" i="8"/>
  <c r="AF322" i="8"/>
  <c r="X663" i="8"/>
  <c r="AF662" i="8"/>
  <c r="AF40" i="8"/>
  <c r="X41" i="8"/>
  <c r="V20" i="4"/>
  <c r="V20" i="2"/>
  <c r="AE20" i="4" l="1"/>
  <c r="AF20" i="4" s="1"/>
  <c r="AH20" i="4" s="1"/>
  <c r="AJ20" i="4" s="1"/>
  <c r="AD20" i="4"/>
  <c r="V22" i="3"/>
  <c r="AD21" i="3"/>
  <c r="AD20" i="2"/>
  <c r="X664" i="8"/>
  <c r="AF663" i="8"/>
  <c r="AF41" i="8"/>
  <c r="X42" i="8"/>
  <c r="X324" i="8"/>
  <c r="AF323" i="8"/>
  <c r="V21" i="4"/>
  <c r="V21" i="2"/>
  <c r="AE21" i="4" l="1"/>
  <c r="AF21" i="4" s="1"/>
  <c r="AH21" i="4" s="1"/>
  <c r="AJ21" i="4" s="1"/>
  <c r="AD21" i="4"/>
  <c r="AD22" i="3"/>
  <c r="V23" i="3"/>
  <c r="AD21" i="2"/>
  <c r="X325" i="8"/>
  <c r="AF324" i="8"/>
  <c r="X43" i="8"/>
  <c r="AF42" i="8"/>
  <c r="X665" i="8"/>
  <c r="AF664" i="8"/>
  <c r="V22" i="4"/>
  <c r="V22" i="2"/>
  <c r="AD22" i="4" l="1"/>
  <c r="AD23" i="3"/>
  <c r="V24" i="3"/>
  <c r="AD22" i="2"/>
  <c r="AF43" i="8"/>
  <c r="X44" i="8"/>
  <c r="X666" i="8"/>
  <c r="AF665" i="8"/>
  <c r="X326" i="8"/>
  <c r="AF325" i="8"/>
  <c r="V23" i="4"/>
  <c r="V23" i="2"/>
  <c r="AD23" i="2" s="1"/>
  <c r="AE23" i="4" l="1"/>
  <c r="AF23" i="4" s="1"/>
  <c r="AH23" i="4" s="1"/>
  <c r="AJ23" i="4" s="1"/>
  <c r="AD23" i="4"/>
  <c r="AD24" i="3"/>
  <c r="V25" i="3"/>
  <c r="X327" i="8"/>
  <c r="AF326" i="8"/>
  <c r="X45" i="8"/>
  <c r="AF44" i="8"/>
  <c r="X667" i="8"/>
  <c r="AF666" i="8"/>
  <c r="V24" i="4"/>
  <c r="V24" i="2"/>
  <c r="AD24" i="4" l="1"/>
  <c r="AE12" i="4"/>
  <c r="AF12" i="4" s="1"/>
  <c r="AH12" i="4" s="1"/>
  <c r="AJ12" i="4" s="1"/>
  <c r="AE24" i="4"/>
  <c r="AF24" i="4" s="1"/>
  <c r="AH24" i="4" s="1"/>
  <c r="AJ24" i="4" s="1"/>
  <c r="AD25" i="3"/>
  <c r="V26" i="3"/>
  <c r="AD24" i="2"/>
  <c r="X46" i="8"/>
  <c r="AF45" i="8"/>
  <c r="X668" i="8"/>
  <c r="AF667" i="8"/>
  <c r="X328" i="8"/>
  <c r="AF327" i="8"/>
  <c r="V25" i="4"/>
  <c r="V25" i="2"/>
  <c r="AD25" i="2" s="1"/>
  <c r="AD25" i="4" l="1"/>
  <c r="AD26" i="3"/>
  <c r="V27" i="3"/>
  <c r="X669" i="8"/>
  <c r="AF668" i="8"/>
  <c r="X329" i="8"/>
  <c r="AF328" i="8"/>
  <c r="X47" i="8"/>
  <c r="AF46" i="8"/>
  <c r="V26" i="4"/>
  <c r="V26" i="2"/>
  <c r="AD26" i="4" l="1"/>
  <c r="AD27" i="3"/>
  <c r="V28" i="3"/>
  <c r="AD26" i="2"/>
  <c r="AF47" i="8"/>
  <c r="X48" i="8"/>
  <c r="X330" i="8"/>
  <c r="AF329" i="8"/>
  <c r="X670" i="8"/>
  <c r="AF669" i="8"/>
  <c r="V27" i="4"/>
  <c r="V27" i="2"/>
  <c r="AD27" i="2" s="1"/>
  <c r="AD27" i="4" l="1"/>
  <c r="AE27" i="4"/>
  <c r="AF27" i="4" s="1"/>
  <c r="AH27" i="4" s="1"/>
  <c r="AJ27" i="4" s="1"/>
  <c r="AE18" i="4"/>
  <c r="AF18" i="4" s="1"/>
  <c r="AH18" i="4" s="1"/>
  <c r="AJ18" i="4" s="1"/>
  <c r="V29" i="3"/>
  <c r="AD28" i="3"/>
  <c r="X671" i="8"/>
  <c r="AF670" i="8"/>
  <c r="X331" i="8"/>
  <c r="AF330" i="8"/>
  <c r="X49" i="8"/>
  <c r="AF48" i="8"/>
  <c r="V28" i="4"/>
  <c r="V28" i="2"/>
  <c r="AE28" i="4" l="1"/>
  <c r="AF28" i="4" s="1"/>
  <c r="AH28" i="4" s="1"/>
  <c r="AJ28" i="4" s="1"/>
  <c r="AD28" i="4"/>
  <c r="AD29" i="3"/>
  <c r="V30" i="3"/>
  <c r="AD28" i="2"/>
  <c r="X332" i="8"/>
  <c r="AF331" i="8"/>
  <c r="AF49" i="8"/>
  <c r="X50" i="8"/>
  <c r="X672" i="8"/>
  <c r="AF671" i="8"/>
  <c r="V29" i="4"/>
  <c r="V29" i="2"/>
  <c r="AD29" i="2" s="1"/>
  <c r="AE29" i="4" l="1"/>
  <c r="AF29" i="4" s="1"/>
  <c r="AH29" i="4" s="1"/>
  <c r="AJ29" i="4" s="1"/>
  <c r="AD29" i="4"/>
  <c r="AD30" i="3"/>
  <c r="V31" i="3"/>
  <c r="X673" i="8"/>
  <c r="AF672" i="8"/>
  <c r="AF50" i="8"/>
  <c r="X51" i="8"/>
  <c r="X333" i="8"/>
  <c r="AF332" i="8"/>
  <c r="V30" i="4"/>
  <c r="V30" i="2"/>
  <c r="AD30" i="2" s="1"/>
  <c r="AD30" i="4" l="1"/>
  <c r="AD31" i="3"/>
  <c r="V32" i="3"/>
  <c r="X334" i="8"/>
  <c r="AF333" i="8"/>
  <c r="AF51" i="8"/>
  <c r="X52" i="8"/>
  <c r="X674" i="8"/>
  <c r="AF673" i="8"/>
  <c r="V31" i="4"/>
  <c r="V31" i="2"/>
  <c r="AE31" i="4" l="1"/>
  <c r="AF31" i="4" s="1"/>
  <c r="AH31" i="4" s="1"/>
  <c r="AJ31" i="4" s="1"/>
  <c r="AD31" i="4"/>
  <c r="V33" i="3"/>
  <c r="AD32" i="3"/>
  <c r="AD31" i="2"/>
  <c r="AE31" i="2"/>
  <c r="AF31" i="2" s="1"/>
  <c r="AH31" i="2" s="1"/>
  <c r="AJ31" i="2" s="1"/>
  <c r="X675" i="8"/>
  <c r="AF674" i="8"/>
  <c r="X53" i="8"/>
  <c r="AF52" i="8"/>
  <c r="X335" i="8"/>
  <c r="AF334" i="8"/>
  <c r="V32" i="4"/>
  <c r="V32" i="2"/>
  <c r="AD32" i="4" l="1"/>
  <c r="AD33" i="3"/>
  <c r="V34" i="3"/>
  <c r="AD32" i="2"/>
  <c r="X54" i="8"/>
  <c r="AF53" i="8"/>
  <c r="X336" i="8"/>
  <c r="AF335" i="8"/>
  <c r="X676" i="8"/>
  <c r="AF675" i="8"/>
  <c r="V33" i="4"/>
  <c r="V33" i="2"/>
  <c r="AD33" i="2" s="1"/>
  <c r="AD33" i="4" l="1"/>
  <c r="AE33" i="4"/>
  <c r="AF33" i="4" s="1"/>
  <c r="AH33" i="4" s="1"/>
  <c r="AJ33" i="4" s="1"/>
  <c r="AE14" i="4"/>
  <c r="AF14" i="4" s="1"/>
  <c r="AH14" i="4" s="1"/>
  <c r="AJ14" i="4" s="1"/>
  <c r="AD34" i="3"/>
  <c r="V35" i="3"/>
  <c r="X337" i="8"/>
  <c r="AF336" i="8"/>
  <c r="X677" i="8"/>
  <c r="AF676" i="8"/>
  <c r="AF54" i="8"/>
  <c r="X55" i="8"/>
  <c r="V34" i="4"/>
  <c r="V34" i="2"/>
  <c r="AD34" i="4" l="1"/>
  <c r="AD35" i="3"/>
  <c r="V36" i="3"/>
  <c r="AD34" i="2"/>
  <c r="AF55" i="8"/>
  <c r="X56" i="8"/>
  <c r="X678" i="8"/>
  <c r="AF677" i="8"/>
  <c r="X338" i="8"/>
  <c r="AF337" i="8"/>
  <c r="V35" i="4"/>
  <c r="V35" i="2"/>
  <c r="AD35" i="4" l="1"/>
  <c r="AD36" i="3"/>
  <c r="V37" i="3"/>
  <c r="AD35" i="2"/>
  <c r="X679" i="8"/>
  <c r="AG679" i="8" s="1"/>
  <c r="AF678" i="8"/>
  <c r="X339" i="8"/>
  <c r="AF338" i="8"/>
  <c r="AF56" i="8"/>
  <c r="X57" i="8"/>
  <c r="V36" i="4"/>
  <c r="V36" i="2"/>
  <c r="AE36" i="4" l="1"/>
  <c r="AF36" i="4" s="1"/>
  <c r="AH36" i="4" s="1"/>
  <c r="AJ36" i="4" s="1"/>
  <c r="AD36" i="4"/>
  <c r="AD37" i="3"/>
  <c r="V38" i="3"/>
  <c r="AD36" i="2"/>
  <c r="X340" i="8"/>
  <c r="AF339" i="8"/>
  <c r="AF57" i="8"/>
  <c r="X58" i="8"/>
  <c r="X680" i="8"/>
  <c r="AF679" i="8"/>
  <c r="AH679" i="8"/>
  <c r="AJ679" i="8" s="1"/>
  <c r="V37" i="4"/>
  <c r="V37" i="2"/>
  <c r="AK679" i="8" l="1"/>
  <c r="AO679" i="8"/>
  <c r="AD37" i="4"/>
  <c r="AE37" i="4"/>
  <c r="AF37" i="4" s="1"/>
  <c r="AH37" i="4" s="1"/>
  <c r="AJ37" i="4" s="1"/>
  <c r="AE30" i="4"/>
  <c r="AF30" i="4" s="1"/>
  <c r="AH30" i="4" s="1"/>
  <c r="AJ30" i="4" s="1"/>
  <c r="AD38" i="3"/>
  <c r="V39" i="3"/>
  <c r="AD37" i="2"/>
  <c r="X681" i="8"/>
  <c r="AF680" i="8"/>
  <c r="AF58" i="8"/>
  <c r="X59" i="8"/>
  <c r="X341" i="8"/>
  <c r="AF340" i="8"/>
  <c r="V38" i="4"/>
  <c r="V38" i="2"/>
  <c r="AD38" i="4" l="1"/>
  <c r="AE32" i="4"/>
  <c r="AF32" i="4" s="1"/>
  <c r="AH32" i="4" s="1"/>
  <c r="AJ32" i="4" s="1"/>
  <c r="AE38" i="4"/>
  <c r="AF38" i="4" s="1"/>
  <c r="AH38" i="4" s="1"/>
  <c r="AJ38" i="4" s="1"/>
  <c r="AD39" i="3"/>
  <c r="V40" i="3"/>
  <c r="AD38" i="2"/>
  <c r="X342" i="8"/>
  <c r="AF341" i="8"/>
  <c r="AF59" i="8"/>
  <c r="X60" i="8"/>
  <c r="X682" i="8"/>
  <c r="AF681" i="8"/>
  <c r="V39" i="4"/>
  <c r="V39" i="2"/>
  <c r="AE39" i="4" l="1"/>
  <c r="AF39" i="4" s="1"/>
  <c r="AH39" i="4" s="1"/>
  <c r="AJ39" i="4" s="1"/>
  <c r="AD39" i="4"/>
  <c r="AD40" i="3"/>
  <c r="V41" i="3"/>
  <c r="AD39" i="2"/>
  <c r="X683" i="8"/>
  <c r="AF682" i="8"/>
  <c r="AF60" i="8"/>
  <c r="X61" i="8"/>
  <c r="X343" i="8"/>
  <c r="AF342" i="8"/>
  <c r="V40" i="4"/>
  <c r="V40" i="2"/>
  <c r="AD40" i="2" s="1"/>
  <c r="AD40" i="4" l="1"/>
  <c r="AD41" i="3"/>
  <c r="V42" i="3"/>
  <c r="X344" i="8"/>
  <c r="AF343" i="8"/>
  <c r="AF61" i="8"/>
  <c r="X62" i="8"/>
  <c r="X684" i="8"/>
  <c r="AF683" i="8"/>
  <c r="V41" i="4"/>
  <c r="V41" i="2"/>
  <c r="AD41" i="2" s="1"/>
  <c r="AE41" i="4" l="1"/>
  <c r="AF41" i="4" s="1"/>
  <c r="AH41" i="4" s="1"/>
  <c r="AJ41" i="4" s="1"/>
  <c r="AD41" i="4"/>
  <c r="AD42" i="3"/>
  <c r="V43" i="3"/>
  <c r="AF62" i="8"/>
  <c r="X63" i="8"/>
  <c r="X685" i="8"/>
  <c r="AF684" i="8"/>
  <c r="X345" i="8"/>
  <c r="AF344" i="8"/>
  <c r="V42" i="4"/>
  <c r="V42" i="2"/>
  <c r="AD42" i="2" s="1"/>
  <c r="AD42" i="4" l="1"/>
  <c r="AE42" i="4"/>
  <c r="AF42" i="4" s="1"/>
  <c r="AH42" i="4" s="1"/>
  <c r="AJ42" i="4" s="1"/>
  <c r="V44" i="3"/>
  <c r="AD43" i="3"/>
  <c r="X686" i="8"/>
  <c r="AF685" i="8"/>
  <c r="AF63" i="8"/>
  <c r="X64" i="8"/>
  <c r="X346" i="8"/>
  <c r="AF345" i="8"/>
  <c r="V43" i="4"/>
  <c r="V43" i="2"/>
  <c r="AD43" i="2" s="1"/>
  <c r="AD43" i="4" l="1"/>
  <c r="AD44" i="3"/>
  <c r="V45" i="3"/>
  <c r="X347" i="8"/>
  <c r="AF346" i="8"/>
  <c r="AF64" i="8"/>
  <c r="X65" i="8"/>
  <c r="X687" i="8"/>
  <c r="AF686" i="8"/>
  <c r="V44" i="4"/>
  <c r="V44" i="2"/>
  <c r="AD44" i="2" s="1"/>
  <c r="AD44" i="4" l="1"/>
  <c r="AD45" i="3"/>
  <c r="V46" i="3"/>
  <c r="AF65" i="8"/>
  <c r="X66" i="8"/>
  <c r="X688" i="8"/>
  <c r="AF687" i="8"/>
  <c r="X348" i="8"/>
  <c r="AF347" i="8"/>
  <c r="V45" i="4"/>
  <c r="V45" i="2"/>
  <c r="AD45" i="2" s="1"/>
  <c r="AD45" i="4" l="1"/>
  <c r="AD46" i="3"/>
  <c r="V47" i="3"/>
  <c r="X349" i="8"/>
  <c r="AF348" i="8"/>
  <c r="X689" i="8"/>
  <c r="AF688" i="8"/>
  <c r="X67" i="8"/>
  <c r="AF66" i="8"/>
  <c r="V46" i="4"/>
  <c r="V46" i="2"/>
  <c r="AD46" i="4" l="1"/>
  <c r="AE46" i="4"/>
  <c r="AF46" i="4" s="1"/>
  <c r="AH46" i="4" s="1"/>
  <c r="AJ46" i="4" s="1"/>
  <c r="AD47" i="3"/>
  <c r="V48" i="3"/>
  <c r="AD46" i="2"/>
  <c r="X350" i="8"/>
  <c r="AF349" i="8"/>
  <c r="X690" i="8"/>
  <c r="AF689" i="8"/>
  <c r="X68" i="8"/>
  <c r="AF67" i="8"/>
  <c r="V47" i="4"/>
  <c r="V47" i="2"/>
  <c r="AD47" i="4" l="1"/>
  <c r="AD48" i="3"/>
  <c r="V49" i="3"/>
  <c r="AD47" i="2"/>
  <c r="X69" i="8"/>
  <c r="AF68" i="8"/>
  <c r="X351" i="8"/>
  <c r="AF350" i="8"/>
  <c r="X691" i="8"/>
  <c r="AF690" i="8"/>
  <c r="V48" i="4"/>
  <c r="V48" i="2"/>
  <c r="AD48" i="4" l="1"/>
  <c r="AD49" i="3"/>
  <c r="V50" i="3"/>
  <c r="AD48" i="2"/>
  <c r="AF69" i="8"/>
  <c r="X70" i="8"/>
  <c r="X352" i="8"/>
  <c r="AF351" i="8"/>
  <c r="X692" i="8"/>
  <c r="AF691" i="8"/>
  <c r="V49" i="4"/>
  <c r="V49" i="2"/>
  <c r="AE49" i="4" l="1"/>
  <c r="AF49" i="4" s="1"/>
  <c r="AH49" i="4" s="1"/>
  <c r="AJ49" i="4" s="1"/>
  <c r="AD49" i="4"/>
  <c r="V51" i="3"/>
  <c r="AD50" i="3"/>
  <c r="AD49" i="2"/>
  <c r="X693" i="8"/>
  <c r="AF692" i="8"/>
  <c r="X353" i="8"/>
  <c r="AG353" i="8" s="1"/>
  <c r="AF352" i="8"/>
  <c r="AF70" i="8"/>
  <c r="X71" i="8"/>
  <c r="V50" i="4"/>
  <c r="V50" i="2"/>
  <c r="AD50" i="2" s="1"/>
  <c r="AD50" i="4" l="1"/>
  <c r="AE35" i="4"/>
  <c r="AF35" i="4" s="1"/>
  <c r="AH35" i="4" s="1"/>
  <c r="AJ35" i="4" s="1"/>
  <c r="AE50" i="4"/>
  <c r="AF50" i="4" s="1"/>
  <c r="AH50" i="4" s="1"/>
  <c r="AJ50" i="4" s="1"/>
  <c r="V52" i="3"/>
  <c r="AD51" i="3"/>
  <c r="AF71" i="8"/>
  <c r="X72" i="8"/>
  <c r="X354" i="8"/>
  <c r="AF353" i="8"/>
  <c r="AH353" i="8"/>
  <c r="AJ353" i="8" s="1"/>
  <c r="X694" i="8"/>
  <c r="AF693" i="8"/>
  <c r="V51" i="4"/>
  <c r="V51" i="2"/>
  <c r="AK353" i="8" l="1"/>
  <c r="AO353" i="8"/>
  <c r="AD51" i="4"/>
  <c r="V53" i="3"/>
  <c r="AD52" i="3"/>
  <c r="AD51" i="2"/>
  <c r="X355" i="8"/>
  <c r="AF354" i="8"/>
  <c r="AF72" i="8"/>
  <c r="X73" i="8"/>
  <c r="X695" i="8"/>
  <c r="AF694" i="8"/>
  <c r="V52" i="4"/>
  <c r="V52" i="2"/>
  <c r="AD52" i="2" s="1"/>
  <c r="AE52" i="4" l="1"/>
  <c r="AF52" i="4" s="1"/>
  <c r="AH52" i="4" s="1"/>
  <c r="AJ52" i="4" s="1"/>
  <c r="AD52" i="4"/>
  <c r="AD53" i="3"/>
  <c r="V54" i="3"/>
  <c r="X696" i="8"/>
  <c r="AF695" i="8"/>
  <c r="AF73" i="8"/>
  <c r="X74" i="8"/>
  <c r="X356" i="8"/>
  <c r="AF355" i="8"/>
  <c r="V53" i="4"/>
  <c r="V53" i="2"/>
  <c r="AD53" i="2" s="1"/>
  <c r="AD53" i="4" l="1"/>
  <c r="AE53" i="4"/>
  <c r="AF53" i="4" s="1"/>
  <c r="AH53" i="4" s="1"/>
  <c r="AJ53" i="4" s="1"/>
  <c r="AE10" i="4"/>
  <c r="AF10" i="4" s="1"/>
  <c r="AH10" i="4" s="1"/>
  <c r="AJ10" i="4" s="1"/>
  <c r="V55" i="3"/>
  <c r="AD54" i="3"/>
  <c r="X75" i="8"/>
  <c r="AF74" i="8"/>
  <c r="X357" i="8"/>
  <c r="AF356" i="8"/>
  <c r="X697" i="8"/>
  <c r="AF696" i="8"/>
  <c r="V54" i="4"/>
  <c r="V54" i="2"/>
  <c r="AD54" i="4" l="1"/>
  <c r="V56" i="3"/>
  <c r="AD55" i="3"/>
  <c r="AD54" i="2"/>
  <c r="X358" i="8"/>
  <c r="AF357" i="8"/>
  <c r="X698" i="8"/>
  <c r="AF697" i="8"/>
  <c r="X76" i="8"/>
  <c r="AF75" i="8"/>
  <c r="V55" i="4"/>
  <c r="V55" i="2"/>
  <c r="AE55" i="4" l="1"/>
  <c r="AF55" i="4" s="1"/>
  <c r="AH55" i="4" s="1"/>
  <c r="AJ55" i="4" s="1"/>
  <c r="AD55" i="4"/>
  <c r="V57" i="3"/>
  <c r="AD56" i="3"/>
  <c r="AD55" i="2"/>
  <c r="X699" i="8"/>
  <c r="AF698" i="8"/>
  <c r="AF76" i="8"/>
  <c r="X77" i="8"/>
  <c r="X359" i="8"/>
  <c r="AG359" i="8" s="1"/>
  <c r="AF358" i="8"/>
  <c r="V56" i="4"/>
  <c r="V56" i="2"/>
  <c r="AD56" i="4" l="1"/>
  <c r="AE56" i="4"/>
  <c r="AF56" i="4" s="1"/>
  <c r="AH56" i="4" s="1"/>
  <c r="AJ56" i="4" s="1"/>
  <c r="AE34" i="4"/>
  <c r="AF34" i="4" s="1"/>
  <c r="AH34" i="4" s="1"/>
  <c r="AJ34" i="4" s="1"/>
  <c r="AD57" i="3"/>
  <c r="AE57" i="3"/>
  <c r="AF57" i="3" s="1"/>
  <c r="AH57" i="3" s="1"/>
  <c r="AJ57" i="3" s="1"/>
  <c r="V58" i="3"/>
  <c r="AD56" i="2"/>
  <c r="AF77" i="8"/>
  <c r="X78" i="8"/>
  <c r="X360" i="8"/>
  <c r="AF359" i="8"/>
  <c r="AH359" i="8"/>
  <c r="AJ359" i="8" s="1"/>
  <c r="X700" i="8"/>
  <c r="AF699" i="8"/>
  <c r="V57" i="4"/>
  <c r="V57" i="2"/>
  <c r="AK359" i="8" l="1"/>
  <c r="AO359" i="8"/>
  <c r="AD57" i="4"/>
  <c r="AD58" i="3"/>
  <c r="V59" i="3"/>
  <c r="AD57" i="2"/>
  <c r="X361" i="8"/>
  <c r="AF360" i="8"/>
  <c r="X701" i="8"/>
  <c r="AF700" i="8"/>
  <c r="X79" i="8"/>
  <c r="AF78" i="8"/>
  <c r="V58" i="4"/>
  <c r="V58" i="2"/>
  <c r="AD58" i="4" l="1"/>
  <c r="AD59" i="3"/>
  <c r="V60" i="3"/>
  <c r="AD58" i="2"/>
  <c r="X702" i="8"/>
  <c r="AF701" i="8"/>
  <c r="AF79" i="8"/>
  <c r="X80" i="8"/>
  <c r="X362" i="8"/>
  <c r="AF361" i="8"/>
  <c r="V59" i="4"/>
  <c r="V59" i="2"/>
  <c r="AD59" i="4" l="1"/>
  <c r="AD60" i="3"/>
  <c r="V61" i="3"/>
  <c r="AD59" i="2"/>
  <c r="X81" i="8"/>
  <c r="AF80" i="8"/>
  <c r="X363" i="8"/>
  <c r="AF362" i="8"/>
  <c r="X703" i="8"/>
  <c r="AF702" i="8"/>
  <c r="V60" i="4"/>
  <c r="V60" i="2"/>
  <c r="AD60" i="4" l="1"/>
  <c r="AE60" i="4"/>
  <c r="AF60" i="4" s="1"/>
  <c r="AH60" i="4" s="1"/>
  <c r="AJ60" i="4" s="1"/>
  <c r="AE9" i="4"/>
  <c r="AF9" i="4" s="1"/>
  <c r="AH9" i="4" s="1"/>
  <c r="AJ9" i="4" s="1"/>
  <c r="AD61" i="3"/>
  <c r="V62" i="3"/>
  <c r="AD60" i="2"/>
  <c r="X364" i="8"/>
  <c r="AF363" i="8"/>
  <c r="X704" i="8"/>
  <c r="AF703" i="8"/>
  <c r="X82" i="8"/>
  <c r="AF81" i="8"/>
  <c r="V61" i="4"/>
  <c r="V61" i="2"/>
  <c r="AD61" i="2" s="1"/>
  <c r="AD61" i="4" l="1"/>
  <c r="AE61" i="4"/>
  <c r="AF61" i="4" s="1"/>
  <c r="AE45" i="4"/>
  <c r="AF45" i="4" s="1"/>
  <c r="AH45" i="4" s="1"/>
  <c r="AJ45" i="4" s="1"/>
  <c r="AE43" i="4"/>
  <c r="AF43" i="4" s="1"/>
  <c r="AH43" i="4" s="1"/>
  <c r="AJ43" i="4" s="1"/>
  <c r="AE40" i="4"/>
  <c r="AF40" i="4" s="1"/>
  <c r="AD62" i="3"/>
  <c r="V63" i="3"/>
  <c r="X705" i="8"/>
  <c r="AF704" i="8"/>
  <c r="X83" i="8"/>
  <c r="AF82" i="8"/>
  <c r="X365" i="8"/>
  <c r="AF364" i="8"/>
  <c r="AH40" i="4"/>
  <c r="AJ40" i="4" s="1"/>
  <c r="AH61" i="4"/>
  <c r="AJ61" i="4" s="1"/>
  <c r="V62" i="4"/>
  <c r="V62" i="2"/>
  <c r="AD62" i="2" s="1"/>
  <c r="AD62" i="4" l="1"/>
  <c r="AD63" i="3"/>
  <c r="V64" i="3"/>
  <c r="X84" i="8"/>
  <c r="AF83" i="8"/>
  <c r="X366" i="8"/>
  <c r="AF365" i="8"/>
  <c r="X706" i="8"/>
  <c r="AF705" i="8"/>
  <c r="V63" i="4"/>
  <c r="V63" i="2"/>
  <c r="AD63" i="4" l="1"/>
  <c r="AD64" i="3"/>
  <c r="V65" i="3"/>
  <c r="AD63" i="2"/>
  <c r="X367" i="8"/>
  <c r="AF366" i="8"/>
  <c r="X707" i="8"/>
  <c r="AF706" i="8"/>
  <c r="X85" i="8"/>
  <c r="AF84" i="8"/>
  <c r="V64" i="4"/>
  <c r="V64" i="2"/>
  <c r="AD64" i="2" s="1"/>
  <c r="AD64" i="4" l="1"/>
  <c r="AE48" i="4"/>
  <c r="AF48" i="4" s="1"/>
  <c r="AH48" i="4" s="1"/>
  <c r="AJ48" i="4" s="1"/>
  <c r="AE64" i="4"/>
  <c r="AF64" i="4" s="1"/>
  <c r="AH64" i="4" s="1"/>
  <c r="AJ64" i="4" s="1"/>
  <c r="V66" i="3"/>
  <c r="AD65" i="3"/>
  <c r="X708" i="8"/>
  <c r="AF707" i="8"/>
  <c r="X86" i="8"/>
  <c r="AF85" i="8"/>
  <c r="X368" i="8"/>
  <c r="AF367" i="8"/>
  <c r="V65" i="4"/>
  <c r="V65" i="2"/>
  <c r="AD65" i="4" l="1"/>
  <c r="AD66" i="3"/>
  <c r="V67" i="3"/>
  <c r="AD65" i="2"/>
  <c r="AF86" i="8"/>
  <c r="X87" i="8"/>
  <c r="X369" i="8"/>
  <c r="AF368" i="8"/>
  <c r="X709" i="8"/>
  <c r="AF708" i="8"/>
  <c r="V66" i="4"/>
  <c r="V66" i="2"/>
  <c r="AD66" i="2" s="1"/>
  <c r="V67" i="4" l="1"/>
  <c r="AD66" i="4"/>
  <c r="V68" i="3"/>
  <c r="AD67" i="3"/>
  <c r="X710" i="8"/>
  <c r="AF709" i="8"/>
  <c r="X370" i="8"/>
  <c r="AF369" i="8"/>
  <c r="AF87" i="8"/>
  <c r="X88" i="8"/>
  <c r="V68" i="4"/>
  <c r="V67" i="2"/>
  <c r="AD67" i="2" s="1"/>
  <c r="AD68" i="4" l="1"/>
  <c r="AE68" i="4"/>
  <c r="AF68" i="4" s="1"/>
  <c r="AH68" i="4" s="1"/>
  <c r="AJ68" i="4" s="1"/>
  <c r="AE57" i="4"/>
  <c r="AF57" i="4" s="1"/>
  <c r="AH57" i="4" s="1"/>
  <c r="AJ57" i="4" s="1"/>
  <c r="AE62" i="4"/>
  <c r="AF62" i="4" s="1"/>
  <c r="AH62" i="4" s="1"/>
  <c r="AJ62" i="4" s="1"/>
  <c r="AD67" i="4"/>
  <c r="AD68" i="3"/>
  <c r="V69" i="3"/>
  <c r="X371" i="8"/>
  <c r="AF370" i="8"/>
  <c r="AF88" i="8"/>
  <c r="X89" i="8"/>
  <c r="X711" i="8"/>
  <c r="AF710" i="8"/>
  <c r="V69" i="4"/>
  <c r="V68" i="2"/>
  <c r="AD69" i="4" l="1"/>
  <c r="AD69" i="3"/>
  <c r="V70" i="3"/>
  <c r="AD68" i="2"/>
  <c r="X712" i="8"/>
  <c r="AF711" i="8"/>
  <c r="AF89" i="8"/>
  <c r="X90" i="8"/>
  <c r="X372" i="8"/>
  <c r="AF371" i="8"/>
  <c r="V70" i="4"/>
  <c r="V69" i="2"/>
  <c r="AD70" i="4" l="1"/>
  <c r="AD70" i="3"/>
  <c r="V71" i="3"/>
  <c r="AD69" i="2"/>
  <c r="X91" i="8"/>
  <c r="AF90" i="8"/>
  <c r="X373" i="8"/>
  <c r="AF372" i="8"/>
  <c r="X713" i="8"/>
  <c r="AF712" i="8"/>
  <c r="V71" i="4"/>
  <c r="V70" i="2"/>
  <c r="AD71" i="4" l="1"/>
  <c r="V72" i="3"/>
  <c r="AD71" i="3"/>
  <c r="AD70" i="2"/>
  <c r="X714" i="8"/>
  <c r="AF713" i="8"/>
  <c r="X374" i="8"/>
  <c r="AF373" i="8"/>
  <c r="X92" i="8"/>
  <c r="AF91" i="8"/>
  <c r="V72" i="4"/>
  <c r="V71" i="2"/>
  <c r="AD72" i="4" l="1"/>
  <c r="AE51" i="4"/>
  <c r="AF51" i="4" s="1"/>
  <c r="AE72" i="4"/>
  <c r="AF72" i="4" s="1"/>
  <c r="AH72" i="4" s="1"/>
  <c r="AJ72" i="4" s="1"/>
  <c r="AE19" i="4"/>
  <c r="AF19" i="4" s="1"/>
  <c r="AH19" i="4" s="1"/>
  <c r="AJ19" i="4" s="1"/>
  <c r="AE26" i="4"/>
  <c r="AF26" i="4" s="1"/>
  <c r="AH26" i="4" s="1"/>
  <c r="AJ26" i="4" s="1"/>
  <c r="V73" i="3"/>
  <c r="AD72" i="3"/>
  <c r="AD71" i="2"/>
  <c r="AE71" i="2"/>
  <c r="AF71" i="2" s="1"/>
  <c r="AH71" i="2" s="1"/>
  <c r="AJ71" i="2" s="1"/>
  <c r="X375" i="8"/>
  <c r="AF374" i="8"/>
  <c r="X93" i="8"/>
  <c r="AF92" i="8"/>
  <c r="X715" i="8"/>
  <c r="AF714" i="8"/>
  <c r="AH51" i="4"/>
  <c r="AJ51" i="4" s="1"/>
  <c r="V73" i="4"/>
  <c r="V72" i="2"/>
  <c r="AD72" i="2" s="1"/>
  <c r="AD73" i="4" l="1"/>
  <c r="AE73" i="4"/>
  <c r="AF73" i="4" s="1"/>
  <c r="AH73" i="4" s="1"/>
  <c r="AJ73" i="4" s="1"/>
  <c r="AE59" i="4"/>
  <c r="AF59" i="4" s="1"/>
  <c r="AH59" i="4" s="1"/>
  <c r="AJ59" i="4" s="1"/>
  <c r="AE8" i="4"/>
  <c r="AF8" i="4" s="1"/>
  <c r="AH8" i="4" s="1"/>
  <c r="AJ8" i="4" s="1"/>
  <c r="AD73" i="3"/>
  <c r="V74" i="3"/>
  <c r="X94" i="8"/>
  <c r="AF93" i="8"/>
  <c r="X716" i="8"/>
  <c r="AF715" i="8"/>
  <c r="X376" i="8"/>
  <c r="AF375" i="8"/>
  <c r="V74" i="4"/>
  <c r="V73" i="2"/>
  <c r="AD74" i="4" l="1"/>
  <c r="AE74" i="4"/>
  <c r="AF74" i="4" s="1"/>
  <c r="AH74" i="4" s="1"/>
  <c r="AJ74" i="4" s="1"/>
  <c r="AD74" i="3"/>
  <c r="V75" i="3"/>
  <c r="AD73" i="2"/>
  <c r="X717" i="8"/>
  <c r="AF716" i="8"/>
  <c r="X377" i="8"/>
  <c r="AF376" i="8"/>
  <c r="X95" i="8"/>
  <c r="AF94" i="8"/>
  <c r="V75" i="4"/>
  <c r="V74" i="2"/>
  <c r="AD74" i="2" s="1"/>
  <c r="AE75" i="4" l="1"/>
  <c r="AF75" i="4" s="1"/>
  <c r="AH75" i="4" s="1"/>
  <c r="AJ75" i="4" s="1"/>
  <c r="AD75" i="4"/>
  <c r="V76" i="3"/>
  <c r="AD75" i="3"/>
  <c r="X378" i="8"/>
  <c r="AF377" i="8"/>
  <c r="X96" i="8"/>
  <c r="AF95" i="8"/>
  <c r="X718" i="8"/>
  <c r="AF717" i="8"/>
  <c r="V76" i="4"/>
  <c r="V75" i="2"/>
  <c r="AD75" i="2" s="1"/>
  <c r="AD76" i="4" l="1"/>
  <c r="AE67" i="4"/>
  <c r="AF67" i="4" s="1"/>
  <c r="AH67" i="4" s="1"/>
  <c r="AJ67" i="4" s="1"/>
  <c r="AE25" i="4"/>
  <c r="AF25" i="4" s="1"/>
  <c r="AH25" i="4" s="1"/>
  <c r="AJ25" i="4" s="1"/>
  <c r="AE76" i="4"/>
  <c r="AF76" i="4" s="1"/>
  <c r="AH76" i="4" s="1"/>
  <c r="AJ76" i="4" s="1"/>
  <c r="AE47" i="4"/>
  <c r="AF47" i="4" s="1"/>
  <c r="V77" i="3"/>
  <c r="AD76" i="3"/>
  <c r="X719" i="8"/>
  <c r="AG691" i="8" s="1"/>
  <c r="AF718" i="8"/>
  <c r="X97" i="8"/>
  <c r="AF96" i="8"/>
  <c r="X379" i="8"/>
  <c r="AF378" i="8"/>
  <c r="AH47" i="4"/>
  <c r="AJ47" i="4" s="1"/>
  <c r="V77" i="4"/>
  <c r="V76" i="2"/>
  <c r="AD76" i="2" s="1"/>
  <c r="AD77" i="4" l="1"/>
  <c r="AE65" i="4"/>
  <c r="AF65" i="4" s="1"/>
  <c r="AH65" i="4" s="1"/>
  <c r="AJ65" i="4" s="1"/>
  <c r="AE63" i="4"/>
  <c r="AF63" i="4" s="1"/>
  <c r="AE66" i="4"/>
  <c r="AF66" i="4" s="1"/>
  <c r="AH66" i="4" s="1"/>
  <c r="AJ66" i="4" s="1"/>
  <c r="AE77" i="4"/>
  <c r="AF77" i="4" s="1"/>
  <c r="V78" i="3"/>
  <c r="AD77" i="3"/>
  <c r="X98" i="8"/>
  <c r="AF97" i="8"/>
  <c r="X380" i="8"/>
  <c r="AF379" i="8"/>
  <c r="X720" i="8"/>
  <c r="AF719" i="8"/>
  <c r="AH691" i="8"/>
  <c r="AJ691" i="8" s="1"/>
  <c r="AH77" i="4"/>
  <c r="AJ77" i="4" s="1"/>
  <c r="AH63" i="4"/>
  <c r="AJ63" i="4" s="1"/>
  <c r="V78" i="4"/>
  <c r="V77" i="2"/>
  <c r="AK691" i="8" l="1"/>
  <c r="AO691" i="8"/>
  <c r="AD78" i="4"/>
  <c r="AE44" i="4"/>
  <c r="AF44" i="4" s="1"/>
  <c r="AH44" i="4" s="1"/>
  <c r="AJ44" i="4" s="1"/>
  <c r="AE71" i="4"/>
  <c r="AF71" i="4" s="1"/>
  <c r="AH71" i="4" s="1"/>
  <c r="AJ71" i="4" s="1"/>
  <c r="AE78" i="4"/>
  <c r="AF78" i="4" s="1"/>
  <c r="AH78" i="4" s="1"/>
  <c r="AJ78" i="4" s="1"/>
  <c r="V79" i="3"/>
  <c r="AD78" i="3"/>
  <c r="AD77" i="2"/>
  <c r="AE77" i="2"/>
  <c r="AF77" i="2" s="1"/>
  <c r="AH77" i="2" s="1"/>
  <c r="AJ77" i="2" s="1"/>
  <c r="X721" i="8"/>
  <c r="AF720" i="8"/>
  <c r="X381" i="8"/>
  <c r="AF380" i="8"/>
  <c r="AF98" i="8"/>
  <c r="X99" i="8"/>
  <c r="V79" i="4"/>
  <c r="V78" i="2"/>
  <c r="AE79" i="4" l="1"/>
  <c r="AF79" i="4" s="1"/>
  <c r="AH79" i="4" s="1"/>
  <c r="AJ79" i="4" s="1"/>
  <c r="AD79" i="4"/>
  <c r="V80" i="3"/>
  <c r="AD79" i="3"/>
  <c r="AD78" i="2"/>
  <c r="X382" i="8"/>
  <c r="AF381" i="8"/>
  <c r="AF99" i="8"/>
  <c r="X100" i="8"/>
  <c r="X722" i="8"/>
  <c r="AF721" i="8"/>
  <c r="V80" i="4"/>
  <c r="V79" i="2"/>
  <c r="AD79" i="2" s="1"/>
  <c r="AD80" i="4" l="1"/>
  <c r="AE58" i="4"/>
  <c r="AF58" i="4" s="1"/>
  <c r="AE80" i="4"/>
  <c r="AF80" i="4" s="1"/>
  <c r="AE54" i="4"/>
  <c r="AF54" i="4" s="1"/>
  <c r="AH54" i="4" s="1"/>
  <c r="AJ54" i="4" s="1"/>
  <c r="AE2" i="4"/>
  <c r="AF2" i="4" s="1"/>
  <c r="AE22" i="4"/>
  <c r="AF22" i="4" s="1"/>
  <c r="AH22" i="4" s="1"/>
  <c r="AJ22" i="4" s="1"/>
  <c r="AE69" i="4"/>
  <c r="AF69" i="4" s="1"/>
  <c r="AH69" i="4" s="1"/>
  <c r="AJ69" i="4" s="1"/>
  <c r="V81" i="3"/>
  <c r="AD80" i="3"/>
  <c r="X723" i="8"/>
  <c r="AF722" i="8"/>
  <c r="X101" i="8"/>
  <c r="AF100" i="8"/>
  <c r="X383" i="8"/>
  <c r="AF382" i="8"/>
  <c r="AH80" i="4"/>
  <c r="AJ80" i="4" s="1"/>
  <c r="AH58" i="4"/>
  <c r="AJ58" i="4" s="1"/>
  <c r="AH2" i="4"/>
  <c r="AJ2" i="4" s="1"/>
  <c r="V81" i="4"/>
  <c r="V80" i="2"/>
  <c r="AD80" i="2" s="1"/>
  <c r="AD81" i="4" l="1"/>
  <c r="AE81" i="4"/>
  <c r="AF81" i="4" s="1"/>
  <c r="AH81" i="4" s="1"/>
  <c r="AJ81" i="4" s="1"/>
  <c r="AE70" i="4"/>
  <c r="AF70" i="4" s="1"/>
  <c r="AH70" i="4" s="1"/>
  <c r="AJ70" i="4" s="1"/>
  <c r="V82" i="3"/>
  <c r="AD81" i="3"/>
  <c r="X102" i="8"/>
  <c r="AF101" i="8"/>
  <c r="X384" i="8"/>
  <c r="AF383" i="8"/>
  <c r="X724" i="8"/>
  <c r="AF723" i="8"/>
  <c r="V82" i="4"/>
  <c r="V81" i="2"/>
  <c r="AD82" i="4" l="1"/>
  <c r="AE82" i="4"/>
  <c r="AF82" i="4" s="1"/>
  <c r="AH82" i="4" s="1"/>
  <c r="AJ82" i="4" s="1"/>
  <c r="AD82" i="3"/>
  <c r="V83" i="3"/>
  <c r="AD81" i="2"/>
  <c r="X725" i="8"/>
  <c r="AF724" i="8"/>
  <c r="X385" i="8"/>
  <c r="AF384" i="8"/>
  <c r="AF102" i="8"/>
  <c r="X103" i="8"/>
  <c r="V83" i="4"/>
  <c r="V82" i="2"/>
  <c r="AD82" i="2" s="1"/>
  <c r="AE83" i="4" l="1"/>
  <c r="AF83" i="4" s="1"/>
  <c r="AH83" i="4" s="1"/>
  <c r="AJ83" i="4" s="1"/>
  <c r="AD83" i="4"/>
  <c r="V84" i="3"/>
  <c r="AD83" i="3"/>
  <c r="X104" i="8"/>
  <c r="AF103" i="8"/>
  <c r="X386" i="8"/>
  <c r="AF385" i="8"/>
  <c r="X726" i="8"/>
  <c r="AF725" i="8"/>
  <c r="V83" i="2"/>
  <c r="AD84" i="3" l="1"/>
  <c r="V85" i="3"/>
  <c r="AD83" i="2"/>
  <c r="X387" i="8"/>
  <c r="AF386" i="8"/>
  <c r="X727" i="8"/>
  <c r="AF726" i="8"/>
  <c r="AF104" i="8"/>
  <c r="X105" i="8"/>
  <c r="V84" i="2"/>
  <c r="AD84" i="2" s="1"/>
  <c r="AD85" i="3" l="1"/>
  <c r="V86" i="3"/>
  <c r="X728" i="8"/>
  <c r="AF727" i="8"/>
  <c r="X106" i="8"/>
  <c r="AF105" i="8"/>
  <c r="X388" i="8"/>
  <c r="AF387" i="8"/>
  <c r="V85" i="2"/>
  <c r="AD85" i="2" s="1"/>
  <c r="V87" i="3" l="1"/>
  <c r="AD86" i="3"/>
  <c r="AF106" i="8"/>
  <c r="X107" i="8"/>
  <c r="X389" i="8"/>
  <c r="AF388" i="8"/>
  <c r="X729" i="8"/>
  <c r="AF728" i="8"/>
  <c r="V86" i="2"/>
  <c r="AD86" i="2" s="1"/>
  <c r="AD87" i="3" l="1"/>
  <c r="V88" i="3"/>
  <c r="X390" i="8"/>
  <c r="AF389" i="8"/>
  <c r="X730" i="8"/>
  <c r="AF729" i="8"/>
  <c r="AF107" i="8"/>
  <c r="X108" i="8"/>
  <c r="V87" i="2"/>
  <c r="V89" i="3" l="1"/>
  <c r="AD88" i="3"/>
  <c r="AD87" i="2"/>
  <c r="X731" i="8"/>
  <c r="AF730" i="8"/>
  <c r="AF108" i="8"/>
  <c r="X109" i="8"/>
  <c r="X391" i="8"/>
  <c r="AF390" i="8"/>
  <c r="V88" i="2"/>
  <c r="AD88" i="2" s="1"/>
  <c r="V90" i="3" l="1"/>
  <c r="AD89" i="3"/>
  <c r="X110" i="8"/>
  <c r="AF109" i="8"/>
  <c r="X392" i="8"/>
  <c r="AF391" i="8"/>
  <c r="X732" i="8"/>
  <c r="AF731" i="8"/>
  <c r="V89" i="2"/>
  <c r="AD89" i="2" s="1"/>
  <c r="V91" i="3" l="1"/>
  <c r="AD90" i="3"/>
  <c r="X733" i="8"/>
  <c r="AF732" i="8"/>
  <c r="X393" i="8"/>
  <c r="AF392" i="8"/>
  <c r="AF110" i="8"/>
  <c r="X111" i="8"/>
  <c r="V90" i="2"/>
  <c r="V92" i="3" l="1"/>
  <c r="AD91" i="3"/>
  <c r="AD90" i="2"/>
  <c r="X394" i="8"/>
  <c r="AF393" i="8"/>
  <c r="X112" i="8"/>
  <c r="AF111" i="8"/>
  <c r="X734" i="8"/>
  <c r="AF733" i="8"/>
  <c r="V91" i="2"/>
  <c r="V93" i="3" l="1"/>
  <c r="AD92" i="3"/>
  <c r="AD91" i="2"/>
  <c r="X113" i="8"/>
  <c r="AF112" i="8"/>
  <c r="X735" i="8"/>
  <c r="AF734" i="8"/>
  <c r="X395" i="8"/>
  <c r="AF394" i="8"/>
  <c r="V92" i="2"/>
  <c r="AD92" i="2" s="1"/>
  <c r="AD93" i="3" l="1"/>
  <c r="V94" i="3"/>
  <c r="X396" i="8"/>
  <c r="AF395" i="8"/>
  <c r="X736" i="8"/>
  <c r="AF735" i="8"/>
  <c r="X114" i="8"/>
  <c r="AF113" i="8"/>
  <c r="V93" i="2"/>
  <c r="V95" i="3" l="1"/>
  <c r="AD94" i="3"/>
  <c r="AD93" i="2"/>
  <c r="X115" i="8"/>
  <c r="AF114" i="8"/>
  <c r="X737" i="8"/>
  <c r="AF736" i="8"/>
  <c r="X397" i="8"/>
  <c r="AF396" i="8"/>
  <c r="V94" i="2"/>
  <c r="AD94" i="2" s="1"/>
  <c r="AD95" i="3" l="1"/>
  <c r="V96" i="3"/>
  <c r="X116" i="8"/>
  <c r="AF115" i="8"/>
  <c r="X738" i="8"/>
  <c r="AF737" i="8"/>
  <c r="X398" i="8"/>
  <c r="AF397" i="8"/>
  <c r="V95" i="2"/>
  <c r="AD96" i="3" l="1"/>
  <c r="V97" i="3"/>
  <c r="AD95" i="2"/>
  <c r="X739" i="8"/>
  <c r="AF738" i="8"/>
  <c r="X399" i="8"/>
  <c r="AF398" i="8"/>
  <c r="AF116" i="8"/>
  <c r="X117" i="8"/>
  <c r="V96" i="2"/>
  <c r="AD97" i="3" l="1"/>
  <c r="V98" i="3"/>
  <c r="AE69" i="3"/>
  <c r="AF69" i="3" s="1"/>
  <c r="AH69" i="3" s="1"/>
  <c r="AJ69" i="3" s="1"/>
  <c r="AE31" i="3"/>
  <c r="AF31" i="3" s="1"/>
  <c r="AH31" i="3" s="1"/>
  <c r="AJ31" i="3" s="1"/>
  <c r="AE32" i="3"/>
  <c r="AF32" i="3" s="1"/>
  <c r="AH32" i="3" s="1"/>
  <c r="AJ32" i="3" s="1"/>
  <c r="AD96" i="2"/>
  <c r="AF117" i="8"/>
  <c r="X118" i="8"/>
  <c r="X400" i="8"/>
  <c r="AF399" i="8"/>
  <c r="X740" i="8"/>
  <c r="AF739" i="8"/>
  <c r="V97" i="2"/>
  <c r="AD98" i="3" l="1"/>
  <c r="V99" i="3"/>
  <c r="AE2" i="3"/>
  <c r="AF2" i="3" s="1"/>
  <c r="AH2" i="3" s="1"/>
  <c r="AJ2" i="3" s="1"/>
  <c r="AE68" i="3"/>
  <c r="AF68" i="3" s="1"/>
  <c r="AH68" i="3" s="1"/>
  <c r="AJ68" i="3" s="1"/>
  <c r="AE98" i="3"/>
  <c r="AF98" i="3" s="1"/>
  <c r="AH98" i="3" s="1"/>
  <c r="AJ98" i="3" s="1"/>
  <c r="AD97" i="2"/>
  <c r="X401" i="8"/>
  <c r="AF400" i="8"/>
  <c r="AF118" i="8"/>
  <c r="X119" i="8"/>
  <c r="X741" i="8"/>
  <c r="AF740" i="8"/>
  <c r="V98" i="2"/>
  <c r="AD99" i="3" l="1"/>
  <c r="V100" i="3"/>
  <c r="AD98" i="2"/>
  <c r="X120" i="8"/>
  <c r="AF119" i="8"/>
  <c r="X742" i="8"/>
  <c r="AF741" i="8"/>
  <c r="X402" i="8"/>
  <c r="AF401" i="8"/>
  <c r="V99" i="2"/>
  <c r="AD100" i="3" l="1"/>
  <c r="AE100" i="3"/>
  <c r="AF100" i="3" s="1"/>
  <c r="AH100" i="3" s="1"/>
  <c r="AJ100" i="3" s="1"/>
  <c r="V101" i="3"/>
  <c r="AD99" i="2"/>
  <c r="X743" i="8"/>
  <c r="AF742" i="8"/>
  <c r="X403" i="8"/>
  <c r="AF402" i="8"/>
  <c r="AF120" i="8"/>
  <c r="X121" i="8"/>
  <c r="V100" i="2"/>
  <c r="AD101" i="3" l="1"/>
  <c r="V102" i="3"/>
  <c r="AD100" i="2"/>
  <c r="X404" i="8"/>
  <c r="AF403" i="8"/>
  <c r="X122" i="8"/>
  <c r="AF121" i="8"/>
  <c r="X744" i="8"/>
  <c r="AF743" i="8"/>
  <c r="V101" i="2"/>
  <c r="V103" i="3" l="1"/>
  <c r="AD102" i="3"/>
  <c r="AD101" i="2"/>
  <c r="X123" i="8"/>
  <c r="AF122" i="8"/>
  <c r="X745" i="8"/>
  <c r="AF744" i="8"/>
  <c r="X405" i="8"/>
  <c r="AF404" i="8"/>
  <c r="V102" i="2"/>
  <c r="V104" i="3" l="1"/>
  <c r="AD103" i="3"/>
  <c r="AD102" i="2"/>
  <c r="X746" i="8"/>
  <c r="AF745" i="8"/>
  <c r="X406" i="8"/>
  <c r="AF405" i="8"/>
  <c r="X124" i="8"/>
  <c r="AF123" i="8"/>
  <c r="V103" i="2"/>
  <c r="AD103" i="2" s="1"/>
  <c r="AD104" i="3" l="1"/>
  <c r="V105" i="3"/>
  <c r="X125" i="8"/>
  <c r="AF124" i="8"/>
  <c r="X407" i="8"/>
  <c r="AF406" i="8"/>
  <c r="X747" i="8"/>
  <c r="AF746" i="8"/>
  <c r="V104" i="2"/>
  <c r="AD104" i="2" s="1"/>
  <c r="V106" i="3" l="1"/>
  <c r="AD105" i="3"/>
  <c r="X408" i="8"/>
  <c r="AF407" i="8"/>
  <c r="X748" i="8"/>
  <c r="AF747" i="8"/>
  <c r="X126" i="8"/>
  <c r="AF125" i="8"/>
  <c r="V105" i="2"/>
  <c r="V107" i="3" l="1"/>
  <c r="AD106" i="3"/>
  <c r="AD105" i="2"/>
  <c r="X749" i="8"/>
  <c r="AF748" i="8"/>
  <c r="X127" i="8"/>
  <c r="AF126" i="8"/>
  <c r="X409" i="8"/>
  <c r="AF408" i="8"/>
  <c r="V106" i="2"/>
  <c r="AG473" i="8" l="1"/>
  <c r="AH473" i="8" s="1"/>
  <c r="AJ473" i="8" s="1"/>
  <c r="AG749" i="8"/>
  <c r="AH749" i="8" s="1"/>
  <c r="AJ749" i="8" s="1"/>
  <c r="AG34" i="8"/>
  <c r="AH34" i="8" s="1"/>
  <c r="AJ34" i="8" s="1"/>
  <c r="V108" i="3"/>
  <c r="AD107" i="3"/>
  <c r="AD106" i="2"/>
  <c r="X128" i="8"/>
  <c r="AF127" i="8"/>
  <c r="X410" i="8"/>
  <c r="AF409" i="8"/>
  <c r="X750" i="8"/>
  <c r="AF749" i="8"/>
  <c r="V107" i="2"/>
  <c r="AK34" i="8" l="1"/>
  <c r="AO34" i="8"/>
  <c r="AK749" i="8"/>
  <c r="AO749" i="8"/>
  <c r="AK473" i="8"/>
  <c r="AO473" i="8"/>
  <c r="V109" i="3"/>
  <c r="AD108" i="3"/>
  <c r="AD107" i="2"/>
  <c r="AE107" i="2"/>
  <c r="AF107" i="2" s="1"/>
  <c r="AH107" i="2" s="1"/>
  <c r="AJ107" i="2" s="1"/>
  <c r="AE17" i="2"/>
  <c r="AF17" i="2" s="1"/>
  <c r="AH17" i="2" s="1"/>
  <c r="AJ17" i="2" s="1"/>
  <c r="X411" i="8"/>
  <c r="AF410" i="8"/>
  <c r="X751" i="8"/>
  <c r="AF750" i="8"/>
  <c r="AF128" i="8"/>
  <c r="X129" i="8"/>
  <c r="V108" i="2"/>
  <c r="AD108" i="2" s="1"/>
  <c r="V110" i="3" l="1"/>
  <c r="AD109" i="3"/>
  <c r="X752" i="8"/>
  <c r="AF751" i="8"/>
  <c r="X130" i="8"/>
  <c r="AF129" i="8"/>
  <c r="X412" i="8"/>
  <c r="AF411" i="8"/>
  <c r="V109" i="2"/>
  <c r="AD109" i="2" s="1"/>
  <c r="V111" i="3" l="1"/>
  <c r="AD110" i="3"/>
  <c r="X131" i="8"/>
  <c r="AF130" i="8"/>
  <c r="X413" i="8"/>
  <c r="AF412" i="8"/>
  <c r="X753" i="8"/>
  <c r="AF752" i="8"/>
  <c r="V110" i="2"/>
  <c r="AD110" i="2" s="1"/>
  <c r="V112" i="3" l="1"/>
  <c r="AD111" i="3"/>
  <c r="X414" i="8"/>
  <c r="AF413" i="8"/>
  <c r="X754" i="8"/>
  <c r="AF753" i="8"/>
  <c r="X132" i="8"/>
  <c r="AF131" i="8"/>
  <c r="V111" i="2"/>
  <c r="AD111" i="2" s="1"/>
  <c r="V113" i="3" l="1"/>
  <c r="AD112" i="3"/>
  <c r="X755" i="8"/>
  <c r="AF754" i="8"/>
  <c r="X133" i="8"/>
  <c r="AF132" i="8"/>
  <c r="X415" i="8"/>
  <c r="AF414" i="8"/>
  <c r="V112" i="2"/>
  <c r="AD112" i="2" s="1"/>
  <c r="AD113" i="3" l="1"/>
  <c r="V114" i="3"/>
  <c r="X416" i="8"/>
  <c r="AF415" i="8"/>
  <c r="X134" i="8"/>
  <c r="AF133" i="8"/>
  <c r="X756" i="8"/>
  <c r="AF755" i="8"/>
  <c r="V113" i="2"/>
  <c r="AD113" i="2" s="1"/>
  <c r="AG134" i="8" l="1"/>
  <c r="AH134" i="8" s="1"/>
  <c r="AJ134" i="8" s="1"/>
  <c r="AG722" i="8"/>
  <c r="AH722" i="8" s="1"/>
  <c r="AJ722" i="8" s="1"/>
  <c r="V115" i="3"/>
  <c r="AD114" i="3"/>
  <c r="AF134" i="8"/>
  <c r="X135" i="8"/>
  <c r="X757" i="8"/>
  <c r="AF756" i="8"/>
  <c r="X417" i="8"/>
  <c r="AF416" i="8"/>
  <c r="V114" i="2"/>
  <c r="AD114" i="2" s="1"/>
  <c r="AK722" i="8" l="1"/>
  <c r="AO722" i="8"/>
  <c r="AK134" i="8"/>
  <c r="AO134" i="8"/>
  <c r="V116" i="3"/>
  <c r="AD115" i="3"/>
  <c r="X758" i="8"/>
  <c r="AF757" i="8"/>
  <c r="AF135" i="8"/>
  <c r="X136" i="8"/>
  <c r="X418" i="8"/>
  <c r="AF417" i="8"/>
  <c r="V115" i="2"/>
  <c r="AD115" i="2" s="1"/>
  <c r="V117" i="3" l="1"/>
  <c r="AD116" i="3"/>
  <c r="AF136" i="8"/>
  <c r="X137" i="8"/>
  <c r="X419" i="8"/>
  <c r="AF418" i="8"/>
  <c r="X759" i="8"/>
  <c r="AF758" i="8"/>
  <c r="V116" i="2"/>
  <c r="AD116" i="2" s="1"/>
  <c r="AD117" i="3" l="1"/>
  <c r="V118" i="3"/>
  <c r="X420" i="8"/>
  <c r="AF419" i="8"/>
  <c r="AF137" i="8"/>
  <c r="X138" i="8"/>
  <c r="X760" i="8"/>
  <c r="AF759" i="8"/>
  <c r="V117" i="2"/>
  <c r="AD118" i="3" l="1"/>
  <c r="V119" i="3"/>
  <c r="AD117" i="2"/>
  <c r="AF138" i="8"/>
  <c r="X139" i="8"/>
  <c r="X761" i="8"/>
  <c r="AF760" i="8"/>
  <c r="X422" i="8"/>
  <c r="AF420" i="8"/>
  <c r="V118" i="2"/>
  <c r="AD118" i="2" s="1"/>
  <c r="V120" i="3" l="1"/>
  <c r="AD119" i="3"/>
  <c r="X762" i="8"/>
  <c r="AF761" i="8"/>
  <c r="AF139" i="8"/>
  <c r="X140" i="8"/>
  <c r="AF422" i="8"/>
  <c r="X424" i="8"/>
  <c r="X423" i="8"/>
  <c r="V119" i="2"/>
  <c r="V121" i="3" l="1"/>
  <c r="AD120" i="3"/>
  <c r="AD119" i="2"/>
  <c r="AF424" i="8"/>
  <c r="X426" i="8"/>
  <c r="AF140" i="8"/>
  <c r="X141" i="8"/>
  <c r="X425" i="8"/>
  <c r="AF423" i="8"/>
  <c r="X763" i="8"/>
  <c r="AF762" i="8"/>
  <c r="V120" i="2"/>
  <c r="AD120" i="2" s="1"/>
  <c r="AD121" i="3" l="1"/>
  <c r="V122" i="3"/>
  <c r="X764" i="8"/>
  <c r="AF763" i="8"/>
  <c r="AF425" i="8"/>
  <c r="X427" i="8"/>
  <c r="AG427" i="8" s="1"/>
  <c r="AF426" i="8"/>
  <c r="X428" i="8"/>
  <c r="X142" i="8"/>
  <c r="AF141" i="8"/>
  <c r="V121" i="2"/>
  <c r="V123" i="3" l="1"/>
  <c r="AD122" i="3"/>
  <c r="AD121" i="2"/>
  <c r="AF427" i="8"/>
  <c r="AH427" i="8"/>
  <c r="AJ427" i="8" s="1"/>
  <c r="X429" i="8"/>
  <c r="X143" i="8"/>
  <c r="AF142" i="8"/>
  <c r="AF428" i="8"/>
  <c r="X430" i="8"/>
  <c r="X765" i="8"/>
  <c r="AF764" i="8"/>
  <c r="V122" i="2"/>
  <c r="AD122" i="2" s="1"/>
  <c r="AK427" i="8" l="1"/>
  <c r="AO427" i="8"/>
  <c r="V124" i="3"/>
  <c r="AD123" i="3"/>
  <c r="X766" i="8"/>
  <c r="AF765" i="8"/>
  <c r="AF143" i="8"/>
  <c r="X144" i="8"/>
  <c r="AF430" i="8"/>
  <c r="X432" i="8"/>
  <c r="X431" i="8"/>
  <c r="AF429" i="8"/>
  <c r="V123" i="2"/>
  <c r="AD123" i="2" s="1"/>
  <c r="V125" i="3" l="1"/>
  <c r="AD124" i="3"/>
  <c r="X145" i="8"/>
  <c r="AF144" i="8"/>
  <c r="X433" i="8"/>
  <c r="AF431" i="8"/>
  <c r="X434" i="8"/>
  <c r="AF432" i="8"/>
  <c r="X767" i="8"/>
  <c r="AF766" i="8"/>
  <c r="V124" i="2"/>
  <c r="AD125" i="3" l="1"/>
  <c r="V126" i="3"/>
  <c r="AD124" i="2"/>
  <c r="X768" i="8"/>
  <c r="AF767" i="8"/>
  <c r="X435" i="8"/>
  <c r="AF433" i="8"/>
  <c r="AF434" i="8"/>
  <c r="X436" i="8"/>
  <c r="AF145" i="8"/>
  <c r="X146" i="8"/>
  <c r="V125" i="2"/>
  <c r="AD125" i="2" s="1"/>
  <c r="AG146" i="8" l="1"/>
  <c r="AH146" i="8" s="1"/>
  <c r="AJ146" i="8" s="1"/>
  <c r="V127" i="3"/>
  <c r="AD126" i="3"/>
  <c r="X147" i="8"/>
  <c r="AG147" i="8" s="1"/>
  <c r="AH147" i="8" s="1"/>
  <c r="AJ147" i="8" s="1"/>
  <c r="AF146" i="8"/>
  <c r="AF435" i="8"/>
  <c r="X437" i="8"/>
  <c r="AF436" i="8"/>
  <c r="X438" i="8"/>
  <c r="X769" i="8"/>
  <c r="AF768" i="8"/>
  <c r="V126" i="2"/>
  <c r="AD126" i="2" s="1"/>
  <c r="AK147" i="8" l="1"/>
  <c r="AO147" i="8"/>
  <c r="AK146" i="8"/>
  <c r="AO146" i="8"/>
  <c r="AG389" i="8"/>
  <c r="AH389" i="8" s="1"/>
  <c r="AJ389" i="8" s="1"/>
  <c r="AG299" i="8"/>
  <c r="AH299" i="8" s="1"/>
  <c r="AJ299" i="8" s="1"/>
  <c r="AD127" i="3"/>
  <c r="V128" i="3"/>
  <c r="X439" i="8"/>
  <c r="AF437" i="8"/>
  <c r="X770" i="8"/>
  <c r="AF769" i="8"/>
  <c r="X440" i="8"/>
  <c r="AF438" i="8"/>
  <c r="X148" i="8"/>
  <c r="AF147" i="8"/>
  <c r="V127" i="2"/>
  <c r="AD127" i="2" s="1"/>
  <c r="AK299" i="8" l="1"/>
  <c r="AO299" i="8"/>
  <c r="AK389" i="8"/>
  <c r="AO389" i="8"/>
  <c r="AG375" i="8"/>
  <c r="AH375" i="8" s="1"/>
  <c r="AJ375" i="8" s="1"/>
  <c r="AG372" i="8"/>
  <c r="AH372" i="8" s="1"/>
  <c r="AJ372" i="8" s="1"/>
  <c r="AG376" i="8"/>
  <c r="AH376" i="8" s="1"/>
  <c r="AJ376" i="8" s="1"/>
  <c r="AD128" i="3"/>
  <c r="V129" i="3"/>
  <c r="X771" i="8"/>
  <c r="AF770" i="8"/>
  <c r="AF148" i="8"/>
  <c r="X149" i="8"/>
  <c r="AF440" i="8"/>
  <c r="X442" i="8"/>
  <c r="AF439" i="8"/>
  <c r="X441" i="8"/>
  <c r="V128" i="2"/>
  <c r="AD128" i="2" s="1"/>
  <c r="AK376" i="8" l="1"/>
  <c r="AO376" i="8"/>
  <c r="AK372" i="8"/>
  <c r="AO372" i="8"/>
  <c r="AK375" i="8"/>
  <c r="AO375" i="8"/>
  <c r="V130" i="3"/>
  <c r="AD129" i="3"/>
  <c r="AF149" i="8"/>
  <c r="X150" i="8"/>
  <c r="AF442" i="8"/>
  <c r="X444" i="8"/>
  <c r="X443" i="8"/>
  <c r="AF441" i="8"/>
  <c r="X772" i="8"/>
  <c r="AF771" i="8"/>
  <c r="V129" i="2"/>
  <c r="AD129" i="2" s="1"/>
  <c r="AD130" i="3" l="1"/>
  <c r="V131" i="3"/>
  <c r="X773" i="8"/>
  <c r="AF772" i="8"/>
  <c r="X151" i="8"/>
  <c r="AF150" i="8"/>
  <c r="AF444" i="8"/>
  <c r="X446" i="8"/>
  <c r="AF443" i="8"/>
  <c r="X445" i="8"/>
  <c r="V130" i="2"/>
  <c r="AD130" i="2" s="1"/>
  <c r="V132" i="3" l="1"/>
  <c r="AD131" i="3"/>
  <c r="AF446" i="8"/>
  <c r="X448" i="8"/>
  <c r="AF445" i="8"/>
  <c r="X447" i="8"/>
  <c r="AF151" i="8"/>
  <c r="X152" i="8"/>
  <c r="X774" i="8"/>
  <c r="AF773" i="8"/>
  <c r="V131" i="2"/>
  <c r="AD131" i="2" s="1"/>
  <c r="V133" i="3" l="1"/>
  <c r="AD132" i="3"/>
  <c r="X449" i="8"/>
  <c r="AF447" i="8"/>
  <c r="X775" i="8"/>
  <c r="AF774" i="8"/>
  <c r="AF152" i="8"/>
  <c r="X153" i="8"/>
  <c r="AF448" i="8"/>
  <c r="X450" i="8"/>
  <c r="V132" i="2"/>
  <c r="AD132" i="2" s="1"/>
  <c r="AG153" i="8" l="1"/>
  <c r="AH153" i="8" s="1"/>
  <c r="AJ153" i="8" s="1"/>
  <c r="AG132" i="8"/>
  <c r="AH132" i="8" s="1"/>
  <c r="AJ132" i="8" s="1"/>
  <c r="AG81" i="8"/>
  <c r="AH81" i="8" s="1"/>
  <c r="AJ81" i="8" s="1"/>
  <c r="V134" i="3"/>
  <c r="AD133" i="3"/>
  <c r="X776" i="8"/>
  <c r="AF775" i="8"/>
  <c r="AF450" i="8"/>
  <c r="X452" i="8"/>
  <c r="AF153" i="8"/>
  <c r="X154" i="8"/>
  <c r="X451" i="8"/>
  <c r="AF449" i="8"/>
  <c r="V133" i="2"/>
  <c r="AD133" i="2" s="1"/>
  <c r="AK81" i="8" l="1"/>
  <c r="AO81" i="8"/>
  <c r="AK132" i="8"/>
  <c r="AO132" i="8"/>
  <c r="AK153" i="8"/>
  <c r="AO153" i="8"/>
  <c r="V135" i="3"/>
  <c r="AD134" i="3"/>
  <c r="X454" i="8"/>
  <c r="AF452" i="8"/>
  <c r="X453" i="8"/>
  <c r="AF451" i="8"/>
  <c r="AF154" i="8"/>
  <c r="X155" i="8"/>
  <c r="X777" i="8"/>
  <c r="AF776" i="8"/>
  <c r="V134" i="2"/>
  <c r="AD134" i="2" s="1"/>
  <c r="V136" i="3" l="1"/>
  <c r="AD135" i="3"/>
  <c r="X778" i="8"/>
  <c r="AF777" i="8"/>
  <c r="X455" i="8"/>
  <c r="AF453" i="8"/>
  <c r="AF155" i="8"/>
  <c r="X156" i="8"/>
  <c r="AF454" i="8"/>
  <c r="X456" i="8"/>
  <c r="V135" i="2"/>
  <c r="AD135" i="2" s="1"/>
  <c r="V137" i="3" l="1"/>
  <c r="AD136" i="3"/>
  <c r="AF455" i="8"/>
  <c r="X457" i="8"/>
  <c r="AF456" i="8"/>
  <c r="X458" i="8"/>
  <c r="X157" i="8"/>
  <c r="AF156" i="8"/>
  <c r="X779" i="8"/>
  <c r="AF778" i="8"/>
  <c r="V136" i="2"/>
  <c r="AD136" i="2" s="1"/>
  <c r="V138" i="3" l="1"/>
  <c r="AD137" i="3"/>
  <c r="X460" i="8"/>
  <c r="AF458" i="8"/>
  <c r="X780" i="8"/>
  <c r="AF779" i="8"/>
  <c r="X459" i="8"/>
  <c r="AF457" i="8"/>
  <c r="X158" i="8"/>
  <c r="AF157" i="8"/>
  <c r="V137" i="2"/>
  <c r="AD137" i="2" s="1"/>
  <c r="V139" i="3" l="1"/>
  <c r="AD138" i="3"/>
  <c r="X159" i="8"/>
  <c r="AF158" i="8"/>
  <c r="X781" i="8"/>
  <c r="AF780" i="8"/>
  <c r="X461" i="8"/>
  <c r="AF459" i="8"/>
  <c r="X462" i="8"/>
  <c r="AF460" i="8"/>
  <c r="V138" i="2"/>
  <c r="AD138" i="2" s="1"/>
  <c r="V140" i="3" l="1"/>
  <c r="AD139" i="3"/>
  <c r="X464" i="8"/>
  <c r="AF462" i="8"/>
  <c r="X782" i="8"/>
  <c r="AF781" i="8"/>
  <c r="X463" i="8"/>
  <c r="AF461" i="8"/>
  <c r="AF159" i="8"/>
  <c r="X160" i="8"/>
  <c r="V140" i="2"/>
  <c r="AD140" i="2" s="1"/>
  <c r="V141" i="3" l="1"/>
  <c r="AD140" i="3"/>
  <c r="X783" i="8"/>
  <c r="AF782" i="8"/>
  <c r="X161" i="8"/>
  <c r="AF160" i="8"/>
  <c r="X465" i="8"/>
  <c r="AF463" i="8"/>
  <c r="X466" i="8"/>
  <c r="AF464" i="8"/>
  <c r="V141" i="2"/>
  <c r="V142" i="2"/>
  <c r="AD142" i="2" s="1"/>
  <c r="V142" i="3" l="1"/>
  <c r="AD141" i="3"/>
  <c r="AD141" i="2"/>
  <c r="AF466" i="8"/>
  <c r="X468" i="8"/>
  <c r="AF161" i="8"/>
  <c r="X162" i="8"/>
  <c r="AF465" i="8"/>
  <c r="X467" i="8"/>
  <c r="X784" i="8"/>
  <c r="AF783" i="8"/>
  <c r="V144" i="2"/>
  <c r="AD144" i="2" s="1"/>
  <c r="V143" i="2"/>
  <c r="AD143" i="2" s="1"/>
  <c r="V143" i="3" l="1"/>
  <c r="AD142" i="3"/>
  <c r="X785" i="8"/>
  <c r="AF784" i="8"/>
  <c r="X469" i="8"/>
  <c r="AF467" i="8"/>
  <c r="X470" i="8"/>
  <c r="AF468" i="8"/>
  <c r="X163" i="8"/>
  <c r="AF162" i="8"/>
  <c r="V146" i="2"/>
  <c r="AD146" i="2" s="1"/>
  <c r="V145" i="2"/>
  <c r="V144" i="3" l="1"/>
  <c r="AD143" i="3"/>
  <c r="AD145" i="2"/>
  <c r="AE145" i="2"/>
  <c r="AF145" i="2" s="1"/>
  <c r="AH145" i="2" s="1"/>
  <c r="AJ145" i="2" s="1"/>
  <c r="X471" i="8"/>
  <c r="AF471" i="8" s="1"/>
  <c r="AF469" i="8"/>
  <c r="AF163" i="8"/>
  <c r="X164" i="8"/>
  <c r="AF470" i="8"/>
  <c r="X472" i="8"/>
  <c r="X786" i="8"/>
  <c r="AF785" i="8"/>
  <c r="V147" i="2"/>
  <c r="AD147" i="2" s="1"/>
  <c r="V148" i="2"/>
  <c r="AD148" i="2" s="1"/>
  <c r="AD144" i="3" l="1"/>
  <c r="V145" i="3"/>
  <c r="X165" i="8"/>
  <c r="AF164" i="8"/>
  <c r="X787" i="8"/>
  <c r="AF786" i="8"/>
  <c r="X474" i="8"/>
  <c r="AF472" i="8"/>
  <c r="V150" i="2"/>
  <c r="AD150" i="2" s="1"/>
  <c r="V149" i="2"/>
  <c r="AD149" i="2" s="1"/>
  <c r="V146" i="3" l="1"/>
  <c r="AD145" i="3"/>
  <c r="X788" i="8"/>
  <c r="AF787" i="8"/>
  <c r="X475" i="8"/>
  <c r="AF474" i="8"/>
  <c r="AF165" i="8"/>
  <c r="X166" i="8"/>
  <c r="V151" i="2"/>
  <c r="V152" i="2"/>
  <c r="AD152" i="2" s="1"/>
  <c r="V147" i="3" l="1"/>
  <c r="AD146" i="3"/>
  <c r="AD151" i="2"/>
  <c r="AF475" i="8"/>
  <c r="X476" i="8"/>
  <c r="AF166" i="8"/>
  <c r="X167" i="8"/>
  <c r="X789" i="8"/>
  <c r="AF788" i="8"/>
  <c r="V154" i="2"/>
  <c r="AD154" i="2" s="1"/>
  <c r="V153" i="2"/>
  <c r="AD153" i="2" s="1"/>
  <c r="V148" i="3" l="1"/>
  <c r="AD147" i="3"/>
  <c r="X168" i="8"/>
  <c r="AF167" i="8"/>
  <c r="X477" i="8"/>
  <c r="AF476" i="8"/>
  <c r="X790" i="8"/>
  <c r="AF789" i="8"/>
  <c r="V155" i="2"/>
  <c r="AD155" i="2" s="1"/>
  <c r="V156" i="2"/>
  <c r="V149" i="3" l="1"/>
  <c r="AD148" i="3"/>
  <c r="AD156" i="2"/>
  <c r="X791" i="8"/>
  <c r="AF790" i="8"/>
  <c r="X478" i="8"/>
  <c r="AF477" i="8"/>
  <c r="X169" i="8"/>
  <c r="AF168" i="8"/>
  <c r="V158" i="2"/>
  <c r="AD158" i="2" s="1"/>
  <c r="V157" i="2"/>
  <c r="AG167" i="8" l="1"/>
  <c r="AH167" i="8" s="1"/>
  <c r="AJ167" i="8" s="1"/>
  <c r="AG169" i="8"/>
  <c r="AH169" i="8" s="1"/>
  <c r="AJ169" i="8" s="1"/>
  <c r="AD149" i="3"/>
  <c r="V150" i="3"/>
  <c r="AE93" i="2"/>
  <c r="AF93" i="2" s="1"/>
  <c r="AE157" i="2"/>
  <c r="AF157" i="2" s="1"/>
  <c r="AF478" i="8"/>
  <c r="X479" i="8"/>
  <c r="X170" i="8"/>
  <c r="AF169" i="8"/>
  <c r="X792" i="8"/>
  <c r="AF791" i="8"/>
  <c r="AD157" i="2"/>
  <c r="V159" i="2"/>
  <c r="AD159" i="2" s="1"/>
  <c r="V160" i="2"/>
  <c r="AD160" i="2" s="1"/>
  <c r="AK169" i="8" l="1"/>
  <c r="AO169" i="8"/>
  <c r="AK167" i="8"/>
  <c r="AO167" i="8"/>
  <c r="V151" i="3"/>
  <c r="AD150" i="3"/>
  <c r="X793" i="8"/>
  <c r="AF792" i="8"/>
  <c r="X171" i="8"/>
  <c r="AF170" i="8"/>
  <c r="X480" i="8"/>
  <c r="AF479" i="8"/>
  <c r="V162" i="2"/>
  <c r="AD162" i="2" s="1"/>
  <c r="V161" i="2"/>
  <c r="AD161" i="2" s="1"/>
  <c r="V152" i="3" l="1"/>
  <c r="AD151" i="3"/>
  <c r="X481" i="8"/>
  <c r="AF480" i="8"/>
  <c r="X172" i="8"/>
  <c r="AF171" i="8"/>
  <c r="X794" i="8"/>
  <c r="AF793" i="8"/>
  <c r="V163" i="2"/>
  <c r="AD163" i="2" s="1"/>
  <c r="V164" i="2"/>
  <c r="AD164" i="2" s="1"/>
  <c r="V153" i="3" l="1"/>
  <c r="AD152" i="3"/>
  <c r="X173" i="8"/>
  <c r="AF172" i="8"/>
  <c r="X795" i="8"/>
  <c r="AF794" i="8"/>
  <c r="AF481" i="8"/>
  <c r="X482" i="8"/>
  <c r="V166" i="2"/>
  <c r="V165" i="2"/>
  <c r="V154" i="3" l="1"/>
  <c r="AD153" i="3"/>
  <c r="AD165" i="2"/>
  <c r="AD166" i="2"/>
  <c r="X174" i="8"/>
  <c r="AF173" i="8"/>
  <c r="X796" i="8"/>
  <c r="AF795" i="8"/>
  <c r="AF482" i="8"/>
  <c r="X483" i="8"/>
  <c r="V167" i="2"/>
  <c r="AD167" i="2" s="1"/>
  <c r="V168" i="2"/>
  <c r="AD168" i="2" s="1"/>
  <c r="V155" i="3" l="1"/>
  <c r="AD154" i="3"/>
  <c r="X484" i="8"/>
  <c r="AF483" i="8"/>
  <c r="X175" i="8"/>
  <c r="AF174" i="8"/>
  <c r="X797" i="8"/>
  <c r="AF796" i="8"/>
  <c r="V170" i="2"/>
  <c r="AD170" i="2" s="1"/>
  <c r="V169" i="2"/>
  <c r="AD169" i="2" s="1"/>
  <c r="V156" i="3" l="1"/>
  <c r="AD155" i="3"/>
  <c r="X798" i="8"/>
  <c r="AF797" i="8"/>
  <c r="X485" i="8"/>
  <c r="AF484" i="8"/>
  <c r="AF175" i="8"/>
  <c r="X176" i="8"/>
  <c r="AG176" i="8" s="1"/>
  <c r="V171" i="2"/>
  <c r="AD171" i="2" s="1"/>
  <c r="V172" i="2"/>
  <c r="AD172" i="2" s="1"/>
  <c r="V157" i="3" l="1"/>
  <c r="AD156" i="3"/>
  <c r="AH176" i="8"/>
  <c r="AJ176" i="8" s="1"/>
  <c r="AF176" i="8"/>
  <c r="X177" i="8"/>
  <c r="X486" i="8"/>
  <c r="AF485" i="8"/>
  <c r="X799" i="8"/>
  <c r="AF798" i="8"/>
  <c r="V174" i="2"/>
  <c r="AD174" i="2" s="1"/>
  <c r="V173" i="2"/>
  <c r="AD173" i="2" s="1"/>
  <c r="AK176" i="8" l="1"/>
  <c r="AO176" i="8"/>
  <c r="V158" i="3"/>
  <c r="AD157" i="3"/>
  <c r="AF486" i="8"/>
  <c r="X487" i="8"/>
  <c r="AF177" i="8"/>
  <c r="X178" i="8"/>
  <c r="X800" i="8"/>
  <c r="AF799" i="8"/>
  <c r="V176" i="2"/>
  <c r="AD176" i="2" s="1"/>
  <c r="V175" i="2"/>
  <c r="AG302" i="8" l="1"/>
  <c r="AG720" i="8"/>
  <c r="AG690" i="8"/>
  <c r="AG487" i="8"/>
  <c r="AH487" i="8" s="1"/>
  <c r="AJ487" i="8" s="1"/>
  <c r="AG341" i="8"/>
  <c r="AH341" i="8" s="1"/>
  <c r="AJ341" i="8" s="1"/>
  <c r="AG624" i="8"/>
  <c r="AH624" i="8" s="1"/>
  <c r="AJ624" i="8" s="1"/>
  <c r="V159" i="3"/>
  <c r="AD158" i="3"/>
  <c r="AD175" i="2"/>
  <c r="X179" i="8"/>
  <c r="AF178" i="8"/>
  <c r="AF487" i="8"/>
  <c r="X488" i="8"/>
  <c r="AH302" i="8"/>
  <c r="AJ302" i="8" s="1"/>
  <c r="AH690" i="8"/>
  <c r="AJ690" i="8" s="1"/>
  <c r="AH720" i="8"/>
  <c r="AJ720" i="8" s="1"/>
  <c r="X801" i="8"/>
  <c r="AF800" i="8"/>
  <c r="V177" i="2"/>
  <c r="AD177" i="2" s="1"/>
  <c r="V178" i="2"/>
  <c r="AD178" i="2" s="1"/>
  <c r="AK487" i="8" l="1"/>
  <c r="AO487" i="8"/>
  <c r="AK302" i="8"/>
  <c r="AO302" i="8"/>
  <c r="AK624" i="8"/>
  <c r="AO624" i="8"/>
  <c r="AK690" i="8"/>
  <c r="AO690" i="8"/>
  <c r="AK720" i="8"/>
  <c r="AO720" i="8"/>
  <c r="AK341" i="8"/>
  <c r="AO341" i="8"/>
  <c r="V160" i="3"/>
  <c r="AD159" i="3"/>
  <c r="X489" i="8"/>
  <c r="AF488" i="8"/>
  <c r="X802" i="8"/>
  <c r="AF801" i="8"/>
  <c r="AF179" i="8"/>
  <c r="X180" i="8"/>
  <c r="V180" i="2"/>
  <c r="AD180" i="2" s="1"/>
  <c r="V179" i="2"/>
  <c r="AD179" i="2" s="1"/>
  <c r="AD160" i="3" l="1"/>
  <c r="V161" i="3"/>
  <c r="X490" i="8"/>
  <c r="AF489" i="8"/>
  <c r="X803" i="8"/>
  <c r="AF802" i="8"/>
  <c r="AF180" i="8"/>
  <c r="X181" i="8"/>
  <c r="V181" i="2"/>
  <c r="V182" i="2"/>
  <c r="V162" i="3" l="1"/>
  <c r="AD161" i="3"/>
  <c r="AD182" i="2"/>
  <c r="AD181" i="2"/>
  <c r="X804" i="8"/>
  <c r="AF803" i="8"/>
  <c r="AF181" i="8"/>
  <c r="X182" i="8"/>
  <c r="AF490" i="8"/>
  <c r="X491" i="8"/>
  <c r="V184" i="2"/>
  <c r="AD184" i="2" s="1"/>
  <c r="V183" i="2"/>
  <c r="AD183" i="2" s="1"/>
  <c r="V163" i="3" l="1"/>
  <c r="AD162" i="3"/>
  <c r="X183" i="8"/>
  <c r="AF182" i="8"/>
  <c r="X492" i="8"/>
  <c r="AF491" i="8"/>
  <c r="X805" i="8"/>
  <c r="AF804" i="8"/>
  <c r="V185" i="2"/>
  <c r="AD185" i="2" s="1"/>
  <c r="V186" i="2"/>
  <c r="AD186" i="2" s="1"/>
  <c r="V164" i="3" l="1"/>
  <c r="AD163" i="3"/>
  <c r="X806" i="8"/>
  <c r="AF805" i="8"/>
  <c r="X493" i="8"/>
  <c r="AF492" i="8"/>
  <c r="X184" i="8"/>
  <c r="AF183" i="8"/>
  <c r="V188" i="2"/>
  <c r="AD188" i="2" s="1"/>
  <c r="V187" i="2"/>
  <c r="AD187" i="2" s="1"/>
  <c r="V165" i="3" l="1"/>
  <c r="AD164" i="3"/>
  <c r="X494" i="8"/>
  <c r="AF493" i="8"/>
  <c r="X185" i="8"/>
  <c r="AF184" i="8"/>
  <c r="X807" i="8"/>
  <c r="AF806" i="8"/>
  <c r="V189" i="2"/>
  <c r="AD189" i="2" s="1"/>
  <c r="V190" i="2"/>
  <c r="AD190" i="2" s="1"/>
  <c r="AG128" i="8" l="1"/>
  <c r="AH128" i="8" s="1"/>
  <c r="AJ128" i="8" s="1"/>
  <c r="AG185" i="8"/>
  <c r="AH185" i="8" s="1"/>
  <c r="AJ185" i="8" s="1"/>
  <c r="V166" i="3"/>
  <c r="AD165" i="3"/>
  <c r="X808" i="8"/>
  <c r="AF807" i="8"/>
  <c r="AF185" i="8"/>
  <c r="X186" i="8"/>
  <c r="X495" i="8"/>
  <c r="AF494" i="8"/>
  <c r="V192" i="2"/>
  <c r="AD192" i="2" s="1"/>
  <c r="AK185" i="8" l="1"/>
  <c r="AO185" i="8"/>
  <c r="AK128" i="8"/>
  <c r="AO128" i="8"/>
  <c r="V167" i="3"/>
  <c r="AD166" i="3"/>
  <c r="AF495" i="8"/>
  <c r="X496" i="8"/>
  <c r="AF186" i="8"/>
  <c r="X187" i="8"/>
  <c r="X809" i="8"/>
  <c r="AF808" i="8"/>
  <c r="V193" i="2"/>
  <c r="AD193" i="2" s="1"/>
  <c r="AD167" i="3" l="1"/>
  <c r="V168" i="3"/>
  <c r="X497" i="8"/>
  <c r="AF496" i="8"/>
  <c r="X810" i="8"/>
  <c r="AF809" i="8"/>
  <c r="X188" i="8"/>
  <c r="AF187" i="8"/>
  <c r="V194" i="2"/>
  <c r="AD194" i="2" s="1"/>
  <c r="V169" i="3" l="1"/>
  <c r="AD168" i="3"/>
  <c r="AF188" i="8"/>
  <c r="X189" i="8"/>
  <c r="X811" i="8"/>
  <c r="AF810" i="8"/>
  <c r="X498" i="8"/>
  <c r="AF497" i="8"/>
  <c r="V195" i="2"/>
  <c r="AD195" i="2" s="1"/>
  <c r="V170" i="3" l="1"/>
  <c r="AD169" i="3"/>
  <c r="X499" i="8"/>
  <c r="AF498" i="8"/>
  <c r="X812" i="8"/>
  <c r="AF811" i="8"/>
  <c r="X190" i="8"/>
  <c r="AF189" i="8"/>
  <c r="V196" i="2"/>
  <c r="AD196" i="2" s="1"/>
  <c r="V171" i="3" l="1"/>
  <c r="AD170" i="3"/>
  <c r="X813" i="8"/>
  <c r="AF812" i="8"/>
  <c r="X191" i="8"/>
  <c r="AF190" i="8"/>
  <c r="X500" i="8"/>
  <c r="AF499" i="8"/>
  <c r="V197" i="2"/>
  <c r="AD197" i="2" s="1"/>
  <c r="V172" i="3" l="1"/>
  <c r="AD171" i="3"/>
  <c r="X501" i="8"/>
  <c r="AF500" i="8"/>
  <c r="X192" i="8"/>
  <c r="AG192" i="8" s="1"/>
  <c r="AF191" i="8"/>
  <c r="X814" i="8"/>
  <c r="AF813" i="8"/>
  <c r="V198" i="2"/>
  <c r="AD198" i="2" s="1"/>
  <c r="V173" i="3" l="1"/>
  <c r="AD172" i="3"/>
  <c r="AH192" i="8"/>
  <c r="AJ192" i="8" s="1"/>
  <c r="AF192" i="8"/>
  <c r="X193" i="8"/>
  <c r="X815" i="8"/>
  <c r="AF814" i="8"/>
  <c r="X502" i="8"/>
  <c r="AF501" i="8"/>
  <c r="V199" i="2"/>
  <c r="AD199" i="2" s="1"/>
  <c r="AK192" i="8" l="1"/>
  <c r="AO192" i="8"/>
  <c r="V174" i="3"/>
  <c r="AD173" i="3"/>
  <c r="X816" i="8"/>
  <c r="AF815" i="8"/>
  <c r="AF193" i="8"/>
  <c r="X194" i="8"/>
  <c r="X503" i="8"/>
  <c r="AF502" i="8"/>
  <c r="V200" i="2"/>
  <c r="AD200" i="2" s="1"/>
  <c r="V175" i="3" l="1"/>
  <c r="AD174" i="3"/>
  <c r="X504" i="8"/>
  <c r="AF503" i="8"/>
  <c r="AF194" i="8"/>
  <c r="X195" i="8"/>
  <c r="X817" i="8"/>
  <c r="AF816" i="8"/>
  <c r="V201" i="2"/>
  <c r="AD201" i="2" s="1"/>
  <c r="V176" i="3" l="1"/>
  <c r="AD175" i="3"/>
  <c r="X196" i="8"/>
  <c r="AF195" i="8"/>
  <c r="X818" i="8"/>
  <c r="AF817" i="8"/>
  <c r="X505" i="8"/>
  <c r="AF504" i="8"/>
  <c r="V202" i="2"/>
  <c r="AD202" i="2" s="1"/>
  <c r="V177" i="3" l="1"/>
  <c r="AD176" i="3"/>
  <c r="AF505" i="8"/>
  <c r="X506" i="8"/>
  <c r="X819" i="8"/>
  <c r="AF818" i="8"/>
  <c r="X197" i="8"/>
  <c r="AF196" i="8"/>
  <c r="V203" i="2"/>
  <c r="AD203" i="2" s="1"/>
  <c r="V178" i="3" l="1"/>
  <c r="AD177" i="3"/>
  <c r="X820" i="8"/>
  <c r="AF819" i="8"/>
  <c r="AF506" i="8"/>
  <c r="X507" i="8"/>
  <c r="X198" i="8"/>
  <c r="AF197" i="8"/>
  <c r="V204" i="2"/>
  <c r="V179" i="3" l="1"/>
  <c r="AD178" i="3"/>
  <c r="AD204" i="2"/>
  <c r="AF507" i="8"/>
  <c r="X508" i="8"/>
  <c r="AF198" i="8"/>
  <c r="X199" i="8"/>
  <c r="X821" i="8"/>
  <c r="AF820" i="8"/>
  <c r="V205" i="2"/>
  <c r="AG199" i="8" l="1"/>
  <c r="AH199" i="8" s="1"/>
  <c r="AJ199" i="8" s="1"/>
  <c r="AG62" i="8"/>
  <c r="AH62" i="8" s="1"/>
  <c r="AJ62" i="8" s="1"/>
  <c r="V180" i="3"/>
  <c r="AD179" i="3"/>
  <c r="AD205" i="2"/>
  <c r="AE59" i="2"/>
  <c r="AF59" i="2" s="1"/>
  <c r="AH59" i="2" s="1"/>
  <c r="AJ59" i="2" s="1"/>
  <c r="AE20" i="2"/>
  <c r="AF20" i="2" s="1"/>
  <c r="AH20" i="2" s="1"/>
  <c r="AJ20" i="2" s="1"/>
  <c r="AE205" i="2"/>
  <c r="AF205" i="2" s="1"/>
  <c r="AH205" i="2" s="1"/>
  <c r="AJ205" i="2" s="1"/>
  <c r="X822" i="8"/>
  <c r="AF821" i="8"/>
  <c r="AF199" i="8"/>
  <c r="X200" i="8"/>
  <c r="X509" i="8"/>
  <c r="AF508" i="8"/>
  <c r="V206" i="2"/>
  <c r="AD206" i="2" s="1"/>
  <c r="AK62" i="8" l="1"/>
  <c r="AO62" i="8"/>
  <c r="AK199" i="8"/>
  <c r="AO199" i="8"/>
  <c r="V181" i="3"/>
  <c r="AD180" i="3"/>
  <c r="X510" i="8"/>
  <c r="AF509" i="8"/>
  <c r="X201" i="8"/>
  <c r="AF200" i="8"/>
  <c r="X823" i="8"/>
  <c r="AF822" i="8"/>
  <c r="V207" i="2"/>
  <c r="AD207" i="2" s="1"/>
  <c r="V182" i="3" l="1"/>
  <c r="AD181" i="3"/>
  <c r="X824" i="8"/>
  <c r="AF823" i="8"/>
  <c r="AF201" i="8"/>
  <c r="X202" i="8"/>
  <c r="X511" i="8"/>
  <c r="AF510" i="8"/>
  <c r="V208" i="2"/>
  <c r="V183" i="3" l="1"/>
  <c r="AD182" i="3"/>
  <c r="AD208" i="2"/>
  <c r="AF511" i="8"/>
  <c r="X512" i="8"/>
  <c r="AG512" i="8" s="1"/>
  <c r="X203" i="8"/>
  <c r="AF202" i="8"/>
  <c r="X825" i="8"/>
  <c r="AF824" i="8"/>
  <c r="V209" i="2"/>
  <c r="AD209" i="2" s="1"/>
  <c r="V184" i="3" l="1"/>
  <c r="AD183" i="3"/>
  <c r="X204" i="8"/>
  <c r="AF203" i="8"/>
  <c r="AF512" i="8"/>
  <c r="AH512" i="8"/>
  <c r="AJ512" i="8" s="1"/>
  <c r="X513" i="8"/>
  <c r="X826" i="8"/>
  <c r="AF825" i="8"/>
  <c r="V210" i="2"/>
  <c r="AD210" i="2" s="1"/>
  <c r="AK512" i="8" l="1"/>
  <c r="AO512" i="8"/>
  <c r="V185" i="3"/>
  <c r="AD184" i="3"/>
  <c r="X827" i="8"/>
  <c r="AF826" i="8"/>
  <c r="AF513" i="8"/>
  <c r="X514" i="8"/>
  <c r="X205" i="8"/>
  <c r="AF204" i="8"/>
  <c r="V211" i="2"/>
  <c r="AD211" i="2" s="1"/>
  <c r="AG193" i="8" l="1"/>
  <c r="AH193" i="8" s="1"/>
  <c r="AJ193" i="8" s="1"/>
  <c r="AG205" i="8"/>
  <c r="AH205" i="8" s="1"/>
  <c r="AJ205" i="8" s="1"/>
  <c r="AD185" i="3"/>
  <c r="V186" i="3"/>
  <c r="X515" i="8"/>
  <c r="AF514" i="8"/>
  <c r="AF205" i="8"/>
  <c r="X206" i="8"/>
  <c r="X828" i="8"/>
  <c r="AF827" i="8"/>
  <c r="V212" i="2"/>
  <c r="AD212" i="2" s="1"/>
  <c r="AK205" i="8" l="1"/>
  <c r="AO205" i="8"/>
  <c r="AK193" i="8"/>
  <c r="AO193" i="8"/>
  <c r="AD186" i="3"/>
  <c r="V187" i="3"/>
  <c r="X207" i="8"/>
  <c r="AF206" i="8"/>
  <c r="X829" i="8"/>
  <c r="AF828" i="8"/>
  <c r="X516" i="8"/>
  <c r="AF515" i="8"/>
  <c r="V213" i="2"/>
  <c r="V188" i="3" l="1"/>
  <c r="AD187" i="3"/>
  <c r="AD213" i="2"/>
  <c r="X517" i="8"/>
  <c r="AF516" i="8"/>
  <c r="X830" i="8"/>
  <c r="AF829" i="8"/>
  <c r="X208" i="8"/>
  <c r="AF207" i="8"/>
  <c r="V214" i="2"/>
  <c r="AD214" i="2" s="1"/>
  <c r="V189" i="3" l="1"/>
  <c r="AD188" i="3"/>
  <c r="X831" i="8"/>
  <c r="AF830" i="8"/>
  <c r="X209" i="8"/>
  <c r="AF208" i="8"/>
  <c r="X518" i="8"/>
  <c r="AF517" i="8"/>
  <c r="V215" i="2"/>
  <c r="AD215" i="2" s="1"/>
  <c r="V190" i="3" l="1"/>
  <c r="AD189" i="3"/>
  <c r="X519" i="8"/>
  <c r="AF518" i="8"/>
  <c r="X210" i="8"/>
  <c r="AF209" i="8"/>
  <c r="X832" i="8"/>
  <c r="AF831" i="8"/>
  <c r="V216" i="2"/>
  <c r="AD216" i="2" s="1"/>
  <c r="V191" i="3" l="1"/>
  <c r="AD190" i="3"/>
  <c r="X211" i="8"/>
  <c r="AF210" i="8"/>
  <c r="X833" i="8"/>
  <c r="AF832" i="8"/>
  <c r="X520" i="8"/>
  <c r="AF519" i="8"/>
  <c r="V217" i="2"/>
  <c r="AD217" i="2" s="1"/>
  <c r="V192" i="3" l="1"/>
  <c r="AD191" i="3"/>
  <c r="X834" i="8"/>
  <c r="AF833" i="8"/>
  <c r="X521" i="8"/>
  <c r="AF520" i="8"/>
  <c r="X212" i="8"/>
  <c r="AF211" i="8"/>
  <c r="V218" i="2"/>
  <c r="AD218" i="2" s="1"/>
  <c r="V193" i="3" l="1"/>
  <c r="AD192" i="3"/>
  <c r="X522" i="8"/>
  <c r="AF521" i="8"/>
  <c r="X213" i="8"/>
  <c r="AF212" i="8"/>
  <c r="X835" i="8"/>
  <c r="AF834" i="8"/>
  <c r="V219" i="2"/>
  <c r="AD219" i="2" s="1"/>
  <c r="V194" i="3" l="1"/>
  <c r="AD193" i="3"/>
  <c r="X836" i="8"/>
  <c r="AF835" i="8"/>
  <c r="X214" i="8"/>
  <c r="AF213" i="8"/>
  <c r="AF522" i="8"/>
  <c r="X523" i="8"/>
  <c r="V220" i="2"/>
  <c r="AD220" i="2" s="1"/>
  <c r="AG198" i="8" l="1"/>
  <c r="AG403" i="8"/>
  <c r="AH403" i="8" s="1"/>
  <c r="AJ403" i="8" s="1"/>
  <c r="AG214" i="8"/>
  <c r="AG298" i="8"/>
  <c r="AH298" i="8" s="1"/>
  <c r="AJ298" i="8" s="1"/>
  <c r="AG421" i="8"/>
  <c r="AH421" i="8" s="1"/>
  <c r="AJ421" i="8" s="1"/>
  <c r="AG510" i="8"/>
  <c r="AH510" i="8" s="1"/>
  <c r="AJ510" i="8" s="1"/>
  <c r="V195" i="3"/>
  <c r="AD194" i="3"/>
  <c r="AF214" i="8"/>
  <c r="X215" i="8"/>
  <c r="AH198" i="8"/>
  <c r="AJ198" i="8" s="1"/>
  <c r="AH214" i="8"/>
  <c r="AJ214" i="8" s="1"/>
  <c r="AF523" i="8"/>
  <c r="X524" i="8"/>
  <c r="X837" i="8"/>
  <c r="AF836" i="8"/>
  <c r="V221" i="2"/>
  <c r="AD221" i="2" s="1"/>
  <c r="AK403" i="8" l="1"/>
  <c r="AO403" i="8"/>
  <c r="AK198" i="8"/>
  <c r="AO198" i="8"/>
  <c r="AK298" i="8"/>
  <c r="AO298" i="8"/>
  <c r="AK510" i="8"/>
  <c r="AO510" i="8"/>
  <c r="AK214" i="8"/>
  <c r="AO214" i="8"/>
  <c r="AK421" i="8"/>
  <c r="AO421" i="8"/>
  <c r="V196" i="3"/>
  <c r="AD195" i="3"/>
  <c r="X838" i="8"/>
  <c r="AF837" i="8"/>
  <c r="X525" i="8"/>
  <c r="AF524" i="8"/>
  <c r="X216" i="8"/>
  <c r="AF215" i="8"/>
  <c r="V222" i="2"/>
  <c r="AD222" i="2" s="1"/>
  <c r="V197" i="3" l="1"/>
  <c r="AD196" i="3"/>
  <c r="X217" i="8"/>
  <c r="AF216" i="8"/>
  <c r="X526" i="8"/>
  <c r="AF525" i="8"/>
  <c r="X839" i="8"/>
  <c r="AF838" i="8"/>
  <c r="V223" i="2"/>
  <c r="AD223" i="2" s="1"/>
  <c r="AG177" i="8" l="1"/>
  <c r="AH177" i="8" s="1"/>
  <c r="AJ177" i="8" s="1"/>
  <c r="AG217" i="8"/>
  <c r="AH217" i="8" s="1"/>
  <c r="AJ217" i="8" s="1"/>
  <c r="V198" i="3"/>
  <c r="AD197" i="3"/>
  <c r="X527" i="8"/>
  <c r="AF526" i="8"/>
  <c r="X840" i="8"/>
  <c r="AF839" i="8"/>
  <c r="AF217" i="8"/>
  <c r="X218" i="8"/>
  <c r="V224" i="2"/>
  <c r="AD224" i="2" s="1"/>
  <c r="AK217" i="8" l="1"/>
  <c r="AO217" i="8"/>
  <c r="AK177" i="8"/>
  <c r="AO177" i="8"/>
  <c r="V199" i="3"/>
  <c r="AD198" i="3"/>
  <c r="X841" i="8"/>
  <c r="AF840" i="8"/>
  <c r="AF218" i="8"/>
  <c r="X219" i="8"/>
  <c r="X528" i="8"/>
  <c r="AF527" i="8"/>
  <c r="V225" i="2"/>
  <c r="AD225" i="2" s="1"/>
  <c r="V200" i="3" l="1"/>
  <c r="AD199" i="3"/>
  <c r="X529" i="8"/>
  <c r="AF528" i="8"/>
  <c r="AF219" i="8"/>
  <c r="X220" i="8"/>
  <c r="X842" i="8"/>
  <c r="AF841" i="8"/>
  <c r="V226" i="2"/>
  <c r="AD226" i="2" s="1"/>
  <c r="V201" i="3" l="1"/>
  <c r="AD200" i="3"/>
  <c r="X843" i="8"/>
  <c r="AF842" i="8"/>
  <c r="X221" i="8"/>
  <c r="AF220" i="8"/>
  <c r="AF529" i="8"/>
  <c r="X530" i="8"/>
  <c r="V227" i="2"/>
  <c r="AD227" i="2" s="1"/>
  <c r="V202" i="3" l="1"/>
  <c r="AD201" i="3"/>
  <c r="X531" i="8"/>
  <c r="AF530" i="8"/>
  <c r="X222" i="8"/>
  <c r="AF221" i="8"/>
  <c r="X844" i="8"/>
  <c r="AF843" i="8"/>
  <c r="V228" i="2"/>
  <c r="AG41" i="8" l="1"/>
  <c r="AH41" i="8" s="1"/>
  <c r="AJ41" i="8" s="1"/>
  <c r="AG218" i="8"/>
  <c r="AH218" i="8" s="1"/>
  <c r="AJ218" i="8" s="1"/>
  <c r="AG222" i="8"/>
  <c r="AH222" i="8" s="1"/>
  <c r="AJ222" i="8" s="1"/>
  <c r="V203" i="3"/>
  <c r="AD202" i="3"/>
  <c r="AD228" i="2"/>
  <c r="AE228" i="2"/>
  <c r="AF228" i="2" s="1"/>
  <c r="AE16" i="2"/>
  <c r="AF16" i="2" s="1"/>
  <c r="AE121" i="2"/>
  <c r="AF121" i="2" s="1"/>
  <c r="AE139" i="2"/>
  <c r="AF139" i="2" s="1"/>
  <c r="AH139" i="2" s="1"/>
  <c r="AJ139" i="2" s="1"/>
  <c r="AF222" i="8"/>
  <c r="X223" i="8"/>
  <c r="X845" i="8"/>
  <c r="AF844" i="8"/>
  <c r="X532" i="8"/>
  <c r="AF531" i="8"/>
  <c r="AH228" i="2"/>
  <c r="AJ228" i="2" s="1"/>
  <c r="AH16" i="2"/>
  <c r="AJ16" i="2" s="1"/>
  <c r="AH121" i="2"/>
  <c r="AJ121" i="2" s="1"/>
  <c r="V229" i="2"/>
  <c r="AD229" i="2" s="1"/>
  <c r="AK222" i="8" l="1"/>
  <c r="AO222" i="8"/>
  <c r="AK218" i="8"/>
  <c r="AO218" i="8"/>
  <c r="AK41" i="8"/>
  <c r="AO41" i="8"/>
  <c r="V204" i="3"/>
  <c r="AD203" i="3"/>
  <c r="X533" i="8"/>
  <c r="AF532" i="8"/>
  <c r="X846" i="8"/>
  <c r="AF845" i="8"/>
  <c r="AF223" i="8"/>
  <c r="X224" i="8"/>
  <c r="V230" i="2"/>
  <c r="AG717" i="8" l="1"/>
  <c r="AG654" i="8"/>
  <c r="AG790" i="8"/>
  <c r="AG731" i="8"/>
  <c r="AH731" i="8" s="1"/>
  <c r="AJ731" i="8" s="1"/>
  <c r="AG781" i="8"/>
  <c r="AG693" i="8"/>
  <c r="AG689" i="8"/>
  <c r="AG700" i="8"/>
  <c r="AH700" i="8" s="1"/>
  <c r="AJ700" i="8" s="1"/>
  <c r="AG703" i="8"/>
  <c r="AG669" i="8"/>
  <c r="AG658" i="8"/>
  <c r="AG687" i="8"/>
  <c r="AH687" i="8" s="1"/>
  <c r="AJ687" i="8" s="1"/>
  <c r="AG811" i="8"/>
  <c r="AG729" i="8"/>
  <c r="AG702" i="8"/>
  <c r="AG727" i="8"/>
  <c r="AH727" i="8" s="1"/>
  <c r="AJ727" i="8" s="1"/>
  <c r="AG626" i="8"/>
  <c r="AG634" i="8"/>
  <c r="AG681" i="8"/>
  <c r="AG764" i="8"/>
  <c r="AH764" i="8" s="1"/>
  <c r="AJ764" i="8" s="1"/>
  <c r="AG809" i="8"/>
  <c r="AG719" i="8"/>
  <c r="AH719" i="8" s="1"/>
  <c r="AJ719" i="8" s="1"/>
  <c r="AG653" i="8"/>
  <c r="AG378" i="8"/>
  <c r="AH378" i="8" s="1"/>
  <c r="AJ378" i="8" s="1"/>
  <c r="AG440" i="8"/>
  <c r="AH440" i="8" s="1"/>
  <c r="AJ440" i="8" s="1"/>
  <c r="AG439" i="8"/>
  <c r="AH439" i="8" s="1"/>
  <c r="AJ439" i="8" s="1"/>
  <c r="AG379" i="8"/>
  <c r="AG363" i="8"/>
  <c r="AH363" i="8" s="1"/>
  <c r="AJ363" i="8" s="1"/>
  <c r="AG718" i="8"/>
  <c r="AH718" i="8" s="1"/>
  <c r="AJ718" i="8" s="1"/>
  <c r="AG352" i="8"/>
  <c r="AH352" i="8" s="1"/>
  <c r="AJ352" i="8" s="1"/>
  <c r="AG655" i="8"/>
  <c r="AG839" i="8"/>
  <c r="AH839" i="8" s="1"/>
  <c r="AJ839" i="8" s="1"/>
  <c r="AG339" i="8"/>
  <c r="AH339" i="8" s="1"/>
  <c r="AJ339" i="8" s="1"/>
  <c r="AG432" i="8"/>
  <c r="AH432" i="8" s="1"/>
  <c r="AJ432" i="8" s="1"/>
  <c r="AG721" i="8"/>
  <c r="AH721" i="8" s="1"/>
  <c r="AJ721" i="8" s="1"/>
  <c r="V205" i="3"/>
  <c r="AD204" i="3"/>
  <c r="AD230" i="2"/>
  <c r="AE230" i="2"/>
  <c r="AF230" i="2" s="1"/>
  <c r="AH230" i="2" s="1"/>
  <c r="AJ230" i="2" s="1"/>
  <c r="AF846" i="8"/>
  <c r="AH717" i="8"/>
  <c r="AJ717" i="8" s="1"/>
  <c r="AH654" i="8"/>
  <c r="AJ654" i="8" s="1"/>
  <c r="AH702" i="8"/>
  <c r="AJ702" i="8" s="1"/>
  <c r="AH634" i="8"/>
  <c r="AJ634" i="8" s="1"/>
  <c r="AH729" i="8"/>
  <c r="AJ729" i="8" s="1"/>
  <c r="AH626" i="8"/>
  <c r="AJ626" i="8" s="1"/>
  <c r="AH781" i="8"/>
  <c r="AJ781" i="8" s="1"/>
  <c r="AH809" i="8"/>
  <c r="AJ809" i="8" s="1"/>
  <c r="AH693" i="8"/>
  <c r="AJ693" i="8" s="1"/>
  <c r="AH681" i="8"/>
  <c r="AJ681" i="8" s="1"/>
  <c r="AH703" i="8"/>
  <c r="AJ703" i="8" s="1"/>
  <c r="AH811" i="8"/>
  <c r="AJ811" i="8" s="1"/>
  <c r="AH790" i="8"/>
  <c r="AJ790" i="8" s="1"/>
  <c r="AH689" i="8"/>
  <c r="AJ689" i="8" s="1"/>
  <c r="AH658" i="8"/>
  <c r="AJ658" i="8" s="1"/>
  <c r="AH669" i="8"/>
  <c r="AJ669" i="8" s="1"/>
  <c r="AH653" i="8"/>
  <c r="AJ653" i="8" s="1"/>
  <c r="AH379" i="8"/>
  <c r="AJ379" i="8" s="1"/>
  <c r="AH655" i="8"/>
  <c r="AJ655" i="8" s="1"/>
  <c r="AF224" i="8"/>
  <c r="X225" i="8"/>
  <c r="X534" i="8"/>
  <c r="AF533" i="8"/>
  <c r="V231" i="2"/>
  <c r="AD231" i="2" s="1"/>
  <c r="AK721" i="8" l="1"/>
  <c r="AO721" i="8"/>
  <c r="AK700" i="8"/>
  <c r="AO700" i="8"/>
  <c r="AK655" i="8"/>
  <c r="AO655" i="8"/>
  <c r="AK658" i="8"/>
  <c r="AO658" i="8"/>
  <c r="AK703" i="8"/>
  <c r="AO703" i="8"/>
  <c r="AK809" i="8"/>
  <c r="AO809" i="8"/>
  <c r="AK634" i="8"/>
  <c r="AO634" i="8"/>
  <c r="AK727" i="8"/>
  <c r="AO727" i="8"/>
  <c r="AK689" i="8"/>
  <c r="AO689" i="8"/>
  <c r="AK781" i="8"/>
  <c r="AO781" i="8"/>
  <c r="AK702" i="8"/>
  <c r="AO702" i="8"/>
  <c r="AK363" i="8"/>
  <c r="AO363" i="8"/>
  <c r="AK764" i="8"/>
  <c r="AO764" i="8"/>
  <c r="AK687" i="8"/>
  <c r="AO687" i="8"/>
  <c r="AK432" i="8"/>
  <c r="AO432" i="8"/>
  <c r="AK352" i="8"/>
  <c r="AO352" i="8"/>
  <c r="AK439" i="8"/>
  <c r="AO439" i="8"/>
  <c r="AK719" i="8"/>
  <c r="AO719" i="8"/>
  <c r="AK839" i="8"/>
  <c r="AO839" i="8"/>
  <c r="AK378" i="8"/>
  <c r="AO378" i="8"/>
  <c r="AK731" i="8"/>
  <c r="AO731" i="8"/>
  <c r="AK379" i="8"/>
  <c r="AO379" i="8"/>
  <c r="AK653" i="8"/>
  <c r="AO653" i="8"/>
  <c r="AK790" i="8"/>
  <c r="AO790" i="8"/>
  <c r="AK681" i="8"/>
  <c r="AO681" i="8"/>
  <c r="AK626" i="8"/>
  <c r="AO626" i="8"/>
  <c r="AK654" i="8"/>
  <c r="AO654" i="8"/>
  <c r="AK669" i="8"/>
  <c r="AO669" i="8"/>
  <c r="AK811" i="8"/>
  <c r="AO811" i="8"/>
  <c r="AK693" i="8"/>
  <c r="AO693" i="8"/>
  <c r="AK729" i="8"/>
  <c r="AO729" i="8"/>
  <c r="AK717" i="8"/>
  <c r="AO717" i="8"/>
  <c r="AK339" i="8"/>
  <c r="AO339" i="8"/>
  <c r="AK718" i="8"/>
  <c r="AO718" i="8"/>
  <c r="AK440" i="8"/>
  <c r="AO440" i="8"/>
  <c r="V206" i="3"/>
  <c r="AD205" i="3"/>
  <c r="X535" i="8"/>
  <c r="AF534" i="8"/>
  <c r="X226" i="8"/>
  <c r="AF225" i="8"/>
  <c r="V232" i="2"/>
  <c r="AD232" i="2" s="1"/>
  <c r="V207" i="3" l="1"/>
  <c r="AD206" i="3"/>
  <c r="X227" i="8"/>
  <c r="AF226" i="8"/>
  <c r="AF535" i="8"/>
  <c r="X536" i="8"/>
  <c r="V233" i="2"/>
  <c r="AD233" i="2" s="1"/>
  <c r="AG705" i="8" l="1"/>
  <c r="AG808" i="8"/>
  <c r="AG446" i="8"/>
  <c r="AG479" i="8"/>
  <c r="AH479" i="8" s="1"/>
  <c r="AJ479" i="8" s="1"/>
  <c r="AG297" i="8"/>
  <c r="AG536" i="8"/>
  <c r="AG428" i="8"/>
  <c r="AH428" i="8" s="1"/>
  <c r="AJ428" i="8" s="1"/>
  <c r="AG821" i="8"/>
  <c r="AH821" i="8" s="1"/>
  <c r="AJ821" i="8" s="1"/>
  <c r="AG753" i="8"/>
  <c r="AG478" i="8"/>
  <c r="AG518" i="8"/>
  <c r="AG405" i="8"/>
  <c r="AH405" i="8" s="1"/>
  <c r="AJ405" i="8" s="1"/>
  <c r="AG704" i="8"/>
  <c r="AG317" i="8"/>
  <c r="AG638" i="8"/>
  <c r="AH638" i="8" s="1"/>
  <c r="AJ638" i="8" s="1"/>
  <c r="AG506" i="8"/>
  <c r="AH506" i="8" s="1"/>
  <c r="AJ506" i="8" s="1"/>
  <c r="AG426" i="8"/>
  <c r="AG757" i="8"/>
  <c r="AG752" i="8"/>
  <c r="AH752" i="8" s="1"/>
  <c r="AJ752" i="8" s="1"/>
  <c r="AG401" i="8"/>
  <c r="AH401" i="8" s="1"/>
  <c r="AJ401" i="8" s="1"/>
  <c r="AG761" i="8"/>
  <c r="AH761" i="8" s="1"/>
  <c r="AJ761" i="8" s="1"/>
  <c r="AG527" i="8"/>
  <c r="AH527" i="8" s="1"/>
  <c r="AJ527" i="8" s="1"/>
  <c r="AG338" i="8"/>
  <c r="AH338" i="8" s="1"/>
  <c r="AJ338" i="8" s="1"/>
  <c r="AG762" i="8"/>
  <c r="AH762" i="8" s="1"/>
  <c r="AJ762" i="8" s="1"/>
  <c r="V208" i="3"/>
  <c r="AD207" i="3"/>
  <c r="X537" i="8"/>
  <c r="AF536" i="8"/>
  <c r="AH705" i="8"/>
  <c r="AJ705" i="8" s="1"/>
  <c r="AH704" i="8"/>
  <c r="AJ704" i="8" s="1"/>
  <c r="AH446" i="8"/>
  <c r="AJ446" i="8" s="1"/>
  <c r="AH753" i="8"/>
  <c r="AJ753" i="8" s="1"/>
  <c r="AH536" i="8"/>
  <c r="AJ536" i="8" s="1"/>
  <c r="AH518" i="8"/>
  <c r="AJ518" i="8" s="1"/>
  <c r="AH757" i="8"/>
  <c r="AJ757" i="8" s="1"/>
  <c r="AH478" i="8"/>
  <c r="AJ478" i="8" s="1"/>
  <c r="AH426" i="8"/>
  <c r="AJ426" i="8" s="1"/>
  <c r="AH317" i="8"/>
  <c r="AJ317" i="8" s="1"/>
  <c r="AH297" i="8"/>
  <c r="AJ297" i="8" s="1"/>
  <c r="AH808" i="8"/>
  <c r="AJ808" i="8" s="1"/>
  <c r="X228" i="8"/>
  <c r="AF227" i="8"/>
  <c r="V234" i="2"/>
  <c r="AD234" i="2" s="1"/>
  <c r="AK506" i="8" l="1"/>
  <c r="AO506" i="8"/>
  <c r="AK821" i="8"/>
  <c r="AO821" i="8"/>
  <c r="AK338" i="8"/>
  <c r="AO338" i="8"/>
  <c r="AK762" i="8"/>
  <c r="AO762" i="8"/>
  <c r="AK479" i="8"/>
  <c r="AO479" i="8"/>
  <c r="AK752" i="8"/>
  <c r="AO752" i="8"/>
  <c r="AK638" i="8"/>
  <c r="AO638" i="8"/>
  <c r="AK428" i="8"/>
  <c r="AO428" i="8"/>
  <c r="AK478" i="8"/>
  <c r="AO478" i="8"/>
  <c r="AK704" i="8"/>
  <c r="AO704" i="8"/>
  <c r="AK757" i="8"/>
  <c r="AO757" i="8"/>
  <c r="AK753" i="8"/>
  <c r="AO753" i="8"/>
  <c r="AK808" i="8"/>
  <c r="AO808" i="8"/>
  <c r="AK426" i="8"/>
  <c r="AO426" i="8"/>
  <c r="AK518" i="8"/>
  <c r="AO518" i="8"/>
  <c r="AK446" i="8"/>
  <c r="AO446" i="8"/>
  <c r="AK401" i="8"/>
  <c r="AO401" i="8"/>
  <c r="AK405" i="8"/>
  <c r="AO405" i="8"/>
  <c r="AK297" i="8"/>
  <c r="AO297" i="8"/>
  <c r="AK536" i="8"/>
  <c r="AO536" i="8"/>
  <c r="AK317" i="8"/>
  <c r="AO317" i="8"/>
  <c r="AK527" i="8"/>
  <c r="AO527" i="8"/>
  <c r="AK705" i="8"/>
  <c r="AO705" i="8"/>
  <c r="AK761" i="8"/>
  <c r="AO761" i="8"/>
  <c r="AG537" i="8"/>
  <c r="AG384" i="8"/>
  <c r="AH384" i="8" s="1"/>
  <c r="AJ384" i="8" s="1"/>
  <c r="AG318" i="8"/>
  <c r="AH318" i="8" s="1"/>
  <c r="AJ318" i="8" s="1"/>
  <c r="AG381" i="8"/>
  <c r="AH381" i="8" s="1"/>
  <c r="AJ381" i="8" s="1"/>
  <c r="AG320" i="8"/>
  <c r="AH320" i="8" s="1"/>
  <c r="AJ320" i="8" s="1"/>
  <c r="V209" i="3"/>
  <c r="AD208" i="3"/>
  <c r="X229" i="8"/>
  <c r="AF228" i="8"/>
  <c r="AF537" i="8"/>
  <c r="X538" i="8"/>
  <c r="AH537" i="8"/>
  <c r="AJ537" i="8" s="1"/>
  <c r="V235" i="2"/>
  <c r="AD235" i="2" s="1"/>
  <c r="AK384" i="8" l="1"/>
  <c r="AO384" i="8"/>
  <c r="AK381" i="8"/>
  <c r="AO381" i="8"/>
  <c r="AK537" i="8"/>
  <c r="AO537" i="8"/>
  <c r="AK318" i="8"/>
  <c r="AO318" i="8"/>
  <c r="AK320" i="8"/>
  <c r="AO320" i="8"/>
  <c r="V210" i="3"/>
  <c r="AD209" i="3"/>
  <c r="X539" i="8"/>
  <c r="AF538" i="8"/>
  <c r="X230" i="8"/>
  <c r="AF229" i="8"/>
  <c r="V236" i="2"/>
  <c r="AD236" i="2" s="1"/>
  <c r="AG529" i="8" l="1"/>
  <c r="AH529" i="8" s="1"/>
  <c r="AJ529" i="8" s="1"/>
  <c r="AG539" i="8"/>
  <c r="AH539" i="8" s="1"/>
  <c r="AJ539" i="8" s="1"/>
  <c r="V211" i="3"/>
  <c r="AD210" i="3"/>
  <c r="X231" i="8"/>
  <c r="AF230" i="8"/>
  <c r="AF539" i="8"/>
  <c r="X540" i="8"/>
  <c r="V237" i="2"/>
  <c r="AK539" i="8" l="1"/>
  <c r="AO539" i="8"/>
  <c r="AK529" i="8"/>
  <c r="AO529" i="8"/>
  <c r="V212" i="3"/>
  <c r="AD211" i="3"/>
  <c r="AD237" i="2"/>
  <c r="X541" i="8"/>
  <c r="AF540" i="8"/>
  <c r="X232" i="8"/>
  <c r="AF231" i="8"/>
  <c r="V238" i="2"/>
  <c r="AD238" i="2" s="1"/>
  <c r="V213" i="3" l="1"/>
  <c r="AD212" i="3"/>
  <c r="X233" i="8"/>
  <c r="AF232" i="8"/>
  <c r="X542" i="8"/>
  <c r="AF541" i="8"/>
  <c r="V239" i="2"/>
  <c r="AD239" i="2" s="1"/>
  <c r="AG152" i="8" l="1"/>
  <c r="AH152" i="8" s="1"/>
  <c r="AJ152" i="8" s="1"/>
  <c r="AG233" i="8"/>
  <c r="AG148" i="8"/>
  <c r="AH148" i="8" s="1"/>
  <c r="AJ148" i="8" s="1"/>
  <c r="AG4" i="8"/>
  <c r="AH4" i="8" s="1"/>
  <c r="AJ4" i="8" s="1"/>
  <c r="AG88" i="8"/>
  <c r="AH88" i="8" s="1"/>
  <c r="AJ88" i="8" s="1"/>
  <c r="AG172" i="8"/>
  <c r="AH172" i="8" s="1"/>
  <c r="AJ172" i="8" s="1"/>
  <c r="AG108" i="8"/>
  <c r="AH108" i="8" s="1"/>
  <c r="AJ108" i="8" s="1"/>
  <c r="AG171" i="8"/>
  <c r="AH171" i="8" s="1"/>
  <c r="AJ171" i="8" s="1"/>
  <c r="AG225" i="8"/>
  <c r="AH225" i="8" s="1"/>
  <c r="AJ225" i="8" s="1"/>
  <c r="AG170" i="8"/>
  <c r="AH170" i="8" s="1"/>
  <c r="AJ170" i="8" s="1"/>
  <c r="V214" i="3"/>
  <c r="AD213" i="3"/>
  <c r="X543" i="8"/>
  <c r="AF542" i="8"/>
  <c r="X234" i="8"/>
  <c r="AF233" i="8"/>
  <c r="AH233" i="8"/>
  <c r="AJ233" i="8" s="1"/>
  <c r="V240" i="2"/>
  <c r="AD240" i="2" s="1"/>
  <c r="AK171" i="8" l="1"/>
  <c r="AO171" i="8"/>
  <c r="AK4" i="8"/>
  <c r="AO4" i="8"/>
  <c r="AK108" i="8"/>
  <c r="AO108" i="8"/>
  <c r="AK148" i="8"/>
  <c r="AO148" i="8"/>
  <c r="AK170" i="8"/>
  <c r="AO170" i="8"/>
  <c r="AK172" i="8"/>
  <c r="AO172" i="8"/>
  <c r="AK233" i="8"/>
  <c r="AO233" i="8"/>
  <c r="AK225" i="8"/>
  <c r="AO225" i="8"/>
  <c r="AK88" i="8"/>
  <c r="AO88" i="8"/>
  <c r="AK152" i="8"/>
  <c r="AO152" i="8"/>
  <c r="AG49" i="8"/>
  <c r="AG164" i="8"/>
  <c r="AG63" i="8"/>
  <c r="AH63" i="8" s="1"/>
  <c r="AJ63" i="8" s="1"/>
  <c r="AG234" i="8"/>
  <c r="AH234" i="8" s="1"/>
  <c r="AJ234" i="8" s="1"/>
  <c r="AG163" i="8"/>
  <c r="AH163" i="8" s="1"/>
  <c r="AJ163" i="8" s="1"/>
  <c r="AG151" i="8"/>
  <c r="AH151" i="8" s="1"/>
  <c r="AJ151" i="8" s="1"/>
  <c r="AG109" i="8"/>
  <c r="AH109" i="8" s="1"/>
  <c r="AJ109" i="8" s="1"/>
  <c r="V215" i="3"/>
  <c r="AD214" i="3"/>
  <c r="X235" i="8"/>
  <c r="AF234" i="8"/>
  <c r="AH164" i="8"/>
  <c r="AJ164" i="8" s="1"/>
  <c r="AH49" i="8"/>
  <c r="AJ49" i="8" s="1"/>
  <c r="AF543" i="8"/>
  <c r="X544" i="8"/>
  <c r="V241" i="2"/>
  <c r="AD241" i="2" s="1"/>
  <c r="AK234" i="8" l="1"/>
  <c r="AO234" i="8"/>
  <c r="AK109" i="8"/>
  <c r="AO109" i="8"/>
  <c r="AK63" i="8"/>
  <c r="AO63" i="8"/>
  <c r="AK164" i="8"/>
  <c r="AO164" i="8"/>
  <c r="AK151" i="8"/>
  <c r="AO151" i="8"/>
  <c r="AK49" i="8"/>
  <c r="AO49" i="8"/>
  <c r="AK163" i="8"/>
  <c r="AO163" i="8"/>
  <c r="V216" i="3"/>
  <c r="AD215" i="3"/>
  <c r="X545" i="8"/>
  <c r="AF544" i="8"/>
  <c r="X236" i="8"/>
  <c r="AF235" i="8"/>
  <c r="V242" i="2"/>
  <c r="AD242" i="2" s="1"/>
  <c r="V217" i="3" l="1"/>
  <c r="AD216" i="3"/>
  <c r="X237" i="8"/>
  <c r="AF236" i="8"/>
  <c r="X546" i="8"/>
  <c r="AF545" i="8"/>
  <c r="V243" i="2"/>
  <c r="AD243" i="2" s="1"/>
  <c r="AD217" i="3" l="1"/>
  <c r="V218" i="3"/>
  <c r="AE96" i="3"/>
  <c r="AF96" i="3" s="1"/>
  <c r="AH96" i="3" s="1"/>
  <c r="AJ96" i="3" s="1"/>
  <c r="AE217" i="3"/>
  <c r="AF217" i="3" s="1"/>
  <c r="AH217" i="3" s="1"/>
  <c r="AJ217" i="3" s="1"/>
  <c r="AE33" i="3"/>
  <c r="AF33" i="3" s="1"/>
  <c r="AH33" i="3" s="1"/>
  <c r="AJ33" i="3" s="1"/>
  <c r="AE99" i="3"/>
  <c r="AF99" i="3" s="1"/>
  <c r="AH99" i="3" s="1"/>
  <c r="AJ99" i="3" s="1"/>
  <c r="X547" i="8"/>
  <c r="AF546" i="8"/>
  <c r="AF237" i="8"/>
  <c r="X238" i="8"/>
  <c r="V244" i="2"/>
  <c r="AD244" i="2" s="1"/>
  <c r="V219" i="3" l="1"/>
  <c r="AD218" i="3"/>
  <c r="X239" i="8"/>
  <c r="AF238" i="8"/>
  <c r="X548" i="8"/>
  <c r="AF547" i="8"/>
  <c r="V245" i="2"/>
  <c r="AD245" i="2" s="1"/>
  <c r="AG175" i="8" l="1"/>
  <c r="AH175" i="8" s="1"/>
  <c r="AJ175" i="8" s="1"/>
  <c r="AG239" i="8"/>
  <c r="AH239" i="8" s="1"/>
  <c r="AJ239" i="8" s="1"/>
  <c r="V220" i="3"/>
  <c r="AD219" i="3"/>
  <c r="AF548" i="8"/>
  <c r="X549" i="8"/>
  <c r="AF239" i="8"/>
  <c r="X240" i="8"/>
  <c r="V246" i="2"/>
  <c r="AD246" i="2" s="1"/>
  <c r="AK239" i="8" l="1"/>
  <c r="AO239" i="8"/>
  <c r="AK175" i="8"/>
  <c r="AO175" i="8"/>
  <c r="V221" i="3"/>
  <c r="AD220" i="3"/>
  <c r="X241" i="8"/>
  <c r="AF240" i="8"/>
  <c r="X550" i="8"/>
  <c r="AF549" i="8"/>
  <c r="V247" i="2"/>
  <c r="V222" i="3" l="1"/>
  <c r="AD221" i="3"/>
  <c r="AD247" i="2"/>
  <c r="X551" i="8"/>
  <c r="AG551" i="8" s="1"/>
  <c r="AF550" i="8"/>
  <c r="X242" i="8"/>
  <c r="AF241" i="8"/>
  <c r="V248" i="2"/>
  <c r="AD248" i="2" s="1"/>
  <c r="V223" i="3" l="1"/>
  <c r="AD222" i="3"/>
  <c r="X243" i="8"/>
  <c r="AF242" i="8"/>
  <c r="AF551" i="8"/>
  <c r="AH551" i="8"/>
  <c r="AJ551" i="8" s="1"/>
  <c r="X552" i="8"/>
  <c r="V249" i="2"/>
  <c r="AD249" i="2" s="1"/>
  <c r="AK551" i="8" l="1"/>
  <c r="AO551" i="8"/>
  <c r="AG139" i="8"/>
  <c r="AH139" i="8" s="1"/>
  <c r="AJ139" i="8" s="1"/>
  <c r="AG179" i="8"/>
  <c r="AH179" i="8" s="1"/>
  <c r="AJ179" i="8" s="1"/>
  <c r="AG243" i="8"/>
  <c r="AH243" i="8" s="1"/>
  <c r="AJ243" i="8" s="1"/>
  <c r="V224" i="3"/>
  <c r="AD223" i="3"/>
  <c r="X553" i="8"/>
  <c r="AF552" i="8"/>
  <c r="X244" i="8"/>
  <c r="AF243" i="8"/>
  <c r="V250" i="2"/>
  <c r="AD250" i="2" s="1"/>
  <c r="AK179" i="8" l="1"/>
  <c r="AO179" i="8"/>
  <c r="AK139" i="8"/>
  <c r="AO139" i="8"/>
  <c r="AK243" i="8"/>
  <c r="AO243" i="8"/>
  <c r="AD224" i="3"/>
  <c r="AE95" i="3"/>
  <c r="AF95" i="3" s="1"/>
  <c r="AH95" i="3" s="1"/>
  <c r="AJ95" i="3" s="1"/>
  <c r="AE127" i="3"/>
  <c r="AF127" i="3" s="1"/>
  <c r="AH127" i="3" s="1"/>
  <c r="AJ127" i="3" s="1"/>
  <c r="AE19" i="3"/>
  <c r="AF19" i="3" s="1"/>
  <c r="AH19" i="3" s="1"/>
  <c r="AJ19" i="3" s="1"/>
  <c r="AE54" i="3"/>
  <c r="AF54" i="3" s="1"/>
  <c r="AH54" i="3" s="1"/>
  <c r="AJ54" i="3" s="1"/>
  <c r="AE115" i="3"/>
  <c r="AF115" i="3" s="1"/>
  <c r="AH115" i="3" s="1"/>
  <c r="AJ115" i="3" s="1"/>
  <c r="AE11" i="3"/>
  <c r="AF11" i="3" s="1"/>
  <c r="AH11" i="3" s="1"/>
  <c r="AJ11" i="3" s="1"/>
  <c r="AE211" i="3"/>
  <c r="AF211" i="3" s="1"/>
  <c r="AH211" i="3" s="1"/>
  <c r="AJ211" i="3" s="1"/>
  <c r="AE136" i="3"/>
  <c r="AF136" i="3" s="1"/>
  <c r="AH136" i="3" s="1"/>
  <c r="AJ136" i="3" s="1"/>
  <c r="AE166" i="3"/>
  <c r="AF166" i="3" s="1"/>
  <c r="AH166" i="3" s="1"/>
  <c r="AJ166" i="3" s="1"/>
  <c r="AE182" i="3"/>
  <c r="AF182" i="3" s="1"/>
  <c r="AH182" i="3" s="1"/>
  <c r="AJ182" i="3" s="1"/>
  <c r="AE132" i="3"/>
  <c r="AF132" i="3" s="1"/>
  <c r="AH132" i="3" s="1"/>
  <c r="AJ132" i="3" s="1"/>
  <c r="AE106" i="3"/>
  <c r="AF106" i="3" s="1"/>
  <c r="AH106" i="3" s="1"/>
  <c r="AJ106" i="3" s="1"/>
  <c r="AE188" i="3"/>
  <c r="AF188" i="3" s="1"/>
  <c r="AH188" i="3" s="1"/>
  <c r="AJ188" i="3" s="1"/>
  <c r="AE51" i="3"/>
  <c r="AF51" i="3" s="1"/>
  <c r="AH51" i="3" s="1"/>
  <c r="AJ51" i="3" s="1"/>
  <c r="AE178" i="3"/>
  <c r="AF178" i="3" s="1"/>
  <c r="AH178" i="3" s="1"/>
  <c r="AJ178" i="3" s="1"/>
  <c r="AE179" i="3"/>
  <c r="AF179" i="3" s="1"/>
  <c r="AH179" i="3" s="1"/>
  <c r="AJ179" i="3" s="1"/>
  <c r="AE133" i="3"/>
  <c r="AF133" i="3" s="1"/>
  <c r="AH133" i="3" s="1"/>
  <c r="AJ133" i="3" s="1"/>
  <c r="AE191" i="3"/>
  <c r="AF191" i="3" s="1"/>
  <c r="AH191" i="3" s="1"/>
  <c r="AJ191" i="3" s="1"/>
  <c r="AE28" i="3"/>
  <c r="AF28" i="3" s="1"/>
  <c r="AH28" i="3" s="1"/>
  <c r="AJ28" i="3" s="1"/>
  <c r="AE110" i="3"/>
  <c r="AF110" i="3" s="1"/>
  <c r="AH110" i="3" s="1"/>
  <c r="AJ110" i="3" s="1"/>
  <c r="AE152" i="3"/>
  <c r="AF152" i="3" s="1"/>
  <c r="AH152" i="3" s="1"/>
  <c r="AJ152" i="3" s="1"/>
  <c r="AE18" i="3"/>
  <c r="AF18" i="3" s="1"/>
  <c r="AH18" i="3" s="1"/>
  <c r="AJ18" i="3" s="1"/>
  <c r="AE23" i="3"/>
  <c r="AF23" i="3" s="1"/>
  <c r="AH23" i="3" s="1"/>
  <c r="AJ23" i="3" s="1"/>
  <c r="AE213" i="3"/>
  <c r="AF213" i="3" s="1"/>
  <c r="AH213" i="3" s="1"/>
  <c r="AJ213" i="3" s="1"/>
  <c r="AE3" i="3"/>
  <c r="AF3" i="3" s="1"/>
  <c r="AH3" i="3" s="1"/>
  <c r="AJ3" i="3" s="1"/>
  <c r="AE5" i="3"/>
  <c r="AF5" i="3" s="1"/>
  <c r="AH5" i="3" s="1"/>
  <c r="AJ5" i="3" s="1"/>
  <c r="AE8" i="3"/>
  <c r="AF8" i="3" s="1"/>
  <c r="AH8" i="3" s="1"/>
  <c r="AJ8" i="3" s="1"/>
  <c r="AE92" i="3"/>
  <c r="AF92" i="3" s="1"/>
  <c r="AH92" i="3" s="1"/>
  <c r="AJ92" i="3" s="1"/>
  <c r="AE198" i="3"/>
  <c r="AF198" i="3" s="1"/>
  <c r="AH198" i="3" s="1"/>
  <c r="AJ198" i="3" s="1"/>
  <c r="AE116" i="3"/>
  <c r="AF116" i="3" s="1"/>
  <c r="AH116" i="3" s="1"/>
  <c r="AJ116" i="3" s="1"/>
  <c r="AE145" i="3"/>
  <c r="AF145" i="3" s="1"/>
  <c r="AH145" i="3" s="1"/>
  <c r="AJ145" i="3" s="1"/>
  <c r="AE153" i="3"/>
  <c r="AF153" i="3" s="1"/>
  <c r="AH153" i="3" s="1"/>
  <c r="AJ153" i="3" s="1"/>
  <c r="AE175" i="3"/>
  <c r="AF175" i="3" s="1"/>
  <c r="AH175" i="3" s="1"/>
  <c r="AJ175" i="3" s="1"/>
  <c r="AE176" i="3"/>
  <c r="AF176" i="3" s="1"/>
  <c r="AH176" i="3" s="1"/>
  <c r="AJ176" i="3" s="1"/>
  <c r="AE184" i="3"/>
  <c r="AF184" i="3" s="1"/>
  <c r="AH184" i="3" s="1"/>
  <c r="AJ184" i="3" s="1"/>
  <c r="AE120" i="3"/>
  <c r="AF120" i="3" s="1"/>
  <c r="AH120" i="3" s="1"/>
  <c r="AJ120" i="3" s="1"/>
  <c r="AE35" i="3"/>
  <c r="AF35" i="3" s="1"/>
  <c r="AH35" i="3" s="1"/>
  <c r="AJ35" i="3" s="1"/>
  <c r="AE56" i="3"/>
  <c r="AF56" i="3" s="1"/>
  <c r="AH56" i="3" s="1"/>
  <c r="AJ56" i="3" s="1"/>
  <c r="AE20" i="3"/>
  <c r="AF20" i="3" s="1"/>
  <c r="AH20" i="3" s="1"/>
  <c r="AJ20" i="3" s="1"/>
  <c r="AE43" i="3"/>
  <c r="AF43" i="3" s="1"/>
  <c r="AH43" i="3" s="1"/>
  <c r="AJ43" i="3" s="1"/>
  <c r="AE21" i="3"/>
  <c r="AF21" i="3" s="1"/>
  <c r="AH21" i="3" s="1"/>
  <c r="AJ21" i="3" s="1"/>
  <c r="AE210" i="3"/>
  <c r="AF210" i="3" s="1"/>
  <c r="AH210" i="3" s="1"/>
  <c r="AJ210" i="3" s="1"/>
  <c r="AE30" i="3"/>
  <c r="AF30" i="3" s="1"/>
  <c r="AH30" i="3" s="1"/>
  <c r="AJ30" i="3" s="1"/>
  <c r="AE201" i="3"/>
  <c r="AF201" i="3" s="1"/>
  <c r="AH201" i="3" s="1"/>
  <c r="AJ201" i="3" s="1"/>
  <c r="AE209" i="3"/>
  <c r="AF209" i="3" s="1"/>
  <c r="AH209" i="3" s="1"/>
  <c r="AJ209" i="3" s="1"/>
  <c r="AE42" i="3"/>
  <c r="AF42" i="3" s="1"/>
  <c r="AH42" i="3" s="1"/>
  <c r="AJ42" i="3" s="1"/>
  <c r="AE114" i="3"/>
  <c r="AF114" i="3" s="1"/>
  <c r="AH114" i="3" s="1"/>
  <c r="AJ114" i="3" s="1"/>
  <c r="AE10" i="3"/>
  <c r="AF10" i="3" s="1"/>
  <c r="AH10" i="3" s="1"/>
  <c r="AJ10" i="3" s="1"/>
  <c r="AE208" i="3"/>
  <c r="AF208" i="3" s="1"/>
  <c r="AH208" i="3" s="1"/>
  <c r="AJ208" i="3" s="1"/>
  <c r="AE39" i="3"/>
  <c r="AF39" i="3" s="1"/>
  <c r="AH39" i="3" s="1"/>
  <c r="AJ39" i="3" s="1"/>
  <c r="AE85" i="3"/>
  <c r="AF85" i="3" s="1"/>
  <c r="AH85" i="3" s="1"/>
  <c r="AJ85" i="3" s="1"/>
  <c r="AE27" i="3"/>
  <c r="AF27" i="3" s="1"/>
  <c r="AH27" i="3" s="1"/>
  <c r="AJ27" i="3" s="1"/>
  <c r="AE63" i="3"/>
  <c r="AF63" i="3" s="1"/>
  <c r="AH63" i="3" s="1"/>
  <c r="AJ63" i="3" s="1"/>
  <c r="AE224" i="3"/>
  <c r="AF224" i="3" s="1"/>
  <c r="AH224" i="3" s="1"/>
  <c r="AJ224" i="3" s="1"/>
  <c r="AE104" i="3"/>
  <c r="AF104" i="3" s="1"/>
  <c r="AH104" i="3" s="1"/>
  <c r="AJ104" i="3" s="1"/>
  <c r="AE74" i="3"/>
  <c r="AF74" i="3" s="1"/>
  <c r="AH74" i="3" s="1"/>
  <c r="AJ74" i="3" s="1"/>
  <c r="AE155" i="3"/>
  <c r="AF155" i="3" s="1"/>
  <c r="AH155" i="3" s="1"/>
  <c r="AJ155" i="3" s="1"/>
  <c r="AE14" i="3"/>
  <c r="AF14" i="3" s="1"/>
  <c r="AH14" i="3" s="1"/>
  <c r="AJ14" i="3" s="1"/>
  <c r="AE34" i="3"/>
  <c r="AF34" i="3" s="1"/>
  <c r="AH34" i="3" s="1"/>
  <c r="AJ34" i="3" s="1"/>
  <c r="AE25" i="3"/>
  <c r="AF25" i="3" s="1"/>
  <c r="AH25" i="3" s="1"/>
  <c r="AJ25" i="3" s="1"/>
  <c r="AE52" i="3"/>
  <c r="AF52" i="3" s="1"/>
  <c r="AH52" i="3" s="1"/>
  <c r="AJ52" i="3" s="1"/>
  <c r="AE180" i="3"/>
  <c r="AF180" i="3" s="1"/>
  <c r="AH180" i="3" s="1"/>
  <c r="AJ180" i="3" s="1"/>
  <c r="AE204" i="3"/>
  <c r="AF204" i="3" s="1"/>
  <c r="AH204" i="3" s="1"/>
  <c r="AJ204" i="3" s="1"/>
  <c r="AE147" i="3"/>
  <c r="AF147" i="3" s="1"/>
  <c r="AH147" i="3" s="1"/>
  <c r="AJ147" i="3" s="1"/>
  <c r="AE171" i="3"/>
  <c r="AF171" i="3" s="1"/>
  <c r="AH171" i="3" s="1"/>
  <c r="AJ171" i="3" s="1"/>
  <c r="AE148" i="3"/>
  <c r="AF148" i="3" s="1"/>
  <c r="AH148" i="3" s="1"/>
  <c r="AJ148" i="3" s="1"/>
  <c r="AE26" i="3"/>
  <c r="AF26" i="3" s="1"/>
  <c r="AH26" i="3" s="1"/>
  <c r="AJ26" i="3" s="1"/>
  <c r="AE111" i="3"/>
  <c r="AF111" i="3" s="1"/>
  <c r="AH111" i="3" s="1"/>
  <c r="AJ111" i="3" s="1"/>
  <c r="AE89" i="3"/>
  <c r="AF89" i="3" s="1"/>
  <c r="AH89" i="3" s="1"/>
  <c r="AJ89" i="3" s="1"/>
  <c r="AE79" i="3"/>
  <c r="AF79" i="3" s="1"/>
  <c r="AH79" i="3" s="1"/>
  <c r="AJ79" i="3" s="1"/>
  <c r="AE141" i="3"/>
  <c r="AF141" i="3" s="1"/>
  <c r="AH141" i="3" s="1"/>
  <c r="AJ141" i="3" s="1"/>
  <c r="AE172" i="3"/>
  <c r="AF172" i="3" s="1"/>
  <c r="AH172" i="3" s="1"/>
  <c r="AJ172" i="3" s="1"/>
  <c r="AE75" i="3"/>
  <c r="AF75" i="3" s="1"/>
  <c r="AH75" i="3" s="1"/>
  <c r="AJ75" i="3" s="1"/>
  <c r="AE150" i="3"/>
  <c r="AF150" i="3" s="1"/>
  <c r="AH150" i="3" s="1"/>
  <c r="AJ150" i="3" s="1"/>
  <c r="AE17" i="3"/>
  <c r="AF17" i="3" s="1"/>
  <c r="AH17" i="3" s="1"/>
  <c r="AJ17" i="3" s="1"/>
  <c r="AE165" i="3"/>
  <c r="AF165" i="3" s="1"/>
  <c r="AH165" i="3" s="1"/>
  <c r="AJ165" i="3" s="1"/>
  <c r="AE158" i="3"/>
  <c r="AF158" i="3" s="1"/>
  <c r="AH158" i="3" s="1"/>
  <c r="AJ158" i="3" s="1"/>
  <c r="AE151" i="3"/>
  <c r="AF151" i="3" s="1"/>
  <c r="AH151" i="3" s="1"/>
  <c r="AJ151" i="3" s="1"/>
  <c r="AE169" i="3"/>
  <c r="AF169" i="3" s="1"/>
  <c r="AH169" i="3" s="1"/>
  <c r="AJ169" i="3" s="1"/>
  <c r="AE177" i="3"/>
  <c r="AF177" i="3" s="1"/>
  <c r="AH177" i="3" s="1"/>
  <c r="AJ177" i="3" s="1"/>
  <c r="AE38" i="3"/>
  <c r="AF38" i="3" s="1"/>
  <c r="AH38" i="3" s="1"/>
  <c r="AJ38" i="3" s="1"/>
  <c r="AE173" i="3"/>
  <c r="AF173" i="3" s="1"/>
  <c r="AH173" i="3" s="1"/>
  <c r="AJ173" i="3" s="1"/>
  <c r="AE123" i="3"/>
  <c r="AF123" i="3" s="1"/>
  <c r="AH123" i="3" s="1"/>
  <c r="AJ123" i="3" s="1"/>
  <c r="AE203" i="3"/>
  <c r="AF203" i="3" s="1"/>
  <c r="AH203" i="3" s="1"/>
  <c r="AJ203" i="3" s="1"/>
  <c r="AE190" i="3"/>
  <c r="AF190" i="3" s="1"/>
  <c r="AH190" i="3" s="1"/>
  <c r="AJ190" i="3" s="1"/>
  <c r="AE134" i="3"/>
  <c r="AF134" i="3" s="1"/>
  <c r="AH134" i="3" s="1"/>
  <c r="AJ134" i="3" s="1"/>
  <c r="AE218" i="3"/>
  <c r="AF218" i="3" s="1"/>
  <c r="AH218" i="3" s="1"/>
  <c r="AJ218" i="3" s="1"/>
  <c r="AE50" i="3"/>
  <c r="AF50" i="3" s="1"/>
  <c r="AH50" i="3" s="1"/>
  <c r="AJ50" i="3" s="1"/>
  <c r="AE86" i="3"/>
  <c r="AF86" i="3" s="1"/>
  <c r="AH86" i="3" s="1"/>
  <c r="AJ86" i="3" s="1"/>
  <c r="AE137" i="3"/>
  <c r="AF137" i="3" s="1"/>
  <c r="AH137" i="3" s="1"/>
  <c r="AJ137" i="3" s="1"/>
  <c r="AE88" i="3"/>
  <c r="AF88" i="3" s="1"/>
  <c r="AH88" i="3" s="1"/>
  <c r="AJ88" i="3" s="1"/>
  <c r="AE212" i="3"/>
  <c r="AF212" i="3" s="1"/>
  <c r="AH212" i="3" s="1"/>
  <c r="AJ212" i="3" s="1"/>
  <c r="AE46" i="3"/>
  <c r="AF46" i="3" s="1"/>
  <c r="AH46" i="3" s="1"/>
  <c r="AJ46" i="3" s="1"/>
  <c r="AE124" i="3"/>
  <c r="AF124" i="3" s="1"/>
  <c r="AH124" i="3" s="1"/>
  <c r="AJ124" i="3" s="1"/>
  <c r="AE15" i="3"/>
  <c r="AF15" i="3" s="1"/>
  <c r="AH15" i="3" s="1"/>
  <c r="AJ15" i="3" s="1"/>
  <c r="AE219" i="3"/>
  <c r="AF219" i="3" s="1"/>
  <c r="AH219" i="3" s="1"/>
  <c r="AJ219" i="3" s="1"/>
  <c r="AE174" i="3"/>
  <c r="AF174" i="3" s="1"/>
  <c r="AH174" i="3" s="1"/>
  <c r="AJ174" i="3" s="1"/>
  <c r="AE77" i="3"/>
  <c r="AF77" i="3" s="1"/>
  <c r="AH77" i="3" s="1"/>
  <c r="AJ77" i="3" s="1"/>
  <c r="AE76" i="3"/>
  <c r="AF76" i="3" s="1"/>
  <c r="AH76" i="3" s="1"/>
  <c r="AJ76" i="3" s="1"/>
  <c r="AE197" i="3"/>
  <c r="AF197" i="3" s="1"/>
  <c r="AH197" i="3" s="1"/>
  <c r="AJ197" i="3" s="1"/>
  <c r="AE183" i="3"/>
  <c r="AF183" i="3" s="1"/>
  <c r="AH183" i="3" s="1"/>
  <c r="AJ183" i="3" s="1"/>
  <c r="AE156" i="3"/>
  <c r="AF156" i="3" s="1"/>
  <c r="AH156" i="3" s="1"/>
  <c r="AJ156" i="3" s="1"/>
  <c r="AE22" i="3"/>
  <c r="AF22" i="3" s="1"/>
  <c r="AH22" i="3" s="1"/>
  <c r="AJ22" i="3" s="1"/>
  <c r="AE157" i="3"/>
  <c r="AF157" i="3" s="1"/>
  <c r="AH157" i="3" s="1"/>
  <c r="AJ157" i="3" s="1"/>
  <c r="AE215" i="3"/>
  <c r="AF215" i="3" s="1"/>
  <c r="AH215" i="3" s="1"/>
  <c r="AJ215" i="3" s="1"/>
  <c r="AE24" i="3"/>
  <c r="AF24" i="3" s="1"/>
  <c r="AH24" i="3" s="1"/>
  <c r="AJ24" i="3" s="1"/>
  <c r="AE94" i="3"/>
  <c r="AF94" i="3" s="1"/>
  <c r="AH94" i="3" s="1"/>
  <c r="AJ94" i="3" s="1"/>
  <c r="AE112" i="3"/>
  <c r="AF112" i="3" s="1"/>
  <c r="AH112" i="3" s="1"/>
  <c r="AJ112" i="3" s="1"/>
  <c r="AE206" i="3"/>
  <c r="AF206" i="3" s="1"/>
  <c r="AH206" i="3" s="1"/>
  <c r="AJ206" i="3" s="1"/>
  <c r="AE13" i="3"/>
  <c r="AF13" i="3" s="1"/>
  <c r="AH13" i="3" s="1"/>
  <c r="AJ13" i="3" s="1"/>
  <c r="AE164" i="3"/>
  <c r="AF164" i="3" s="1"/>
  <c r="AH164" i="3" s="1"/>
  <c r="AJ164" i="3" s="1"/>
  <c r="AE126" i="3"/>
  <c r="AF126" i="3" s="1"/>
  <c r="AH126" i="3" s="1"/>
  <c r="AJ126" i="3" s="1"/>
  <c r="AE196" i="3"/>
  <c r="AF196" i="3" s="1"/>
  <c r="AH196" i="3" s="1"/>
  <c r="AJ196" i="3" s="1"/>
  <c r="AE72" i="3"/>
  <c r="AF72" i="3" s="1"/>
  <c r="AH72" i="3" s="1"/>
  <c r="AJ72" i="3" s="1"/>
  <c r="AE223" i="3"/>
  <c r="AF223" i="3" s="1"/>
  <c r="AH223" i="3" s="1"/>
  <c r="AJ223" i="3" s="1"/>
  <c r="AE48" i="3"/>
  <c r="AF48" i="3" s="1"/>
  <c r="AH48" i="3" s="1"/>
  <c r="AJ48" i="3" s="1"/>
  <c r="AE119" i="3"/>
  <c r="AF119" i="3" s="1"/>
  <c r="AH119" i="3" s="1"/>
  <c r="AJ119" i="3" s="1"/>
  <c r="AE6" i="3"/>
  <c r="AF6" i="3" s="1"/>
  <c r="AH6" i="3" s="1"/>
  <c r="AJ6" i="3" s="1"/>
  <c r="AE195" i="3"/>
  <c r="AF195" i="3" s="1"/>
  <c r="AH195" i="3" s="1"/>
  <c r="AJ195" i="3" s="1"/>
  <c r="AE181" i="3"/>
  <c r="AF181" i="3" s="1"/>
  <c r="AH181" i="3" s="1"/>
  <c r="AJ181" i="3" s="1"/>
  <c r="AE55" i="3"/>
  <c r="AF55" i="3" s="1"/>
  <c r="AH55" i="3" s="1"/>
  <c r="AJ55" i="3" s="1"/>
  <c r="AE146" i="3"/>
  <c r="AF146" i="3" s="1"/>
  <c r="AH146" i="3" s="1"/>
  <c r="AJ146" i="3" s="1"/>
  <c r="AE103" i="3"/>
  <c r="AF103" i="3" s="1"/>
  <c r="AH103" i="3" s="1"/>
  <c r="AJ103" i="3" s="1"/>
  <c r="AE105" i="3"/>
  <c r="AF105" i="3" s="1"/>
  <c r="AH105" i="3" s="1"/>
  <c r="AJ105" i="3" s="1"/>
  <c r="AE78" i="3"/>
  <c r="AF78" i="3" s="1"/>
  <c r="AH78" i="3" s="1"/>
  <c r="AJ78" i="3" s="1"/>
  <c r="AE109" i="3"/>
  <c r="AF109" i="3" s="1"/>
  <c r="AH109" i="3" s="1"/>
  <c r="AJ109" i="3" s="1"/>
  <c r="AE142" i="3"/>
  <c r="AF142" i="3" s="1"/>
  <c r="AH142" i="3" s="1"/>
  <c r="AJ142" i="3" s="1"/>
  <c r="AE12" i="3"/>
  <c r="AF12" i="3" s="1"/>
  <c r="AH12" i="3" s="1"/>
  <c r="AJ12" i="3" s="1"/>
  <c r="AE107" i="3"/>
  <c r="AF107" i="3" s="1"/>
  <c r="AH107" i="3" s="1"/>
  <c r="AJ107" i="3" s="1"/>
  <c r="AE67" i="3"/>
  <c r="AF67" i="3" s="1"/>
  <c r="AH67" i="3" s="1"/>
  <c r="AJ67" i="3" s="1"/>
  <c r="AE47" i="3"/>
  <c r="AF47" i="3" s="1"/>
  <c r="AH47" i="3" s="1"/>
  <c r="AJ47" i="3" s="1"/>
  <c r="AE59" i="3"/>
  <c r="AF59" i="3" s="1"/>
  <c r="AH59" i="3" s="1"/>
  <c r="AJ59" i="3" s="1"/>
  <c r="AE168" i="3"/>
  <c r="AF168" i="3" s="1"/>
  <c r="AH168" i="3" s="1"/>
  <c r="AJ168" i="3" s="1"/>
  <c r="AE159" i="3"/>
  <c r="AF159" i="3" s="1"/>
  <c r="AH159" i="3" s="1"/>
  <c r="AJ159" i="3" s="1"/>
  <c r="AE187" i="3"/>
  <c r="AF187" i="3" s="1"/>
  <c r="AH187" i="3" s="1"/>
  <c r="AJ187" i="3" s="1"/>
  <c r="AE189" i="3"/>
  <c r="AF189" i="3" s="1"/>
  <c r="AH189" i="3" s="1"/>
  <c r="AJ189" i="3" s="1"/>
  <c r="AE36" i="3"/>
  <c r="AF36" i="3" s="1"/>
  <c r="AH36" i="3" s="1"/>
  <c r="AJ36" i="3" s="1"/>
  <c r="AE4" i="3"/>
  <c r="AF4" i="3" s="1"/>
  <c r="AH4" i="3" s="1"/>
  <c r="AJ4" i="3" s="1"/>
  <c r="AE71" i="3"/>
  <c r="AF71" i="3" s="1"/>
  <c r="AH71" i="3" s="1"/>
  <c r="AJ71" i="3" s="1"/>
  <c r="AE80" i="3"/>
  <c r="AF80" i="3" s="1"/>
  <c r="AH80" i="3" s="1"/>
  <c r="AJ80" i="3" s="1"/>
  <c r="AE81" i="3"/>
  <c r="AF81" i="3" s="1"/>
  <c r="AH81" i="3" s="1"/>
  <c r="AJ81" i="3" s="1"/>
  <c r="AE65" i="3"/>
  <c r="AF65" i="3" s="1"/>
  <c r="AH65" i="3" s="1"/>
  <c r="AJ65" i="3" s="1"/>
  <c r="AE117" i="3"/>
  <c r="AF117" i="3" s="1"/>
  <c r="AH117" i="3" s="1"/>
  <c r="AJ117" i="3" s="1"/>
  <c r="AE60" i="3"/>
  <c r="AF60" i="3" s="1"/>
  <c r="AH60" i="3" s="1"/>
  <c r="AJ60" i="3" s="1"/>
  <c r="AE53" i="3"/>
  <c r="AF53" i="3" s="1"/>
  <c r="AH53" i="3" s="1"/>
  <c r="AJ53" i="3" s="1"/>
  <c r="AE162" i="3"/>
  <c r="AF162" i="3" s="1"/>
  <c r="AH162" i="3" s="1"/>
  <c r="AJ162" i="3" s="1"/>
  <c r="AE58" i="3"/>
  <c r="AF58" i="3" s="1"/>
  <c r="AH58" i="3" s="1"/>
  <c r="AJ58" i="3" s="1"/>
  <c r="AE149" i="3"/>
  <c r="AF149" i="3" s="1"/>
  <c r="AH149" i="3" s="1"/>
  <c r="AJ149" i="3" s="1"/>
  <c r="AE97" i="3"/>
  <c r="AF97" i="3" s="1"/>
  <c r="AH97" i="3" s="1"/>
  <c r="AJ97" i="3" s="1"/>
  <c r="AE118" i="3"/>
  <c r="AF118" i="3" s="1"/>
  <c r="AH118" i="3" s="1"/>
  <c r="AJ118" i="3" s="1"/>
  <c r="AE40" i="3"/>
  <c r="AF40" i="3" s="1"/>
  <c r="AH40" i="3" s="1"/>
  <c r="AJ40" i="3" s="1"/>
  <c r="AE73" i="3"/>
  <c r="AF73" i="3" s="1"/>
  <c r="AH73" i="3" s="1"/>
  <c r="AJ73" i="3" s="1"/>
  <c r="AE102" i="3"/>
  <c r="AF102" i="3" s="1"/>
  <c r="AH102" i="3" s="1"/>
  <c r="AJ102" i="3" s="1"/>
  <c r="AE121" i="3"/>
  <c r="AF121" i="3" s="1"/>
  <c r="AH121" i="3" s="1"/>
  <c r="AJ121" i="3" s="1"/>
  <c r="AE138" i="3"/>
  <c r="AF138" i="3" s="1"/>
  <c r="AH138" i="3" s="1"/>
  <c r="AJ138" i="3" s="1"/>
  <c r="AE66" i="3"/>
  <c r="AF66" i="3" s="1"/>
  <c r="AH66" i="3" s="1"/>
  <c r="AJ66" i="3" s="1"/>
  <c r="AE84" i="3"/>
  <c r="AF84" i="3" s="1"/>
  <c r="AH84" i="3" s="1"/>
  <c r="AJ84" i="3" s="1"/>
  <c r="AE143" i="3"/>
  <c r="AF143" i="3" s="1"/>
  <c r="AH143" i="3" s="1"/>
  <c r="AJ143" i="3" s="1"/>
  <c r="AE122" i="3"/>
  <c r="AF122" i="3" s="1"/>
  <c r="AH122" i="3" s="1"/>
  <c r="AJ122" i="3" s="1"/>
  <c r="AE108" i="3"/>
  <c r="AF108" i="3" s="1"/>
  <c r="AH108" i="3" s="1"/>
  <c r="AJ108" i="3" s="1"/>
  <c r="AE90" i="3"/>
  <c r="AF90" i="3" s="1"/>
  <c r="AH90" i="3" s="1"/>
  <c r="AJ90" i="3" s="1"/>
  <c r="AE70" i="3"/>
  <c r="AF70" i="3" s="1"/>
  <c r="AH70" i="3" s="1"/>
  <c r="AJ70" i="3" s="1"/>
  <c r="AE91" i="3"/>
  <c r="AF91" i="3" s="1"/>
  <c r="AH91" i="3" s="1"/>
  <c r="AJ91" i="3" s="1"/>
  <c r="AE154" i="3"/>
  <c r="AF154" i="3" s="1"/>
  <c r="AH154" i="3" s="1"/>
  <c r="AJ154" i="3" s="1"/>
  <c r="AE170" i="3"/>
  <c r="AF170" i="3" s="1"/>
  <c r="AH170" i="3" s="1"/>
  <c r="AJ170" i="3" s="1"/>
  <c r="AE207" i="3"/>
  <c r="AF207" i="3" s="1"/>
  <c r="AH207" i="3" s="1"/>
  <c r="AJ207" i="3" s="1"/>
  <c r="AE87" i="3"/>
  <c r="AF87" i="3" s="1"/>
  <c r="AH87" i="3" s="1"/>
  <c r="AJ87" i="3" s="1"/>
  <c r="AE221" i="3"/>
  <c r="AF221" i="3" s="1"/>
  <c r="AH221" i="3" s="1"/>
  <c r="AJ221" i="3" s="1"/>
  <c r="AE202" i="3"/>
  <c r="AF202" i="3" s="1"/>
  <c r="AH202" i="3" s="1"/>
  <c r="AJ202" i="3" s="1"/>
  <c r="AE220" i="3"/>
  <c r="AF220" i="3" s="1"/>
  <c r="AH220" i="3" s="1"/>
  <c r="AJ220" i="3" s="1"/>
  <c r="AE44" i="3"/>
  <c r="AF44" i="3" s="1"/>
  <c r="AH44" i="3" s="1"/>
  <c r="AJ44" i="3" s="1"/>
  <c r="AE29" i="3"/>
  <c r="AF29" i="3" s="1"/>
  <c r="AH29" i="3" s="1"/>
  <c r="AJ29" i="3" s="1"/>
  <c r="AE222" i="3"/>
  <c r="AF222" i="3" s="1"/>
  <c r="AH222" i="3" s="1"/>
  <c r="AJ222" i="3" s="1"/>
  <c r="AE192" i="3"/>
  <c r="AF192" i="3" s="1"/>
  <c r="AH192" i="3" s="1"/>
  <c r="AJ192" i="3" s="1"/>
  <c r="AE161" i="3"/>
  <c r="AF161" i="3" s="1"/>
  <c r="AH161" i="3" s="1"/>
  <c r="AJ161" i="3" s="1"/>
  <c r="AE93" i="3"/>
  <c r="AF93" i="3" s="1"/>
  <c r="AH93" i="3" s="1"/>
  <c r="AJ93" i="3" s="1"/>
  <c r="AE101" i="3"/>
  <c r="AF101" i="3" s="1"/>
  <c r="AH101" i="3" s="1"/>
  <c r="AJ101" i="3" s="1"/>
  <c r="AE216" i="3"/>
  <c r="AF216" i="3" s="1"/>
  <c r="AH216" i="3" s="1"/>
  <c r="AJ216" i="3" s="1"/>
  <c r="AE7" i="3"/>
  <c r="AF7" i="3" s="1"/>
  <c r="AH7" i="3" s="1"/>
  <c r="AJ7" i="3" s="1"/>
  <c r="AE193" i="3"/>
  <c r="AF193" i="3" s="1"/>
  <c r="AH193" i="3" s="1"/>
  <c r="AJ193" i="3" s="1"/>
  <c r="AE64" i="3"/>
  <c r="AF64" i="3" s="1"/>
  <c r="AH64" i="3" s="1"/>
  <c r="AJ64" i="3" s="1"/>
  <c r="AE200" i="3"/>
  <c r="AF200" i="3" s="1"/>
  <c r="AH200" i="3" s="1"/>
  <c r="AJ200" i="3" s="1"/>
  <c r="AE205" i="3"/>
  <c r="AF205" i="3" s="1"/>
  <c r="AH205" i="3" s="1"/>
  <c r="AJ205" i="3" s="1"/>
  <c r="AE163" i="3"/>
  <c r="AF163" i="3" s="1"/>
  <c r="AH163" i="3" s="1"/>
  <c r="AJ163" i="3" s="1"/>
  <c r="AE61" i="3"/>
  <c r="AF61" i="3" s="1"/>
  <c r="AH61" i="3" s="1"/>
  <c r="AJ61" i="3" s="1"/>
  <c r="AE214" i="3"/>
  <c r="AF214" i="3" s="1"/>
  <c r="AH214" i="3" s="1"/>
  <c r="AJ214" i="3" s="1"/>
  <c r="AE9" i="3"/>
  <c r="AF9" i="3" s="1"/>
  <c r="AH9" i="3" s="1"/>
  <c r="AJ9" i="3" s="1"/>
  <c r="AE113" i="3"/>
  <c r="AF113" i="3" s="1"/>
  <c r="AH113" i="3" s="1"/>
  <c r="AJ113" i="3" s="1"/>
  <c r="AE37" i="3"/>
  <c r="AF37" i="3" s="1"/>
  <c r="AH37" i="3" s="1"/>
  <c r="AJ37" i="3" s="1"/>
  <c r="AE129" i="3"/>
  <c r="AF129" i="3" s="1"/>
  <c r="AH129" i="3" s="1"/>
  <c r="AJ129" i="3" s="1"/>
  <c r="AE62" i="3"/>
  <c r="AF62" i="3" s="1"/>
  <c r="AH62" i="3" s="1"/>
  <c r="AJ62" i="3" s="1"/>
  <c r="AE49" i="3"/>
  <c r="AF49" i="3" s="1"/>
  <c r="AH49" i="3" s="1"/>
  <c r="AJ49" i="3" s="1"/>
  <c r="AE125" i="3"/>
  <c r="AF125" i="3" s="1"/>
  <c r="AH125" i="3" s="1"/>
  <c r="AJ125" i="3" s="1"/>
  <c r="AE128" i="3"/>
  <c r="AF128" i="3" s="1"/>
  <c r="AH128" i="3" s="1"/>
  <c r="AJ128" i="3" s="1"/>
  <c r="AE194" i="3"/>
  <c r="AF194" i="3" s="1"/>
  <c r="AH194" i="3" s="1"/>
  <c r="AJ194" i="3" s="1"/>
  <c r="AE167" i="3"/>
  <c r="AF167" i="3" s="1"/>
  <c r="AH167" i="3" s="1"/>
  <c r="AJ167" i="3" s="1"/>
  <c r="AE130" i="3"/>
  <c r="AF130" i="3" s="1"/>
  <c r="AH130" i="3" s="1"/>
  <c r="AJ130" i="3" s="1"/>
  <c r="AE16" i="3"/>
  <c r="AF16" i="3" s="1"/>
  <c r="AH16" i="3" s="1"/>
  <c r="AJ16" i="3" s="1"/>
  <c r="AE82" i="3"/>
  <c r="AF82" i="3" s="1"/>
  <c r="AH82" i="3" s="1"/>
  <c r="AJ82" i="3" s="1"/>
  <c r="AE131" i="3"/>
  <c r="AF131" i="3" s="1"/>
  <c r="AH131" i="3" s="1"/>
  <c r="AJ131" i="3" s="1"/>
  <c r="AE135" i="3"/>
  <c r="AF135" i="3" s="1"/>
  <c r="AH135" i="3" s="1"/>
  <c r="AJ135" i="3" s="1"/>
  <c r="AE140" i="3"/>
  <c r="AF140" i="3" s="1"/>
  <c r="AH140" i="3" s="1"/>
  <c r="AJ140" i="3" s="1"/>
  <c r="AE186" i="3"/>
  <c r="AF186" i="3" s="1"/>
  <c r="AH186" i="3" s="1"/>
  <c r="AJ186" i="3" s="1"/>
  <c r="AE83" i="3"/>
  <c r="AF83" i="3" s="1"/>
  <c r="AH83" i="3" s="1"/>
  <c r="AJ83" i="3" s="1"/>
  <c r="AE199" i="3"/>
  <c r="AF199" i="3" s="1"/>
  <c r="AH199" i="3" s="1"/>
  <c r="AJ199" i="3" s="1"/>
  <c r="AE139" i="3"/>
  <c r="AF139" i="3" s="1"/>
  <c r="AH139" i="3" s="1"/>
  <c r="AJ139" i="3" s="1"/>
  <c r="AE41" i="3"/>
  <c r="AF41" i="3" s="1"/>
  <c r="AH41" i="3" s="1"/>
  <c r="AJ41" i="3" s="1"/>
  <c r="AE160" i="3"/>
  <c r="AF160" i="3" s="1"/>
  <c r="AH160" i="3" s="1"/>
  <c r="AJ160" i="3" s="1"/>
  <c r="AE185" i="3"/>
  <c r="AF185" i="3" s="1"/>
  <c r="AH185" i="3" s="1"/>
  <c r="AJ185" i="3" s="1"/>
  <c r="AE144" i="3"/>
  <c r="AF144" i="3" s="1"/>
  <c r="AH144" i="3" s="1"/>
  <c r="AJ144" i="3" s="1"/>
  <c r="AE45" i="3"/>
  <c r="AF45" i="3" s="1"/>
  <c r="AH45" i="3" s="1"/>
  <c r="AJ45" i="3" s="1"/>
  <c r="AF244" i="8"/>
  <c r="X245" i="8"/>
  <c r="X554" i="8"/>
  <c r="AF553" i="8"/>
  <c r="V251" i="2"/>
  <c r="AD251" i="2" s="1"/>
  <c r="X555" i="8" l="1"/>
  <c r="AF554" i="8"/>
  <c r="X246" i="8"/>
  <c r="AF245" i="8"/>
  <c r="V252" i="2"/>
  <c r="AD252" i="2" s="1"/>
  <c r="X247" i="8" l="1"/>
  <c r="AF246" i="8"/>
  <c r="X556" i="8"/>
  <c r="AF555" i="8"/>
  <c r="V253" i="2"/>
  <c r="AD253" i="2" s="1"/>
  <c r="AG51" i="8" l="1"/>
  <c r="AG556" i="8"/>
  <c r="AG337" i="8"/>
  <c r="AG140" i="8"/>
  <c r="AH140" i="8" s="1"/>
  <c r="AJ140" i="8" s="1"/>
  <c r="AG724" i="8"/>
  <c r="AG423" i="8"/>
  <c r="AH423" i="8" s="1"/>
  <c r="AJ423" i="8" s="1"/>
  <c r="AG380" i="8"/>
  <c r="AG760" i="8"/>
  <c r="AH760" i="8" s="1"/>
  <c r="AJ760" i="8" s="1"/>
  <c r="AG519" i="8"/>
  <c r="AH519" i="8" s="1"/>
  <c r="AJ519" i="8" s="1"/>
  <c r="AG743" i="8"/>
  <c r="AH743" i="8" s="1"/>
  <c r="AJ743" i="8" s="1"/>
  <c r="AG695" i="8"/>
  <c r="AH695" i="8" s="1"/>
  <c r="AJ695" i="8" s="1"/>
  <c r="AG662" i="8"/>
  <c r="AH662" i="8" s="1"/>
  <c r="AJ662" i="8" s="1"/>
  <c r="AG688" i="8"/>
  <c r="AH688" i="8" s="1"/>
  <c r="AJ688" i="8" s="1"/>
  <c r="X557" i="8"/>
  <c r="AF556" i="8"/>
  <c r="AH556" i="8"/>
  <c r="AJ556" i="8" s="1"/>
  <c r="AH380" i="8"/>
  <c r="AJ380" i="8" s="1"/>
  <c r="AH724" i="8"/>
  <c r="AJ724" i="8" s="1"/>
  <c r="AH51" i="8"/>
  <c r="AJ51" i="8" s="1"/>
  <c r="AH337" i="8"/>
  <c r="AJ337" i="8" s="1"/>
  <c r="X248" i="8"/>
  <c r="AF247" i="8"/>
  <c r="V254" i="2"/>
  <c r="AD254" i="2" s="1"/>
  <c r="AK688" i="8" l="1"/>
  <c r="AO688" i="8"/>
  <c r="AK337" i="8"/>
  <c r="AO337" i="8"/>
  <c r="AK556" i="8"/>
  <c r="AO556" i="8"/>
  <c r="AK760" i="8"/>
  <c r="AO760" i="8"/>
  <c r="AK140" i="8"/>
  <c r="AO140" i="8"/>
  <c r="AK662" i="8"/>
  <c r="AO662" i="8"/>
  <c r="AK51" i="8"/>
  <c r="AO51" i="8"/>
  <c r="AK695" i="8"/>
  <c r="AO695" i="8"/>
  <c r="AK380" i="8"/>
  <c r="AO380" i="8"/>
  <c r="AK724" i="8"/>
  <c r="AO724" i="8"/>
  <c r="AK743" i="8"/>
  <c r="AO743" i="8"/>
  <c r="AK423" i="8"/>
  <c r="AO423" i="8"/>
  <c r="AK519" i="8"/>
  <c r="AO519" i="8"/>
  <c r="X249" i="8"/>
  <c r="AF248" i="8"/>
  <c r="X558" i="8"/>
  <c r="AF557" i="8"/>
  <c r="V255" i="2"/>
  <c r="AD255" i="2" s="1"/>
  <c r="X559" i="8" l="1"/>
  <c r="AF558" i="8"/>
  <c r="X250" i="8"/>
  <c r="AF249" i="8"/>
  <c r="V256" i="2"/>
  <c r="AD256" i="2" s="1"/>
  <c r="AF250" i="8" l="1"/>
  <c r="X251" i="8"/>
  <c r="X560" i="8"/>
  <c r="AF559" i="8"/>
  <c r="V257" i="2"/>
  <c r="AD257" i="2" l="1"/>
  <c r="AE247" i="2"/>
  <c r="AF247" i="2" s="1"/>
  <c r="AH247" i="2" s="1"/>
  <c r="AJ247" i="2" s="1"/>
  <c r="AE257" i="2"/>
  <c r="AF257" i="2" s="1"/>
  <c r="AH257" i="2" s="1"/>
  <c r="AJ257" i="2" s="1"/>
  <c r="AF560" i="8"/>
  <c r="X561" i="8"/>
  <c r="X252" i="8"/>
  <c r="AF251" i="8"/>
  <c r="V258" i="2"/>
  <c r="AD258" i="2" s="1"/>
  <c r="X562" i="8" l="1"/>
  <c r="AF561" i="8"/>
  <c r="X253" i="8"/>
  <c r="AF252" i="8"/>
  <c r="V259" i="2"/>
  <c r="AD259" i="2" s="1"/>
  <c r="X254" i="8" l="1"/>
  <c r="AF253" i="8"/>
  <c r="X563" i="8"/>
  <c r="AF562" i="8"/>
  <c r="V260" i="2"/>
  <c r="AD260" i="2" s="1"/>
  <c r="X564" i="8" l="1"/>
  <c r="AF563" i="8"/>
  <c r="X255" i="8"/>
  <c r="AF254" i="8"/>
  <c r="V261" i="2"/>
  <c r="AD261" i="2" s="1"/>
  <c r="AG564" i="8" l="1"/>
  <c r="AH564" i="8" s="1"/>
  <c r="AJ564" i="8" s="1"/>
  <c r="AG329" i="8"/>
  <c r="AH329" i="8" s="1"/>
  <c r="AJ329" i="8" s="1"/>
  <c r="X256" i="8"/>
  <c r="AF255" i="8"/>
  <c r="AF564" i="8"/>
  <c r="X565" i="8"/>
  <c r="V262" i="2"/>
  <c r="AD262" i="2" s="1"/>
  <c r="AK329" i="8" l="1"/>
  <c r="AO329" i="8"/>
  <c r="AK564" i="8"/>
  <c r="AO564" i="8"/>
  <c r="AG486" i="8"/>
  <c r="AG646" i="8"/>
  <c r="AG741" i="8"/>
  <c r="AG786" i="8"/>
  <c r="AH786" i="8" s="1"/>
  <c r="AJ786" i="8" s="1"/>
  <c r="AG779" i="8"/>
  <c r="AG828" i="8"/>
  <c r="AG803" i="8"/>
  <c r="AH803" i="8" s="1"/>
  <c r="AJ803" i="8" s="1"/>
  <c r="AG560" i="8"/>
  <c r="AH560" i="8" s="1"/>
  <c r="AJ560" i="8" s="1"/>
  <c r="AG677" i="8"/>
  <c r="AG818" i="8"/>
  <c r="AG725" i="8"/>
  <c r="AH725" i="8" s="1"/>
  <c r="AJ725" i="8" s="1"/>
  <c r="AG635" i="8"/>
  <c r="AH635" i="8" s="1"/>
  <c r="AJ635" i="8" s="1"/>
  <c r="AG768" i="8"/>
  <c r="AG845" i="8"/>
  <c r="AG734" i="8"/>
  <c r="AG817" i="8"/>
  <c r="AH817" i="8" s="1"/>
  <c r="AJ817" i="8" s="1"/>
  <c r="AG748" i="8"/>
  <c r="AH748" i="8" s="1"/>
  <c r="AJ748" i="8" s="1"/>
  <c r="AG628" i="8"/>
  <c r="AG694" i="8"/>
  <c r="AG644" i="8"/>
  <c r="AH644" i="8" s="1"/>
  <c r="AJ644" i="8" s="1"/>
  <c r="AG716" i="8"/>
  <c r="AH716" i="8" s="1"/>
  <c r="AJ716" i="8" s="1"/>
  <c r="AG565" i="8"/>
  <c r="AH565" i="8" s="1"/>
  <c r="AJ565" i="8" s="1"/>
  <c r="AG670" i="8"/>
  <c r="AH670" i="8" s="1"/>
  <c r="AJ670" i="8" s="1"/>
  <c r="AG805" i="8"/>
  <c r="AH805" i="8" s="1"/>
  <c r="AJ805" i="8" s="1"/>
  <c r="AG778" i="8"/>
  <c r="AH778" i="8" s="1"/>
  <c r="AJ778" i="8" s="1"/>
  <c r="AG837" i="8"/>
  <c r="AH837" i="8" s="1"/>
  <c r="AJ837" i="8" s="1"/>
  <c r="AF565" i="8"/>
  <c r="X566" i="8"/>
  <c r="AH741" i="8"/>
  <c r="AJ741" i="8" s="1"/>
  <c r="AH677" i="8"/>
  <c r="AJ677" i="8" s="1"/>
  <c r="AH646" i="8"/>
  <c r="AJ646" i="8" s="1"/>
  <c r="AH768" i="8"/>
  <c r="AJ768" i="8" s="1"/>
  <c r="AH818" i="8"/>
  <c r="AJ818" i="8" s="1"/>
  <c r="AH734" i="8"/>
  <c r="AJ734" i="8" s="1"/>
  <c r="AH628" i="8"/>
  <c r="AJ628" i="8" s="1"/>
  <c r="AH486" i="8"/>
  <c r="AJ486" i="8" s="1"/>
  <c r="AH779" i="8"/>
  <c r="AJ779" i="8" s="1"/>
  <c r="AH828" i="8"/>
  <c r="AJ828" i="8" s="1"/>
  <c r="AH694" i="8"/>
  <c r="AJ694" i="8" s="1"/>
  <c r="AH845" i="8"/>
  <c r="AJ845" i="8" s="1"/>
  <c r="X257" i="8"/>
  <c r="AF256" i="8"/>
  <c r="V263" i="2"/>
  <c r="AD263" i="2" s="1"/>
  <c r="AK644" i="8" l="1"/>
  <c r="AO644" i="8"/>
  <c r="AK635" i="8"/>
  <c r="AO635" i="8"/>
  <c r="AK779" i="8"/>
  <c r="AO779" i="8"/>
  <c r="AK628" i="8"/>
  <c r="AO628" i="8"/>
  <c r="AK646" i="8"/>
  <c r="AO646" i="8"/>
  <c r="AK817" i="8"/>
  <c r="AO817" i="8"/>
  <c r="AK560" i="8"/>
  <c r="AO560" i="8"/>
  <c r="AK786" i="8"/>
  <c r="AO786" i="8"/>
  <c r="AK670" i="8"/>
  <c r="AO670" i="8"/>
  <c r="AK725" i="8"/>
  <c r="AO725" i="8"/>
  <c r="AK803" i="8"/>
  <c r="AO803" i="8"/>
  <c r="AK805" i="8"/>
  <c r="AO805" i="8"/>
  <c r="AK845" i="8"/>
  <c r="AO845" i="8"/>
  <c r="AK734" i="8"/>
  <c r="AO734" i="8"/>
  <c r="AK677" i="8"/>
  <c r="AO677" i="8"/>
  <c r="AK694" i="8"/>
  <c r="AO694" i="8"/>
  <c r="AK486" i="8"/>
  <c r="AO486" i="8"/>
  <c r="AK818" i="8"/>
  <c r="AO818" i="8"/>
  <c r="AK565" i="8"/>
  <c r="AO565" i="8"/>
  <c r="AK837" i="8"/>
  <c r="AO837" i="8"/>
  <c r="AK828" i="8"/>
  <c r="AO828" i="8"/>
  <c r="AK748" i="8"/>
  <c r="AO748" i="8"/>
  <c r="AK768" i="8"/>
  <c r="AO768" i="8"/>
  <c r="AK741" i="8"/>
  <c r="AO741" i="8"/>
  <c r="AK778" i="8"/>
  <c r="AO778" i="8"/>
  <c r="AK716" i="8"/>
  <c r="AO716" i="8"/>
  <c r="X567" i="8"/>
  <c r="AF566" i="8"/>
  <c r="X258" i="8"/>
  <c r="AF257" i="8"/>
  <c r="V264" i="2"/>
  <c r="AD264" i="2" s="1"/>
  <c r="AF258" i="8" l="1"/>
  <c r="X259" i="8"/>
  <c r="X568" i="8"/>
  <c r="AF567" i="8"/>
  <c r="V265" i="2"/>
  <c r="AD265" i="2" s="1"/>
  <c r="AG17" i="8" l="1"/>
  <c r="AG161" i="8"/>
  <c r="AH161" i="8" s="1"/>
  <c r="AJ161" i="8" s="1"/>
  <c r="AG221" i="8"/>
  <c r="AH221" i="8" s="1"/>
  <c r="AJ221" i="8" s="1"/>
  <c r="AG20" i="8"/>
  <c r="AH20" i="8" s="1"/>
  <c r="AJ20" i="8" s="1"/>
  <c r="AG58" i="8"/>
  <c r="AG156" i="8"/>
  <c r="AH156" i="8" s="1"/>
  <c r="AJ156" i="8" s="1"/>
  <c r="AG166" i="8"/>
  <c r="AG138" i="8"/>
  <c r="AH138" i="8" s="1"/>
  <c r="AJ138" i="8" s="1"/>
  <c r="AG78" i="8"/>
  <c r="AH78" i="8" s="1"/>
  <c r="AJ78" i="8" s="1"/>
  <c r="AG158" i="8"/>
  <c r="AH158" i="8" s="1"/>
  <c r="AJ158" i="8" s="1"/>
  <c r="AG40" i="8"/>
  <c r="AH40" i="8" s="1"/>
  <c r="AJ40" i="8" s="1"/>
  <c r="AG168" i="8"/>
  <c r="AH168" i="8" s="1"/>
  <c r="AJ168" i="8" s="1"/>
  <c r="AG155" i="8"/>
  <c r="AH155" i="8" s="1"/>
  <c r="AJ155" i="8" s="1"/>
  <c r="AG259" i="8"/>
  <c r="AH259" i="8" s="1"/>
  <c r="AJ259" i="8" s="1"/>
  <c r="AG60" i="8"/>
  <c r="AH60" i="8" s="1"/>
  <c r="AJ60" i="8" s="1"/>
  <c r="X260" i="8"/>
  <c r="AF259" i="8"/>
  <c r="AH166" i="8"/>
  <c r="AJ166" i="8" s="1"/>
  <c r="AH17" i="8"/>
  <c r="AJ17" i="8" s="1"/>
  <c r="AH58" i="8"/>
  <c r="AJ58" i="8" s="1"/>
  <c r="X569" i="8"/>
  <c r="AF568" i="8"/>
  <c r="V266" i="2"/>
  <c r="AK155" i="8" l="1"/>
  <c r="AO155" i="8"/>
  <c r="AK78" i="8"/>
  <c r="AO78" i="8"/>
  <c r="AK17" i="8"/>
  <c r="AO17" i="8"/>
  <c r="AK168" i="8"/>
  <c r="AO168" i="8"/>
  <c r="AK138" i="8"/>
  <c r="AO138" i="8"/>
  <c r="AK20" i="8"/>
  <c r="AO20" i="8"/>
  <c r="AK40" i="8"/>
  <c r="AO40" i="8"/>
  <c r="AK221" i="8"/>
  <c r="AO221" i="8"/>
  <c r="AK60" i="8"/>
  <c r="AO60" i="8"/>
  <c r="AK58" i="8"/>
  <c r="AO58" i="8"/>
  <c r="AK166" i="8"/>
  <c r="AO166" i="8"/>
  <c r="AK259" i="8"/>
  <c r="AO259" i="8"/>
  <c r="AK158" i="8"/>
  <c r="AO158" i="8"/>
  <c r="AK156" i="8"/>
  <c r="AO156" i="8"/>
  <c r="AK161" i="8"/>
  <c r="AO161" i="8"/>
  <c r="AD266" i="2"/>
  <c r="X570" i="8"/>
  <c r="AF569" i="8"/>
  <c r="X261" i="8"/>
  <c r="AF260" i="8"/>
  <c r="V267" i="2"/>
  <c r="AD267" i="2" s="1"/>
  <c r="X262" i="8" l="1"/>
  <c r="AF261" i="8"/>
  <c r="X571" i="8"/>
  <c r="AF570" i="8"/>
  <c r="V268" i="2"/>
  <c r="AD268" i="2" s="1"/>
  <c r="X572" i="8" l="1"/>
  <c r="AF571" i="8"/>
  <c r="X263" i="8"/>
  <c r="AF262" i="8"/>
  <c r="V269" i="2"/>
  <c r="AD269" i="2" l="1"/>
  <c r="AE269" i="2"/>
  <c r="AF269" i="2" s="1"/>
  <c r="AH269" i="2" s="1"/>
  <c r="AJ269" i="2" s="1"/>
  <c r="X264" i="8"/>
  <c r="AF263" i="8"/>
  <c r="X573" i="8"/>
  <c r="AF572" i="8"/>
  <c r="V270" i="2"/>
  <c r="AD270" i="2" s="1"/>
  <c r="X574" i="8" l="1"/>
  <c r="AF573" i="8"/>
  <c r="X265" i="8"/>
  <c r="AF264" i="8"/>
  <c r="V271" i="2"/>
  <c r="AD271" i="2" s="1"/>
  <c r="X266" i="8" l="1"/>
  <c r="AF265" i="8"/>
  <c r="X575" i="8"/>
  <c r="AF574" i="8"/>
  <c r="V272" i="2"/>
  <c r="AD272" i="2" s="1"/>
  <c r="X576" i="8" l="1"/>
  <c r="AF575" i="8"/>
  <c r="X267" i="8"/>
  <c r="AF266" i="8"/>
  <c r="V273" i="2"/>
  <c r="AD273" i="2" s="1"/>
  <c r="X268" i="8" l="1"/>
  <c r="AF267" i="8"/>
  <c r="X577" i="8"/>
  <c r="AF576" i="8"/>
  <c r="V274" i="2"/>
  <c r="AD274" i="2" s="1"/>
  <c r="X578" i="8" l="1"/>
  <c r="AF577" i="8"/>
  <c r="X269" i="8"/>
  <c r="AF268" i="8"/>
  <c r="V275" i="2"/>
  <c r="AD275" i="2" s="1"/>
  <c r="AG69" i="8" l="1"/>
  <c r="AH69" i="8" s="1"/>
  <c r="AJ69" i="8" s="1"/>
  <c r="AG118" i="8"/>
  <c r="AH118" i="8" s="1"/>
  <c r="AJ118" i="8" s="1"/>
  <c r="AG269" i="8"/>
  <c r="AH269" i="8" s="1"/>
  <c r="AJ269" i="8" s="1"/>
  <c r="AG135" i="8"/>
  <c r="AH135" i="8" s="1"/>
  <c r="AJ135" i="8" s="1"/>
  <c r="AF269" i="8"/>
  <c r="X270" i="8"/>
  <c r="X579" i="8"/>
  <c r="AG578" i="8" s="1"/>
  <c r="AH578" i="8" s="1"/>
  <c r="AJ578" i="8" s="1"/>
  <c r="AF578" i="8"/>
  <c r="V276" i="2"/>
  <c r="AD276" i="2" s="1"/>
  <c r="AK135" i="8" l="1"/>
  <c r="AO135" i="8"/>
  <c r="AK578" i="8"/>
  <c r="AO578" i="8"/>
  <c r="AK269" i="8"/>
  <c r="AO269" i="8"/>
  <c r="AK118" i="8"/>
  <c r="AO118" i="8"/>
  <c r="AK69" i="8"/>
  <c r="AO69" i="8"/>
  <c r="AG514" i="8"/>
  <c r="AH514" i="8" s="1"/>
  <c r="AJ514" i="8" s="1"/>
  <c r="AG467" i="8"/>
  <c r="AH467" i="8" s="1"/>
  <c r="AJ467" i="8" s="1"/>
  <c r="AG348" i="8"/>
  <c r="AH348" i="8" s="1"/>
  <c r="AJ348" i="8" s="1"/>
  <c r="AG631" i="8"/>
  <c r="AH631" i="8" s="1"/>
  <c r="AJ631" i="8" s="1"/>
  <c r="AG445" i="8"/>
  <c r="AH445" i="8" s="1"/>
  <c r="AJ445" i="8" s="1"/>
  <c r="AG455" i="8"/>
  <c r="AH455" i="8" s="1"/>
  <c r="AJ455" i="8" s="1"/>
  <c r="AG397" i="8"/>
  <c r="AH397" i="8" s="1"/>
  <c r="AJ397" i="8" s="1"/>
  <c r="AG822" i="8"/>
  <c r="AH822" i="8" s="1"/>
  <c r="AJ822" i="8" s="1"/>
  <c r="AG408" i="8"/>
  <c r="AH408" i="8" s="1"/>
  <c r="AJ408" i="8" s="1"/>
  <c r="AG332" i="8"/>
  <c r="AH332" i="8" s="1"/>
  <c r="AJ332" i="8" s="1"/>
  <c r="AG371" i="8"/>
  <c r="AH371" i="8" s="1"/>
  <c r="AJ371" i="8" s="1"/>
  <c r="AG331" i="8"/>
  <c r="AH331" i="8" s="1"/>
  <c r="AJ331" i="8" s="1"/>
  <c r="AG836" i="8"/>
  <c r="AH836" i="8" s="1"/>
  <c r="AJ836" i="8" s="1"/>
  <c r="AG477" i="8"/>
  <c r="AH477" i="8" s="1"/>
  <c r="AJ477" i="8" s="1"/>
  <c r="AG827" i="8"/>
  <c r="AH827" i="8" s="1"/>
  <c r="AJ827" i="8" s="1"/>
  <c r="AG398" i="8"/>
  <c r="AH398" i="8" s="1"/>
  <c r="AJ398" i="8" s="1"/>
  <c r="AG513" i="8"/>
  <c r="AH513" i="8" s="1"/>
  <c r="AJ513" i="8" s="1"/>
  <c r="AG306" i="8"/>
  <c r="AH306" i="8" s="1"/>
  <c r="AJ306" i="8" s="1"/>
  <c r="AG347" i="8"/>
  <c r="AH347" i="8" s="1"/>
  <c r="AJ347" i="8" s="1"/>
  <c r="AG370" i="8"/>
  <c r="AH370" i="8" s="1"/>
  <c r="AJ370" i="8" s="1"/>
  <c r="AG307" i="8"/>
  <c r="AH307" i="8" s="1"/>
  <c r="AJ307" i="8" s="1"/>
  <c r="AG683" i="8"/>
  <c r="AH683" i="8" s="1"/>
  <c r="AJ683" i="8" s="1"/>
  <c r="AG579" i="8"/>
  <c r="AH579" i="8" s="1"/>
  <c r="AJ579" i="8" s="1"/>
  <c r="AG735" i="8"/>
  <c r="AH735" i="8" s="1"/>
  <c r="AJ735" i="8" s="1"/>
  <c r="AG659" i="8"/>
  <c r="AH659" i="8" s="1"/>
  <c r="AJ659" i="8" s="1"/>
  <c r="AG475" i="8"/>
  <c r="AH475" i="8" s="1"/>
  <c r="AJ475" i="8" s="1"/>
  <c r="AG476" i="8"/>
  <c r="AH476" i="8" s="1"/>
  <c r="AJ476" i="8" s="1"/>
  <c r="AG686" i="8"/>
  <c r="AH686" i="8" s="1"/>
  <c r="AJ686" i="8" s="1"/>
  <c r="AG785" i="8"/>
  <c r="AH785" i="8" s="1"/>
  <c r="AJ785" i="8" s="1"/>
  <c r="AG515" i="8"/>
  <c r="AH515" i="8" s="1"/>
  <c r="AJ515" i="8" s="1"/>
  <c r="AG532" i="8"/>
  <c r="AH532" i="8" s="1"/>
  <c r="AJ532" i="8" s="1"/>
  <c r="AG349" i="8"/>
  <c r="AH349" i="8" s="1"/>
  <c r="AJ349" i="8" s="1"/>
  <c r="AG575" i="8"/>
  <c r="AH575" i="8" s="1"/>
  <c r="AJ575" i="8" s="1"/>
  <c r="AG333" i="8"/>
  <c r="AH333" i="8" s="1"/>
  <c r="AJ333" i="8" s="1"/>
  <c r="X580" i="8"/>
  <c r="AF579" i="8"/>
  <c r="AF270" i="8"/>
  <c r="X271" i="8"/>
  <c r="V277" i="2"/>
  <c r="AD277" i="2" s="1"/>
  <c r="AK333" i="8" l="1"/>
  <c r="AO333" i="8"/>
  <c r="AK515" i="8"/>
  <c r="AO515" i="8"/>
  <c r="AK475" i="8"/>
  <c r="AO475" i="8"/>
  <c r="AK683" i="8"/>
  <c r="AO683" i="8"/>
  <c r="AK306" i="8"/>
  <c r="AO306" i="8"/>
  <c r="AK477" i="8"/>
  <c r="AO477" i="8"/>
  <c r="AK332" i="8"/>
  <c r="AO332" i="8"/>
  <c r="AK455" i="8"/>
  <c r="AO455" i="8"/>
  <c r="AK467" i="8"/>
  <c r="AO467" i="8"/>
  <c r="AK785" i="8"/>
  <c r="AO785" i="8"/>
  <c r="AK659" i="8"/>
  <c r="AO659" i="8"/>
  <c r="AK307" i="8"/>
  <c r="AO307" i="8"/>
  <c r="AK513" i="8"/>
  <c r="AO513" i="8"/>
  <c r="AK836" i="8"/>
  <c r="AO836" i="8"/>
  <c r="AK408" i="8"/>
  <c r="AO408" i="8"/>
  <c r="AK445" i="8"/>
  <c r="AO445" i="8"/>
  <c r="AK514" i="8"/>
  <c r="AO514" i="8"/>
  <c r="AK575" i="8"/>
  <c r="AO575" i="8"/>
  <c r="AK349" i="8"/>
  <c r="AO349" i="8"/>
  <c r="AK686" i="8"/>
  <c r="AO686" i="8"/>
  <c r="AK735" i="8"/>
  <c r="AO735" i="8"/>
  <c r="AK370" i="8"/>
  <c r="AO370" i="8"/>
  <c r="AK398" i="8"/>
  <c r="AO398" i="8"/>
  <c r="AK331" i="8"/>
  <c r="AO331" i="8"/>
  <c r="AK822" i="8"/>
  <c r="AO822" i="8"/>
  <c r="AK631" i="8"/>
  <c r="AO631" i="8"/>
  <c r="AK532" i="8"/>
  <c r="AO532" i="8"/>
  <c r="AK476" i="8"/>
  <c r="AO476" i="8"/>
  <c r="AK579" i="8"/>
  <c r="AO579" i="8"/>
  <c r="AK347" i="8"/>
  <c r="AO347" i="8"/>
  <c r="AK827" i="8"/>
  <c r="AO827" i="8"/>
  <c r="AK371" i="8"/>
  <c r="AO371" i="8"/>
  <c r="AK397" i="8"/>
  <c r="AO397" i="8"/>
  <c r="AK348" i="8"/>
  <c r="AO348" i="8"/>
  <c r="X272" i="8"/>
  <c r="AF271" i="8"/>
  <c r="X581" i="8"/>
  <c r="AF580" i="8"/>
  <c r="V278" i="2"/>
  <c r="AG272" i="8" l="1"/>
  <c r="AH272" i="8" s="1"/>
  <c r="AJ272" i="8" s="1"/>
  <c r="AG273" i="8"/>
  <c r="AH273" i="8" s="1"/>
  <c r="AJ273" i="8" s="1"/>
  <c r="AD278" i="2"/>
  <c r="X582" i="8"/>
  <c r="AF581" i="8"/>
  <c r="AF272" i="8"/>
  <c r="X273" i="8"/>
  <c r="V279" i="2"/>
  <c r="AD279" i="2" s="1"/>
  <c r="AK273" i="8" l="1"/>
  <c r="AO273" i="8"/>
  <c r="AK272" i="8"/>
  <c r="AO272" i="8"/>
  <c r="X274" i="8"/>
  <c r="AF273" i="8"/>
  <c r="X583" i="8"/>
  <c r="AF582" i="8"/>
  <c r="V280" i="2"/>
  <c r="AD280" i="2" s="1"/>
  <c r="X584" i="8" l="1"/>
  <c r="AF583" i="8"/>
  <c r="X275" i="8"/>
  <c r="AF274" i="8"/>
  <c r="V281" i="2"/>
  <c r="AD281" i="2" s="1"/>
  <c r="X276" i="8" l="1"/>
  <c r="AF275" i="8"/>
  <c r="X585" i="8"/>
  <c r="AF584" i="8"/>
  <c r="V282" i="2"/>
  <c r="AG116" i="8" l="1"/>
  <c r="AH116" i="8" s="1"/>
  <c r="AJ116" i="8" s="1"/>
  <c r="AG18" i="8"/>
  <c r="AH18" i="8" s="1"/>
  <c r="AJ18" i="8" s="1"/>
  <c r="AG56" i="8"/>
  <c r="AG43" i="8"/>
  <c r="AG54" i="8"/>
  <c r="AH54" i="8" s="1"/>
  <c r="AJ54" i="8" s="1"/>
  <c r="AG276" i="8"/>
  <c r="AH276" i="8" s="1"/>
  <c r="AJ276" i="8" s="1"/>
  <c r="AD282" i="2"/>
  <c r="AE282" i="2"/>
  <c r="AF282" i="2" s="1"/>
  <c r="AH282" i="2" s="1"/>
  <c r="AJ282" i="2" s="1"/>
  <c r="AE47" i="2"/>
  <c r="AF47" i="2" s="1"/>
  <c r="AH47" i="2" s="1"/>
  <c r="AJ47" i="2" s="1"/>
  <c r="X586" i="8"/>
  <c r="AF585" i="8"/>
  <c r="X277" i="8"/>
  <c r="AF276" i="8"/>
  <c r="AH56" i="8"/>
  <c r="AJ56" i="8" s="1"/>
  <c r="AH43" i="8"/>
  <c r="AJ43" i="8" s="1"/>
  <c r="V283" i="2"/>
  <c r="AK56" i="8" l="1"/>
  <c r="AO56" i="8"/>
  <c r="AK43" i="8"/>
  <c r="AO43" i="8"/>
  <c r="AK276" i="8"/>
  <c r="AO276" i="8"/>
  <c r="AK18" i="8"/>
  <c r="AO18" i="8"/>
  <c r="AK54" i="8"/>
  <c r="AO54" i="8"/>
  <c r="AK116" i="8"/>
  <c r="AO116" i="8"/>
  <c r="AG587" i="8"/>
  <c r="AH587" i="8" s="1"/>
  <c r="AJ587" i="8" s="1"/>
  <c r="AD283" i="2"/>
  <c r="AE204" i="2"/>
  <c r="AF204" i="2" s="1"/>
  <c r="AH204" i="2" s="1"/>
  <c r="AJ204" i="2" s="1"/>
  <c r="AE283" i="2"/>
  <c r="AF283" i="2" s="1"/>
  <c r="AH283" i="2" s="1"/>
  <c r="AJ283" i="2" s="1"/>
  <c r="AE278" i="2"/>
  <c r="AF278" i="2" s="1"/>
  <c r="AH278" i="2" s="1"/>
  <c r="AJ278" i="2" s="1"/>
  <c r="X278" i="8"/>
  <c r="AF277" i="8"/>
  <c r="AF586" i="8"/>
  <c r="X587" i="8"/>
  <c r="AG586" i="8" s="1"/>
  <c r="AH586" i="8" s="1"/>
  <c r="AJ586" i="8" s="1"/>
  <c r="V284" i="2"/>
  <c r="AD284" i="2" s="1"/>
  <c r="AK586" i="8" l="1"/>
  <c r="AO586" i="8"/>
  <c r="AK587" i="8"/>
  <c r="AO587" i="8"/>
  <c r="AG178" i="8"/>
  <c r="AG76" i="8"/>
  <c r="AG204" i="8"/>
  <c r="AG143" i="8"/>
  <c r="AH143" i="8" s="1"/>
  <c r="AJ143" i="8" s="1"/>
  <c r="AG278" i="8"/>
  <c r="AG203" i="8"/>
  <c r="AG235" i="8"/>
  <c r="AG64" i="8"/>
  <c r="AG212" i="8"/>
  <c r="AG242" i="8"/>
  <c r="AG190" i="8"/>
  <c r="AG213" i="8"/>
  <c r="AH213" i="8" s="1"/>
  <c r="AJ213" i="8" s="1"/>
  <c r="AG191" i="8"/>
  <c r="AH191" i="8" s="1"/>
  <c r="AJ191" i="8" s="1"/>
  <c r="AG144" i="8"/>
  <c r="AG236" i="8"/>
  <c r="AG120" i="8"/>
  <c r="AH120" i="8" s="1"/>
  <c r="AJ120" i="8" s="1"/>
  <c r="AG97" i="8"/>
  <c r="AH97" i="8" s="1"/>
  <c r="AJ97" i="8" s="1"/>
  <c r="AG125" i="8"/>
  <c r="AG33" i="8"/>
  <c r="AH33" i="8" s="1"/>
  <c r="AJ33" i="8" s="1"/>
  <c r="AG35" i="8"/>
  <c r="AH35" i="8" s="1"/>
  <c r="AJ35" i="8" s="1"/>
  <c r="AG189" i="8"/>
  <c r="AH189" i="8" s="1"/>
  <c r="AJ189" i="8" s="1"/>
  <c r="AG457" i="8"/>
  <c r="AH457" i="8" s="1"/>
  <c r="AJ457" i="8" s="1"/>
  <c r="AG448" i="8"/>
  <c r="AH448" i="8" s="1"/>
  <c r="AJ448" i="8" s="1"/>
  <c r="X588" i="8"/>
  <c r="AF587" i="8"/>
  <c r="X279" i="8"/>
  <c r="AF278" i="8"/>
  <c r="AH190" i="8"/>
  <c r="AJ190" i="8" s="1"/>
  <c r="AH204" i="8"/>
  <c r="AJ204" i="8" s="1"/>
  <c r="AH76" i="8"/>
  <c r="AJ76" i="8" s="1"/>
  <c r="AH236" i="8"/>
  <c r="AJ236" i="8" s="1"/>
  <c r="AH212" i="8"/>
  <c r="AJ212" i="8" s="1"/>
  <c r="AH64" i="8"/>
  <c r="AJ64" i="8" s="1"/>
  <c r="AH235" i="8"/>
  <c r="AJ235" i="8" s="1"/>
  <c r="AH278" i="8"/>
  <c r="AJ278" i="8" s="1"/>
  <c r="AH125" i="8"/>
  <c r="AJ125" i="8" s="1"/>
  <c r="AH178" i="8"/>
  <c r="AJ178" i="8" s="1"/>
  <c r="AH144" i="8"/>
  <c r="AJ144" i="8" s="1"/>
  <c r="AH242" i="8"/>
  <c r="AJ242" i="8" s="1"/>
  <c r="AH203" i="8"/>
  <c r="AJ203" i="8" s="1"/>
  <c r="V285" i="2"/>
  <c r="AD285" i="2" s="1"/>
  <c r="AK178" i="8" l="1"/>
  <c r="AO178" i="8"/>
  <c r="AK64" i="8"/>
  <c r="AO64" i="8"/>
  <c r="AK204" i="8"/>
  <c r="AO204" i="8"/>
  <c r="AK120" i="8"/>
  <c r="AO120" i="8"/>
  <c r="AK213" i="8"/>
  <c r="AO213" i="8"/>
  <c r="AK143" i="8"/>
  <c r="AO143" i="8"/>
  <c r="AK35" i="8"/>
  <c r="AO35" i="8"/>
  <c r="AK242" i="8"/>
  <c r="AO242" i="8"/>
  <c r="AK278" i="8"/>
  <c r="AO278" i="8"/>
  <c r="AK236" i="8"/>
  <c r="AO236" i="8"/>
  <c r="AK448" i="8"/>
  <c r="AO448" i="8"/>
  <c r="AK33" i="8"/>
  <c r="AO33" i="8"/>
  <c r="AK189" i="8"/>
  <c r="AO189" i="8"/>
  <c r="AK203" i="8"/>
  <c r="AO203" i="8"/>
  <c r="AK125" i="8"/>
  <c r="AO125" i="8"/>
  <c r="AK212" i="8"/>
  <c r="AO212" i="8"/>
  <c r="AK190" i="8"/>
  <c r="AO190" i="8"/>
  <c r="AK144" i="8"/>
  <c r="AO144" i="8"/>
  <c r="AK235" i="8"/>
  <c r="AO235" i="8"/>
  <c r="AK76" i="8"/>
  <c r="AO76" i="8"/>
  <c r="AK457" i="8"/>
  <c r="AO457" i="8"/>
  <c r="AK97" i="8"/>
  <c r="AO97" i="8"/>
  <c r="AK191" i="8"/>
  <c r="AO191" i="8"/>
  <c r="AG106" i="8"/>
  <c r="AG257" i="8"/>
  <c r="AG121" i="8"/>
  <c r="AG187" i="8"/>
  <c r="AG174" i="8"/>
  <c r="AG124" i="8"/>
  <c r="AG19" i="8"/>
  <c r="AG142" i="8"/>
  <c r="AH142" i="8" s="1"/>
  <c r="AJ142" i="8" s="1"/>
  <c r="AG157" i="8"/>
  <c r="AG279" i="8"/>
  <c r="AG173" i="8"/>
  <c r="AG107" i="8"/>
  <c r="AH107" i="8" s="1"/>
  <c r="AJ107" i="8" s="1"/>
  <c r="AG262" i="8"/>
  <c r="AH262" i="8" s="1"/>
  <c r="AJ262" i="8" s="1"/>
  <c r="AG126" i="8"/>
  <c r="AH126" i="8" s="1"/>
  <c r="AJ126" i="8" s="1"/>
  <c r="AG136" i="8"/>
  <c r="AH136" i="8" s="1"/>
  <c r="AJ136" i="8" s="1"/>
  <c r="AG39" i="8"/>
  <c r="AH39" i="8" s="1"/>
  <c r="AJ39" i="8" s="1"/>
  <c r="AG141" i="8"/>
  <c r="AH141" i="8" s="1"/>
  <c r="AJ141" i="8" s="1"/>
  <c r="AG79" i="8"/>
  <c r="AH79" i="8" s="1"/>
  <c r="AJ79" i="8" s="1"/>
  <c r="AG61" i="8"/>
  <c r="AH61" i="8" s="1"/>
  <c r="AJ61" i="8" s="1"/>
  <c r="AG103" i="8"/>
  <c r="AH103" i="8" s="1"/>
  <c r="AJ103" i="8" s="1"/>
  <c r="AG263" i="8"/>
  <c r="AH263" i="8" s="1"/>
  <c r="AJ263" i="8" s="1"/>
  <c r="AG13" i="8"/>
  <c r="AH13" i="8" s="1"/>
  <c r="AJ13" i="8" s="1"/>
  <c r="AG119" i="8"/>
  <c r="AH119" i="8" s="1"/>
  <c r="AJ119" i="8" s="1"/>
  <c r="X280" i="8"/>
  <c r="AF279" i="8"/>
  <c r="AH19" i="8"/>
  <c r="AJ19" i="8" s="1"/>
  <c r="AH124" i="8"/>
  <c r="AJ124" i="8" s="1"/>
  <c r="AH106" i="8"/>
  <c r="AJ106" i="8" s="1"/>
  <c r="AH121" i="8"/>
  <c r="AJ121" i="8" s="1"/>
  <c r="AH174" i="8"/>
  <c r="AJ174" i="8" s="1"/>
  <c r="AH157" i="8"/>
  <c r="AJ157" i="8" s="1"/>
  <c r="AH187" i="8"/>
  <c r="AJ187" i="8" s="1"/>
  <c r="AH173" i="8"/>
  <c r="AJ173" i="8" s="1"/>
  <c r="AH257" i="8"/>
  <c r="AJ257" i="8" s="1"/>
  <c r="AH279" i="8"/>
  <c r="AJ279" i="8" s="1"/>
  <c r="X589" i="8"/>
  <c r="AF588" i="8"/>
  <c r="V286" i="2"/>
  <c r="AD286" i="2" s="1"/>
  <c r="AK141" i="8" l="1"/>
  <c r="AO141" i="8"/>
  <c r="AK262" i="8"/>
  <c r="AO262" i="8"/>
  <c r="AK79" i="8"/>
  <c r="AO79" i="8"/>
  <c r="AK126" i="8"/>
  <c r="AO126" i="8"/>
  <c r="AK173" i="8"/>
  <c r="AO173" i="8"/>
  <c r="AK174" i="8"/>
  <c r="AO174" i="8"/>
  <c r="AK19" i="8"/>
  <c r="AO19" i="8"/>
  <c r="AK279" i="8"/>
  <c r="AO279" i="8"/>
  <c r="AK121" i="8"/>
  <c r="AO121" i="8"/>
  <c r="AK13" i="8"/>
  <c r="AO13" i="8"/>
  <c r="AK187" i="8"/>
  <c r="AO187" i="8"/>
  <c r="AK157" i="8"/>
  <c r="AO157" i="8"/>
  <c r="AK106" i="8"/>
  <c r="AO106" i="8"/>
  <c r="AK103" i="8"/>
  <c r="AO103" i="8"/>
  <c r="AK39" i="8"/>
  <c r="AO39" i="8"/>
  <c r="AK107" i="8"/>
  <c r="AO107" i="8"/>
  <c r="AK142" i="8"/>
  <c r="AO142" i="8"/>
  <c r="AK263" i="8"/>
  <c r="AO263" i="8"/>
  <c r="AK257" i="8"/>
  <c r="AO257" i="8"/>
  <c r="AK124" i="8"/>
  <c r="AO124" i="8"/>
  <c r="AK119" i="8"/>
  <c r="AO119" i="8"/>
  <c r="AK61" i="8"/>
  <c r="AO61" i="8"/>
  <c r="AK136" i="8"/>
  <c r="AO136" i="8"/>
  <c r="AG188" i="8"/>
  <c r="AH188" i="8" s="1"/>
  <c r="AJ188" i="8" s="1"/>
  <c r="AG280" i="8"/>
  <c r="AH280" i="8" s="1"/>
  <c r="AJ280" i="8" s="1"/>
  <c r="AG159" i="8"/>
  <c r="AH159" i="8" s="1"/>
  <c r="AJ159" i="8" s="1"/>
  <c r="X590" i="8"/>
  <c r="AF589" i="8"/>
  <c r="X281" i="8"/>
  <c r="AF280" i="8"/>
  <c r="V287" i="2"/>
  <c r="AD287" i="2" s="1"/>
  <c r="AK280" i="8" l="1"/>
  <c r="AO280" i="8"/>
  <c r="AK188" i="8"/>
  <c r="AO188" i="8"/>
  <c r="AK159" i="8"/>
  <c r="AO159" i="8"/>
  <c r="AG663" i="8"/>
  <c r="AG369" i="8"/>
  <c r="AG336" i="8"/>
  <c r="AG667" i="8"/>
  <c r="AH667" i="8" s="1"/>
  <c r="AJ667" i="8" s="1"/>
  <c r="AG543" i="8"/>
  <c r="AH543" i="8" s="1"/>
  <c r="AJ543" i="8" s="1"/>
  <c r="AG383" i="8"/>
  <c r="AG481" i="8"/>
  <c r="AG782" i="8"/>
  <c r="AH782" i="8" s="1"/>
  <c r="AJ782" i="8" s="1"/>
  <c r="AG522" i="8"/>
  <c r="AH522" i="8" s="1"/>
  <c r="AJ522" i="8" s="1"/>
  <c r="AG766" i="8"/>
  <c r="AH766" i="8" s="1"/>
  <c r="AJ766" i="8" s="1"/>
  <c r="AG807" i="8"/>
  <c r="AH807" i="8" s="1"/>
  <c r="AJ807" i="8" s="1"/>
  <c r="AG377" i="8"/>
  <c r="AH377" i="8" s="1"/>
  <c r="AJ377" i="8" s="1"/>
  <c r="AG590" i="8"/>
  <c r="AH590" i="8" s="1"/>
  <c r="AJ590" i="8" s="1"/>
  <c r="AG511" i="8"/>
  <c r="AH511" i="8" s="1"/>
  <c r="AJ511" i="8" s="1"/>
  <c r="X282" i="8"/>
  <c r="AF281" i="8"/>
  <c r="X591" i="8"/>
  <c r="AF590" i="8"/>
  <c r="AH369" i="8"/>
  <c r="AJ369" i="8" s="1"/>
  <c r="AH663" i="8"/>
  <c r="AJ663" i="8" s="1"/>
  <c r="AH383" i="8"/>
  <c r="AJ383" i="8" s="1"/>
  <c r="AH336" i="8"/>
  <c r="AJ336" i="8" s="1"/>
  <c r="AH481" i="8"/>
  <c r="AJ481" i="8" s="1"/>
  <c r="V288" i="2"/>
  <c r="AD288" i="2" s="1"/>
  <c r="AK543" i="8" l="1"/>
  <c r="AO543" i="8"/>
  <c r="AK766" i="8"/>
  <c r="AO766" i="8"/>
  <c r="AK511" i="8"/>
  <c r="AO511" i="8"/>
  <c r="AK807" i="8"/>
  <c r="AO807" i="8"/>
  <c r="AK663" i="8"/>
  <c r="AO663" i="8"/>
  <c r="AK522" i="8"/>
  <c r="AO522" i="8"/>
  <c r="AK481" i="8"/>
  <c r="AO481" i="8"/>
  <c r="AK377" i="8"/>
  <c r="AO377" i="8"/>
  <c r="AK782" i="8"/>
  <c r="AO782" i="8"/>
  <c r="AK667" i="8"/>
  <c r="AO667" i="8"/>
  <c r="AK383" i="8"/>
  <c r="AO383" i="8"/>
  <c r="AK590" i="8"/>
  <c r="AO590" i="8"/>
  <c r="AK336" i="8"/>
  <c r="AO336" i="8"/>
  <c r="AK369" i="8"/>
  <c r="AO369" i="8"/>
  <c r="X592" i="8"/>
  <c r="AF591" i="8"/>
  <c r="X283" i="8"/>
  <c r="AF282" i="8"/>
  <c r="V289" i="2"/>
  <c r="AD289" i="2" s="1"/>
  <c r="AF283" i="8" l="1"/>
  <c r="X593" i="8"/>
  <c r="AF592" i="8"/>
  <c r="V290" i="2"/>
  <c r="AD290" i="2" s="1"/>
  <c r="X594" i="8" l="1"/>
  <c r="AF593" i="8"/>
  <c r="V291" i="2"/>
  <c r="AD291" i="2" s="1"/>
  <c r="X595" i="8" l="1"/>
  <c r="AF594" i="8"/>
  <c r="V292" i="2"/>
  <c r="AD292" i="2" s="1"/>
  <c r="X596" i="8" l="1"/>
  <c r="AF595" i="8"/>
  <c r="V293" i="2"/>
  <c r="AD293" i="2" s="1"/>
  <c r="X597" i="8" l="1"/>
  <c r="AF596" i="8"/>
  <c r="V294" i="2"/>
  <c r="AD294" i="2" s="1"/>
  <c r="X598" i="8" l="1"/>
  <c r="AF597" i="8"/>
  <c r="V295" i="2"/>
  <c r="AD295" i="2" s="1"/>
  <c r="AG598" i="8" l="1"/>
  <c r="AG304" i="8"/>
  <c r="AG789" i="8"/>
  <c r="AG365" i="8"/>
  <c r="AH365" i="8" s="1"/>
  <c r="AJ365" i="8" s="1"/>
  <c r="AG671" i="8"/>
  <c r="AG463" i="8"/>
  <c r="AG472" i="8"/>
  <c r="AG816" i="8"/>
  <c r="AG201" i="8"/>
  <c r="AG750" i="8"/>
  <c r="AG145" i="8"/>
  <c r="AG580" i="8"/>
  <c r="AG283" i="8"/>
  <c r="AH283" i="8" s="1"/>
  <c r="AJ283" i="8" s="1"/>
  <c r="AG31" i="8"/>
  <c r="AG684" i="8"/>
  <c r="AG350" i="8"/>
  <c r="AH350" i="8" s="1"/>
  <c r="AJ350" i="8" s="1"/>
  <c r="AG751" i="8"/>
  <c r="AG488" i="8"/>
  <c r="AG747" i="8"/>
  <c r="AG180" i="8"/>
  <c r="AH180" i="8" s="1"/>
  <c r="AJ180" i="8" s="1"/>
  <c r="AG219" i="8"/>
  <c r="AH219" i="8" s="1"/>
  <c r="AJ219" i="8" s="1"/>
  <c r="AG562" i="8"/>
  <c r="AH562" i="8" s="1"/>
  <c r="AJ562" i="8" s="1"/>
  <c r="AG584" i="8"/>
  <c r="AH584" i="8" s="1"/>
  <c r="AJ584" i="8" s="1"/>
  <c r="X599" i="8"/>
  <c r="AF598" i="8"/>
  <c r="AH816" i="8"/>
  <c r="AJ816" i="8" s="1"/>
  <c r="AH201" i="8"/>
  <c r="AJ201" i="8" s="1"/>
  <c r="AH598" i="8"/>
  <c r="AJ598" i="8" s="1"/>
  <c r="AH304" i="8"/>
  <c r="AJ304" i="8" s="1"/>
  <c r="AH31" i="8"/>
  <c r="AJ31" i="8" s="1"/>
  <c r="AH145" i="8"/>
  <c r="AJ145" i="8" s="1"/>
  <c r="AH463" i="8"/>
  <c r="AJ463" i="8" s="1"/>
  <c r="AH751" i="8"/>
  <c r="AJ751" i="8" s="1"/>
  <c r="AH750" i="8"/>
  <c r="AJ750" i="8" s="1"/>
  <c r="AH671" i="8"/>
  <c r="AJ671" i="8" s="1"/>
  <c r="AH580" i="8"/>
  <c r="AJ580" i="8" s="1"/>
  <c r="AH684" i="8"/>
  <c r="AJ684" i="8" s="1"/>
  <c r="AH747" i="8"/>
  <c r="AJ747" i="8" s="1"/>
  <c r="AH472" i="8"/>
  <c r="AJ472" i="8" s="1"/>
  <c r="AH789" i="8"/>
  <c r="AJ789" i="8" s="1"/>
  <c r="AH488" i="8"/>
  <c r="AJ488" i="8" s="1"/>
  <c r="V296" i="2"/>
  <c r="AD296" i="2" s="1"/>
  <c r="AK747" i="8" l="1"/>
  <c r="AO747" i="8"/>
  <c r="AK750" i="8"/>
  <c r="AO750" i="8"/>
  <c r="AK145" i="8"/>
  <c r="AO145" i="8"/>
  <c r="AK201" i="8"/>
  <c r="AO201" i="8"/>
  <c r="AK488" i="8"/>
  <c r="AO488" i="8"/>
  <c r="AK684" i="8"/>
  <c r="AO684" i="8"/>
  <c r="AK283" i="8"/>
  <c r="AO283" i="8"/>
  <c r="AK31" i="8"/>
  <c r="AO31" i="8"/>
  <c r="AK816" i="8"/>
  <c r="AO816" i="8"/>
  <c r="AK789" i="8"/>
  <c r="AO789" i="8"/>
  <c r="AK580" i="8"/>
  <c r="AO580" i="8"/>
  <c r="AK751" i="8"/>
  <c r="AO751" i="8"/>
  <c r="AK304" i="8"/>
  <c r="AO304" i="8"/>
  <c r="AK472" i="8"/>
  <c r="AO472" i="8"/>
  <c r="AK671" i="8"/>
  <c r="AO671" i="8"/>
  <c r="AK463" i="8"/>
  <c r="AO463" i="8"/>
  <c r="AK598" i="8"/>
  <c r="AO598" i="8"/>
  <c r="AK180" i="8"/>
  <c r="AO180" i="8"/>
  <c r="AK350" i="8"/>
  <c r="AO350" i="8"/>
  <c r="AK365" i="8"/>
  <c r="AO365" i="8"/>
  <c r="AK584" i="8"/>
  <c r="AO584" i="8"/>
  <c r="AK562" i="8"/>
  <c r="AO562" i="8"/>
  <c r="AK219" i="8"/>
  <c r="AO219" i="8"/>
  <c r="X600" i="8"/>
  <c r="AF599" i="8"/>
  <c r="V297" i="2"/>
  <c r="AD297" i="2" s="1"/>
  <c r="X601" i="8" l="1"/>
  <c r="AF600" i="8"/>
  <c r="V298" i="2"/>
  <c r="AD298" i="2" s="1"/>
  <c r="X602" i="8" l="1"/>
  <c r="AF601" i="8"/>
  <c r="V299" i="2"/>
  <c r="AD299" i="2" s="1"/>
  <c r="X603" i="8" l="1"/>
  <c r="AF602" i="8"/>
  <c r="V300" i="2"/>
  <c r="AD300" i="2" s="1"/>
  <c r="X604" i="8" l="1"/>
  <c r="AF603" i="8"/>
  <c r="V301" i="2"/>
  <c r="AD301" i="2" s="1"/>
  <c r="X605" i="8" l="1"/>
  <c r="AF604" i="8"/>
  <c r="V302" i="2"/>
  <c r="AD302" i="2" s="1"/>
  <c r="X606" i="8" l="1"/>
  <c r="AF605" i="8"/>
  <c r="V303" i="2"/>
  <c r="AD303" i="2" s="1"/>
  <c r="AG289" i="8" l="1"/>
  <c r="AH289" i="8" s="1"/>
  <c r="AJ289" i="8" s="1"/>
  <c r="AG606" i="8"/>
  <c r="AH606" i="8" s="1"/>
  <c r="AJ606" i="8" s="1"/>
  <c r="AG548" i="8"/>
  <c r="AH548" i="8" s="1"/>
  <c r="AJ548" i="8" s="1"/>
  <c r="AG490" i="8"/>
  <c r="AH490" i="8" s="1"/>
  <c r="AJ490" i="8" s="1"/>
  <c r="AF606" i="8"/>
  <c r="X607" i="8"/>
  <c r="V304" i="2"/>
  <c r="AK490" i="8" l="1"/>
  <c r="AO490" i="8"/>
  <c r="AK548" i="8"/>
  <c r="AO548" i="8"/>
  <c r="AK606" i="8"/>
  <c r="AO606" i="8"/>
  <c r="AK289" i="8"/>
  <c r="AO289" i="8"/>
  <c r="AD304" i="2"/>
  <c r="AE175" i="2"/>
  <c r="AF175" i="2" s="1"/>
  <c r="AE166" i="2"/>
  <c r="AF166" i="2" s="1"/>
  <c r="X608" i="8"/>
  <c r="AF607" i="8"/>
  <c r="V305" i="2"/>
  <c r="AE305" i="2" s="1"/>
  <c r="AF305" i="2" s="1"/>
  <c r="AE304" i="2" l="1"/>
  <c r="AF304" i="2" s="1"/>
  <c r="AH304" i="2" s="1"/>
  <c r="AF608" i="8"/>
  <c r="X609" i="8"/>
  <c r="AG288" i="8" s="1"/>
  <c r="AH288" i="8" s="1"/>
  <c r="AJ288" i="8" s="1"/>
  <c r="AH166" i="2"/>
  <c r="AJ166" i="2" s="1"/>
  <c r="AD305" i="2"/>
  <c r="AH305" i="2" s="1"/>
  <c r="AH175" i="2"/>
  <c r="AJ175" i="2" s="1"/>
  <c r="V306" i="2"/>
  <c r="AD306" i="2" s="1"/>
  <c r="AK288" i="8" l="1"/>
  <c r="AO288" i="8"/>
  <c r="AG438" i="8"/>
  <c r="AH438" i="8" s="1"/>
  <c r="AJ438" i="8" s="1"/>
  <c r="AG608" i="8"/>
  <c r="AH608" i="8" s="1"/>
  <c r="AJ608" i="8" s="1"/>
  <c r="AG495" i="8"/>
  <c r="AH495" i="8" s="1"/>
  <c r="AJ495" i="8" s="1"/>
  <c r="AG328" i="8"/>
  <c r="AH328" i="8" s="1"/>
  <c r="AJ328" i="8" s="1"/>
  <c r="AG609" i="8"/>
  <c r="AH609" i="8" s="1"/>
  <c r="AJ609" i="8" s="1"/>
  <c r="AG287" i="8"/>
  <c r="AH287" i="8" s="1"/>
  <c r="AJ287" i="8" s="1"/>
  <c r="X610" i="8"/>
  <c r="AF609" i="8"/>
  <c r="V307" i="2"/>
  <c r="AD307" i="2" s="1"/>
  <c r="AK287" i="8" l="1"/>
  <c r="AO287" i="8"/>
  <c r="AK608" i="8"/>
  <c r="AO608" i="8"/>
  <c r="AK438" i="8"/>
  <c r="AO438" i="8"/>
  <c r="AK328" i="8"/>
  <c r="AO328" i="8"/>
  <c r="AK609" i="8"/>
  <c r="AO609" i="8"/>
  <c r="AK495" i="8"/>
  <c r="AO495" i="8"/>
  <c r="X611" i="8"/>
  <c r="AF610" i="8"/>
  <c r="V308" i="2"/>
  <c r="AD308" i="2" s="1"/>
  <c r="X612" i="8" l="1"/>
  <c r="AF611" i="8"/>
  <c r="V309" i="2"/>
  <c r="AD309" i="2" s="1"/>
  <c r="X613" i="8" l="1"/>
  <c r="AF612" i="8"/>
  <c r="V310" i="2"/>
  <c r="AD310" i="2" s="1"/>
  <c r="X614" i="8" l="1"/>
  <c r="AF613" i="8"/>
  <c r="V311" i="2"/>
  <c r="AD311" i="2" s="1"/>
  <c r="X615" i="8" l="1"/>
  <c r="AF614" i="8"/>
  <c r="V312" i="2"/>
  <c r="AD312" i="2" s="1"/>
  <c r="X616" i="8" l="1"/>
  <c r="AF615" i="8"/>
  <c r="V313" i="2"/>
  <c r="AD313" i="2" s="1"/>
  <c r="X617" i="8" l="1"/>
  <c r="AF616" i="8"/>
  <c r="V314" i="2"/>
  <c r="AD314" i="2" s="1"/>
  <c r="X618" i="8" l="1"/>
  <c r="AF617" i="8"/>
  <c r="V315" i="2"/>
  <c r="AD315" i="2" s="1"/>
  <c r="X619" i="8" l="1"/>
  <c r="AF618" i="8"/>
  <c r="V316" i="2"/>
  <c r="AD316" i="2" s="1"/>
  <c r="X620" i="8" l="1"/>
  <c r="AF619" i="8"/>
  <c r="V317" i="2"/>
  <c r="AD317" i="2" s="1"/>
  <c r="AG286" i="8" l="1"/>
  <c r="AG466" i="8"/>
  <c r="AH466" i="8" s="1"/>
  <c r="AJ466" i="8" s="1"/>
  <c r="AG382" i="8"/>
  <c r="AG412" i="8"/>
  <c r="AH412" i="8" s="1"/>
  <c r="AJ412" i="8" s="1"/>
  <c r="AG291" i="8"/>
  <c r="AH291" i="8" s="1"/>
  <c r="AJ291" i="8" s="1"/>
  <c r="AG413" i="8"/>
  <c r="AH413" i="8" s="1"/>
  <c r="AJ413" i="8" s="1"/>
  <c r="AG465" i="8"/>
  <c r="AG422" i="8"/>
  <c r="AH422" i="8" s="1"/>
  <c r="AJ422" i="8" s="1"/>
  <c r="AG308" i="8"/>
  <c r="AH308" i="8" s="1"/>
  <c r="AJ308" i="8" s="1"/>
  <c r="AG415" i="8"/>
  <c r="AH415" i="8" s="1"/>
  <c r="AJ415" i="8" s="1"/>
  <c r="AG620" i="8"/>
  <c r="AH620" i="8" s="1"/>
  <c r="AJ620" i="8" s="1"/>
  <c r="AF620" i="8"/>
  <c r="X621" i="8"/>
  <c r="AH382" i="8"/>
  <c r="AJ382" i="8" s="1"/>
  <c r="AH286" i="8"/>
  <c r="AJ286" i="8" s="1"/>
  <c r="AH465" i="8"/>
  <c r="AJ465" i="8" s="1"/>
  <c r="V318" i="2"/>
  <c r="AD318" i="2" s="1"/>
  <c r="AK422" i="8" l="1"/>
  <c r="AO422" i="8"/>
  <c r="AK412" i="8"/>
  <c r="AO412" i="8"/>
  <c r="AK465" i="8"/>
  <c r="AO465" i="8"/>
  <c r="AK286" i="8"/>
  <c r="AO286" i="8"/>
  <c r="AK620" i="8"/>
  <c r="AO620" i="8"/>
  <c r="AK382" i="8"/>
  <c r="AO382" i="8"/>
  <c r="AK415" i="8"/>
  <c r="AO415" i="8"/>
  <c r="AK413" i="8"/>
  <c r="AO413" i="8"/>
  <c r="AK466" i="8"/>
  <c r="AO466" i="8"/>
  <c r="AK308" i="8"/>
  <c r="AO308" i="8"/>
  <c r="AK291" i="8"/>
  <c r="AO291" i="8"/>
  <c r="AG355" i="8"/>
  <c r="AG226" i="8"/>
  <c r="AG47" i="8"/>
  <c r="AG73" i="8"/>
  <c r="AH73" i="8" s="1"/>
  <c r="AJ73" i="8" s="1"/>
  <c r="AG706" i="8"/>
  <c r="AG577" i="8"/>
  <c r="AG712" i="8"/>
  <c r="AG765" i="8"/>
  <c r="AH765" i="8" s="1"/>
  <c r="AJ765" i="8" s="1"/>
  <c r="AG574" i="8"/>
  <c r="AG202" i="8"/>
  <c r="AG517" i="8"/>
  <c r="AG137" i="8"/>
  <c r="AH137" i="8" s="1"/>
  <c r="AJ137" i="8" s="1"/>
  <c r="AG149" i="8"/>
  <c r="AG474" i="8"/>
  <c r="AG692" i="8"/>
  <c r="AG464" i="8"/>
  <c r="AH464" i="8" s="1"/>
  <c r="AJ464" i="8" s="1"/>
  <c r="AG48" i="8"/>
  <c r="AG776" i="8"/>
  <c r="AG521" i="8"/>
  <c r="AG744" i="8"/>
  <c r="AH744" i="8" s="1"/>
  <c r="AJ744" i="8" s="1"/>
  <c r="AG713" i="8"/>
  <c r="AG540" i="8"/>
  <c r="AG59" i="8"/>
  <c r="AG162" i="8"/>
  <c r="AH162" i="8" s="1"/>
  <c r="AJ162" i="8" s="1"/>
  <c r="AG360" i="8"/>
  <c r="AG447" i="8"/>
  <c r="AG621" i="8"/>
  <c r="AG561" i="8"/>
  <c r="AH561" i="8" s="1"/>
  <c r="AJ561" i="8" s="1"/>
  <c r="AG277" i="8"/>
  <c r="AG154" i="8"/>
  <c r="AG160" i="8"/>
  <c r="AG55" i="8"/>
  <c r="AH55" i="8" s="1"/>
  <c r="AJ55" i="8" s="1"/>
  <c r="AG730" i="8"/>
  <c r="AH730" i="8" s="1"/>
  <c r="AJ730" i="8" s="1"/>
  <c r="AG80" i="8"/>
  <c r="AH80" i="8" s="1"/>
  <c r="AJ80" i="8" s="1"/>
  <c r="AG110" i="8"/>
  <c r="AH110" i="8" s="1"/>
  <c r="AJ110" i="8" s="1"/>
  <c r="AG520" i="8"/>
  <c r="AH520" i="8" s="1"/>
  <c r="AJ520" i="8" s="1"/>
  <c r="AG75" i="8"/>
  <c r="AH75" i="8" s="1"/>
  <c r="AJ75" i="8" s="1"/>
  <c r="AG740" i="8"/>
  <c r="AH740" i="8" s="1"/>
  <c r="AJ740" i="8" s="1"/>
  <c r="AG516" i="8"/>
  <c r="AH516" i="8" s="1"/>
  <c r="AJ516" i="8" s="1"/>
  <c r="AG526" i="8"/>
  <c r="AH526" i="8" s="1"/>
  <c r="AJ526" i="8" s="1"/>
  <c r="AG489" i="8"/>
  <c r="AH489" i="8" s="1"/>
  <c r="AJ489" i="8" s="1"/>
  <c r="X622" i="8"/>
  <c r="AF621" i="8"/>
  <c r="AH540" i="8"/>
  <c r="AJ540" i="8" s="1"/>
  <c r="AH577" i="8"/>
  <c r="AJ577" i="8" s="1"/>
  <c r="AH776" i="8"/>
  <c r="AJ776" i="8" s="1"/>
  <c r="AH712" i="8"/>
  <c r="AJ712" i="8" s="1"/>
  <c r="AH360" i="8"/>
  <c r="AJ360" i="8" s="1"/>
  <c r="AH160" i="8"/>
  <c r="AJ160" i="8" s="1"/>
  <c r="AH447" i="8"/>
  <c r="AJ447" i="8" s="1"/>
  <c r="AH621" i="8"/>
  <c r="AJ621" i="8" s="1"/>
  <c r="AH226" i="8"/>
  <c r="AJ226" i="8" s="1"/>
  <c r="AH521" i="8"/>
  <c r="AJ521" i="8" s="1"/>
  <c r="AH713" i="8"/>
  <c r="AJ713" i="8" s="1"/>
  <c r="AH474" i="8"/>
  <c r="AJ474" i="8" s="1"/>
  <c r="AH59" i="8"/>
  <c r="AJ59" i="8" s="1"/>
  <c r="AH48" i="8"/>
  <c r="AJ48" i="8" s="1"/>
  <c r="AH154" i="8"/>
  <c r="AJ154" i="8" s="1"/>
  <c r="AH574" i="8"/>
  <c r="AJ574" i="8" s="1"/>
  <c r="AH202" i="8"/>
  <c r="AJ202" i="8" s="1"/>
  <c r="AH277" i="8"/>
  <c r="AJ277" i="8" s="1"/>
  <c r="AH47" i="8"/>
  <c r="AJ47" i="8" s="1"/>
  <c r="AH355" i="8"/>
  <c r="AJ355" i="8" s="1"/>
  <c r="AH692" i="8"/>
  <c r="AJ692" i="8" s="1"/>
  <c r="AH149" i="8"/>
  <c r="AJ149" i="8" s="1"/>
  <c r="AH706" i="8"/>
  <c r="AJ706" i="8" s="1"/>
  <c r="AH517" i="8"/>
  <c r="AJ517" i="8" s="1"/>
  <c r="V319" i="2"/>
  <c r="AD319" i="2" s="1"/>
  <c r="AK80" i="8" l="1"/>
  <c r="AO80" i="8"/>
  <c r="AK75" i="8"/>
  <c r="AO75" i="8"/>
  <c r="AK355" i="8"/>
  <c r="AO355" i="8"/>
  <c r="AK360" i="8"/>
  <c r="AO360" i="8"/>
  <c r="AK740" i="8"/>
  <c r="AO740" i="8"/>
  <c r="AK706" i="8"/>
  <c r="AO706" i="8"/>
  <c r="AK47" i="8"/>
  <c r="AO47" i="8"/>
  <c r="AK154" i="8"/>
  <c r="AO154" i="8"/>
  <c r="AK474" i="8"/>
  <c r="AO474" i="8"/>
  <c r="AK621" i="8"/>
  <c r="AO621" i="8"/>
  <c r="AK730" i="8"/>
  <c r="AO730" i="8"/>
  <c r="AK517" i="8"/>
  <c r="AO517" i="8"/>
  <c r="AK59" i="8"/>
  <c r="AO59" i="8"/>
  <c r="AK226" i="8"/>
  <c r="AO226" i="8"/>
  <c r="AK577" i="8"/>
  <c r="AO577" i="8"/>
  <c r="AK277" i="8"/>
  <c r="AO277" i="8"/>
  <c r="AK713" i="8"/>
  <c r="AO713" i="8"/>
  <c r="AK447" i="8"/>
  <c r="AO447" i="8"/>
  <c r="AK712" i="8"/>
  <c r="AO712" i="8"/>
  <c r="AK540" i="8"/>
  <c r="AO540" i="8"/>
  <c r="AK526" i="8"/>
  <c r="AO526" i="8"/>
  <c r="AK520" i="8"/>
  <c r="AO520" i="8"/>
  <c r="AK55" i="8"/>
  <c r="AO55" i="8"/>
  <c r="AK561" i="8"/>
  <c r="AO561" i="8"/>
  <c r="AK162" i="8"/>
  <c r="AO162" i="8"/>
  <c r="AK744" i="8"/>
  <c r="AO744" i="8"/>
  <c r="AK464" i="8"/>
  <c r="AO464" i="8"/>
  <c r="AK137" i="8"/>
  <c r="AO137" i="8"/>
  <c r="AK765" i="8"/>
  <c r="AO765" i="8"/>
  <c r="AK73" i="8"/>
  <c r="AO73" i="8"/>
  <c r="AK574" i="8"/>
  <c r="AO574" i="8"/>
  <c r="AK489" i="8"/>
  <c r="AO489" i="8"/>
  <c r="AK149" i="8"/>
  <c r="AO149" i="8"/>
  <c r="AK692" i="8"/>
  <c r="AO692" i="8"/>
  <c r="AK202" i="8"/>
  <c r="AO202" i="8"/>
  <c r="AK48" i="8"/>
  <c r="AO48" i="8"/>
  <c r="AK521" i="8"/>
  <c r="AO521" i="8"/>
  <c r="AK160" i="8"/>
  <c r="AO160" i="8"/>
  <c r="AK776" i="8"/>
  <c r="AO776" i="8"/>
  <c r="AK516" i="8"/>
  <c r="AO516" i="8"/>
  <c r="AK110" i="8"/>
  <c r="AO110" i="8"/>
  <c r="X623" i="8"/>
  <c r="AF622" i="8"/>
  <c r="V320" i="2"/>
  <c r="AD320" i="2" s="1"/>
  <c r="AG254" i="8" l="1"/>
  <c r="AG130" i="8"/>
  <c r="AG208" i="8"/>
  <c r="AG249" i="8"/>
  <c r="AG30" i="8"/>
  <c r="AG111" i="8"/>
  <c r="AG74" i="8"/>
  <c r="AG216" i="8"/>
  <c r="AG220" i="8"/>
  <c r="AG255" i="8"/>
  <c r="AG253" i="8"/>
  <c r="AG83" i="8"/>
  <c r="AG252" i="8"/>
  <c r="AG129" i="8"/>
  <c r="AG101" i="8"/>
  <c r="AG12" i="8"/>
  <c r="AG53" i="8"/>
  <c r="AG247" i="8"/>
  <c r="AG22" i="8"/>
  <c r="AG7" i="8"/>
  <c r="AG96" i="8"/>
  <c r="AG231" i="8"/>
  <c r="AG112" i="8"/>
  <c r="AG23" i="8"/>
  <c r="AG89" i="8"/>
  <c r="AG248" i="8"/>
  <c r="AG10" i="8"/>
  <c r="AG25" i="8"/>
  <c r="AG100" i="8"/>
  <c r="AG84" i="8"/>
  <c r="AG42" i="8"/>
  <c r="AG6" i="8"/>
  <c r="AG99" i="8"/>
  <c r="AG45" i="8"/>
  <c r="AG227" i="8"/>
  <c r="AG131" i="8"/>
  <c r="AG11" i="8"/>
  <c r="AG93" i="8"/>
  <c r="AG16" i="8"/>
  <c r="AG85" i="8"/>
  <c r="AG207" i="8"/>
  <c r="AG21" i="8"/>
  <c r="AG215" i="8"/>
  <c r="AG36" i="8"/>
  <c r="AG114" i="8"/>
  <c r="AG113" i="8"/>
  <c r="AG211" i="8"/>
  <c r="AG206" i="8"/>
  <c r="AG256" i="8"/>
  <c r="AG95" i="8"/>
  <c r="AG150" i="8"/>
  <c r="AG29" i="8"/>
  <c r="AG44" i="8"/>
  <c r="AG5" i="8"/>
  <c r="AG241" i="8"/>
  <c r="AG37" i="8"/>
  <c r="AG229" i="8"/>
  <c r="AG9" i="8"/>
  <c r="AG46" i="8"/>
  <c r="AG209" i="8"/>
  <c r="AG52" i="8"/>
  <c r="AG200" i="8"/>
  <c r="AG15" i="8"/>
  <c r="AG105" i="8"/>
  <c r="AG228" i="8"/>
  <c r="AG251" i="8"/>
  <c r="AG28" i="8"/>
  <c r="AG91" i="8"/>
  <c r="AG240" i="8"/>
  <c r="AG230" i="8"/>
  <c r="AG92" i="8"/>
  <c r="AG26" i="8"/>
  <c r="AG94" i="8"/>
  <c r="AG8" i="8"/>
  <c r="AG90" i="8"/>
  <c r="AG115" i="8"/>
  <c r="AG104" i="8"/>
  <c r="AG232" i="8"/>
  <c r="AG14" i="8"/>
  <c r="AG24" i="8"/>
  <c r="AG210" i="8"/>
  <c r="AG733" i="8"/>
  <c r="AG409" i="8"/>
  <c r="AG500" i="8"/>
  <c r="AG491" i="8"/>
  <c r="AG618" i="8"/>
  <c r="AG528" i="8"/>
  <c r="AG301" i="8"/>
  <c r="AG772" i="8"/>
  <c r="AG393" i="8"/>
  <c r="AG555" i="8"/>
  <c r="AG456" i="8"/>
  <c r="AG648" i="8"/>
  <c r="AG374" i="8"/>
  <c r="AG637" i="8"/>
  <c r="AG697" i="8"/>
  <c r="AG531" i="8"/>
  <c r="AG335" i="8"/>
  <c r="AG502" i="8"/>
  <c r="AG711" i="8"/>
  <c r="AG542" i="8"/>
  <c r="AG616" i="8"/>
  <c r="AG550" i="8"/>
  <c r="AG485" i="8"/>
  <c r="AG593" i="8"/>
  <c r="AG293" i="8"/>
  <c r="AG819" i="8"/>
  <c r="AG356" i="8"/>
  <c r="AG773" i="8"/>
  <c r="AG674" i="8"/>
  <c r="AG534" i="8"/>
  <c r="AG549" i="8"/>
  <c r="AG746" i="8"/>
  <c r="AG437" i="8"/>
  <c r="AG841" i="8"/>
  <c r="AG311" i="8"/>
  <c r="AG501" i="8"/>
  <c r="AG701" i="8"/>
  <c r="AG660" i="8"/>
  <c r="AG327" i="8"/>
  <c r="AG552" i="8"/>
  <c r="AG708" i="8"/>
  <c r="AG812" i="8"/>
  <c r="AG763" i="8"/>
  <c r="AG615" i="8"/>
  <c r="AG796" i="8"/>
  <c r="AG597" i="8"/>
  <c r="AG566" i="8"/>
  <c r="AG419" i="8"/>
  <c r="AG326" i="8"/>
  <c r="AG668" i="8"/>
  <c r="AG611" i="8"/>
  <c r="AG672" i="8"/>
  <c r="AG794" i="8"/>
  <c r="AG623" i="8"/>
  <c r="AG309" i="8"/>
  <c r="AG756" i="8"/>
  <c r="AG825" i="8"/>
  <c r="AG434" i="8"/>
  <c r="AG483" i="8"/>
  <c r="AG404" i="8"/>
  <c r="AG583" i="8"/>
  <c r="AG791" i="8"/>
  <c r="AG324" i="8"/>
  <c r="AG292" i="8"/>
  <c r="AG799" i="8"/>
  <c r="AG780" i="8"/>
  <c r="AG612" i="8"/>
  <c r="AG770" i="8"/>
  <c r="AG394" i="8"/>
  <c r="AG592" i="8"/>
  <c r="AG357" i="8"/>
  <c r="AG840" i="8"/>
  <c r="AG595" i="8"/>
  <c r="AG834" i="8"/>
  <c r="AG787" i="8"/>
  <c r="AG698" i="8"/>
  <c r="AG530" i="8"/>
  <c r="AG442" i="8"/>
  <c r="AG570" i="8"/>
  <c r="AG344" i="8"/>
  <c r="AG567" i="8"/>
  <c r="AG334" i="8"/>
  <c r="AG759" i="8"/>
  <c r="AG305" i="8"/>
  <c r="AG538" i="8"/>
  <c r="AG793" i="8"/>
  <c r="AG312" i="8"/>
  <c r="AG826" i="8"/>
  <c r="AG769" i="8"/>
  <c r="AG795" i="8"/>
  <c r="AG617" i="8"/>
  <c r="AG710" i="8"/>
  <c r="AG802" i="8"/>
  <c r="AG553" i="8"/>
  <c r="AG699" i="8"/>
  <c r="AG315" i="8"/>
  <c r="AG366" i="8"/>
  <c r="AG414" i="8"/>
  <c r="AG343" i="8"/>
  <c r="AG569" i="8"/>
  <c r="AG484" i="8"/>
  <c r="AG294" i="8"/>
  <c r="AG295" i="8"/>
  <c r="AG639" i="8"/>
  <c r="AG610" i="8"/>
  <c r="AG745" i="8"/>
  <c r="AG296" i="8"/>
  <c r="AG325" i="8"/>
  <c r="AG581" i="8"/>
  <c r="AG533" i="8"/>
  <c r="AG436" i="8"/>
  <c r="AG417" i="8"/>
  <c r="AG165" i="8"/>
  <c r="AH165" i="8" s="1"/>
  <c r="AJ165" i="8" s="1"/>
  <c r="AG452" i="8"/>
  <c r="AG737" i="8"/>
  <c r="AG183" i="8"/>
  <c r="AG645" i="8"/>
  <c r="AG362" i="8"/>
  <c r="AG630" i="8"/>
  <c r="AG732" i="8"/>
  <c r="AG451" i="8"/>
  <c r="AG810" i="8"/>
  <c r="AG754" i="8"/>
  <c r="AG303" i="8"/>
  <c r="AG498" i="8"/>
  <c r="AG813" i="8"/>
  <c r="AG596" i="8"/>
  <c r="AG673" i="8"/>
  <c r="AG650" i="8"/>
  <c r="AG728" i="8"/>
  <c r="AG554" i="8"/>
  <c r="AG588" i="8"/>
  <c r="AG450" i="8"/>
  <c r="AG547" i="8"/>
  <c r="AG509" i="8"/>
  <c r="AG340" i="8"/>
  <c r="AG563" i="8"/>
  <c r="AG424" i="8"/>
  <c r="AG767" i="8"/>
  <c r="AG493" i="8"/>
  <c r="AG804" i="8"/>
  <c r="AG835" i="8"/>
  <c r="AG603" i="8"/>
  <c r="AG430" i="8"/>
  <c r="AG557" i="8"/>
  <c r="AG714" i="8"/>
  <c r="AG546" i="8"/>
  <c r="AG345" i="8"/>
  <c r="AG820" i="8"/>
  <c r="AG310" i="8"/>
  <c r="AG625" i="8"/>
  <c r="AG742" i="8"/>
  <c r="AG758" i="8"/>
  <c r="AG640" i="8"/>
  <c r="AG738" i="8"/>
  <c r="AG797" i="8"/>
  <c r="AG801" i="8"/>
  <c r="AG358" i="8"/>
  <c r="AG800" i="8"/>
  <c r="AG499" i="8"/>
  <c r="AG798" i="8"/>
  <c r="AG497" i="8"/>
  <c r="AG346" i="8"/>
  <c r="AG774" i="8"/>
  <c r="AG755" i="8"/>
  <c r="AG806" i="8"/>
  <c r="AG482" i="8"/>
  <c r="AG470" i="8"/>
  <c r="AG775" i="8"/>
  <c r="AG792" i="8"/>
  <c r="AG449" i="8"/>
  <c r="AG842" i="8"/>
  <c r="AG607" i="8"/>
  <c r="AG723" i="8"/>
  <c r="AG38" i="8"/>
  <c r="AG844" i="8"/>
  <c r="AG322" i="8"/>
  <c r="AG838" i="8"/>
  <c r="AG601" i="8"/>
  <c r="AG314" i="8"/>
  <c r="AG410" i="8"/>
  <c r="AG361" i="8"/>
  <c r="AG814" i="8"/>
  <c r="AG614" i="8"/>
  <c r="AG281" i="8"/>
  <c r="AG386" i="8"/>
  <c r="AG829" i="8"/>
  <c r="AG354" i="8"/>
  <c r="AG629" i="8"/>
  <c r="AG411" i="8"/>
  <c r="AG385" i="8"/>
  <c r="AG368" i="8"/>
  <c r="AG395" i="8"/>
  <c r="AG558" i="8"/>
  <c r="AG420" i="8"/>
  <c r="AG407" i="8"/>
  <c r="AG544" i="8"/>
  <c r="AG666" i="8"/>
  <c r="AG599" i="8"/>
  <c r="AG429" i="8"/>
  <c r="AG505" i="8"/>
  <c r="AG783" i="8"/>
  <c r="AG709" i="8"/>
  <c r="AG559" i="8"/>
  <c r="AG524" i="8"/>
  <c r="AG824" i="8"/>
  <c r="AG290" i="8"/>
  <c r="AG715" i="8"/>
  <c r="AG600" i="8"/>
  <c r="AG367" i="8"/>
  <c r="AG602" i="8"/>
  <c r="AG523" i="8"/>
  <c r="AG843" i="8"/>
  <c r="AG815" i="8"/>
  <c r="AG651" i="8"/>
  <c r="AG323" i="8"/>
  <c r="AG321" i="8"/>
  <c r="AG364" i="8"/>
  <c r="AG788" i="8"/>
  <c r="AG589" i="8"/>
  <c r="AG627" i="8"/>
  <c r="AG652" i="8"/>
  <c r="AG678" i="8"/>
  <c r="AG195" i="8"/>
  <c r="AG633" i="8"/>
  <c r="AG246" i="8"/>
  <c r="AG665" i="8"/>
  <c r="AG267" i="8"/>
  <c r="AG181" i="8"/>
  <c r="AG831" i="8"/>
  <c r="AG265" i="8"/>
  <c r="AG258" i="8"/>
  <c r="AG197" i="8"/>
  <c r="AG777" i="8"/>
  <c r="AG244" i="8"/>
  <c r="AG266" i="8"/>
  <c r="AG736" i="8"/>
  <c r="AG642" i="8"/>
  <c r="AG641" i="8"/>
  <c r="AG657" i="8"/>
  <c r="AG833" i="8"/>
  <c r="AG196" i="8"/>
  <c r="AG184" i="8"/>
  <c r="AG194" i="8"/>
  <c r="AG182" i="8"/>
  <c r="AG245" i="8"/>
  <c r="AG830" i="8"/>
  <c r="AG676" i="8"/>
  <c r="AG268" i="8"/>
  <c r="AG127" i="8"/>
  <c r="AG330" i="8"/>
  <c r="AG82" i="8"/>
  <c r="AH82" i="8" s="1"/>
  <c r="AJ82" i="8" s="1"/>
  <c r="AG264" i="8"/>
  <c r="AG632" i="8"/>
  <c r="AG664" i="8"/>
  <c r="AG832" i="8"/>
  <c r="AG643" i="8"/>
  <c r="AG823" i="8"/>
  <c r="AG576" i="8"/>
  <c r="AH576" i="8" s="1"/>
  <c r="AJ576" i="8" s="1"/>
  <c r="AG275" i="8"/>
  <c r="AG282" i="8"/>
  <c r="AG271" i="8"/>
  <c r="AG223" i="8"/>
  <c r="AG237" i="8"/>
  <c r="AG67" i="8"/>
  <c r="AG238" i="8"/>
  <c r="AG274" i="8"/>
  <c r="AG70" i="8"/>
  <c r="AG71" i="8"/>
  <c r="AG68" i="8"/>
  <c r="AG250" i="8"/>
  <c r="AG65" i="8"/>
  <c r="AG77" i="8"/>
  <c r="AG72" i="8"/>
  <c r="AG66" i="8"/>
  <c r="AG50" i="8"/>
  <c r="AG270" i="8"/>
  <c r="AG351" i="8"/>
  <c r="AG771" i="8"/>
  <c r="AG399" i="8"/>
  <c r="AG433" i="8"/>
  <c r="AG582" i="8"/>
  <c r="AG784" i="8"/>
  <c r="AG224" i="8"/>
  <c r="AG604" i="8"/>
  <c r="AG739" i="8"/>
  <c r="AG568" i="8"/>
  <c r="AG682" i="8"/>
  <c r="AG572" i="8"/>
  <c r="AG492" i="8"/>
  <c r="AG675" i="8"/>
  <c r="AG468" i="8"/>
  <c r="AG680" i="8"/>
  <c r="AG406" i="8"/>
  <c r="AG400" i="8"/>
  <c r="AG186" i="8"/>
  <c r="AG373" i="8"/>
  <c r="AG87" i="8"/>
  <c r="AG661" i="8"/>
  <c r="AG458" i="8"/>
  <c r="AG647" i="8"/>
  <c r="AG57" i="8"/>
  <c r="AG685" i="8"/>
  <c r="AG696" i="8"/>
  <c r="AG102" i="8"/>
  <c r="AH102" i="8" s="1"/>
  <c r="AJ102" i="8" s="1"/>
  <c r="AG133" i="8"/>
  <c r="AG469" i="8"/>
  <c r="AG122" i="8"/>
  <c r="AG285" i="8"/>
  <c r="AG636" i="8"/>
  <c r="AG441" i="8"/>
  <c r="AG390" i="8"/>
  <c r="AG98" i="8"/>
  <c r="AG387" i="8"/>
  <c r="AG117" i="8"/>
  <c r="AG707" i="8"/>
  <c r="AG260" i="8"/>
  <c r="AG391" i="8"/>
  <c r="AG460" i="8"/>
  <c r="AG503" i="8"/>
  <c r="AG605" i="8"/>
  <c r="AH605" i="8" s="1"/>
  <c r="AJ605" i="8" s="1"/>
  <c r="AG416" i="8"/>
  <c r="AG613" i="8"/>
  <c r="AG649" i="8"/>
  <c r="AG86" i="8"/>
  <c r="AG459" i="8"/>
  <c r="AG571" i="8"/>
  <c r="AG846" i="8"/>
  <c r="AG3" i="8"/>
  <c r="AH3" i="8" s="1"/>
  <c r="AJ3" i="8" s="1"/>
  <c r="AG402" i="8"/>
  <c r="AG392" i="8"/>
  <c r="AG284" i="8"/>
  <c r="AG726" i="8"/>
  <c r="AG594" i="8"/>
  <c r="AG27" i="8"/>
  <c r="AG261" i="8"/>
  <c r="AG32" i="8"/>
  <c r="AG123" i="8"/>
  <c r="AG480" i="8"/>
  <c r="AG461" i="8"/>
  <c r="AG541" i="8"/>
  <c r="AH541" i="8" s="1"/>
  <c r="AJ541" i="8" s="1"/>
  <c r="AG462" i="8"/>
  <c r="AG585" i="8"/>
  <c r="AG431" i="8"/>
  <c r="AG2" i="8"/>
  <c r="AH2" i="8" s="1"/>
  <c r="AJ2" i="8" s="1"/>
  <c r="AG656" i="8"/>
  <c r="AG507" i="8"/>
  <c r="AG316" i="8"/>
  <c r="AG535" i="8"/>
  <c r="AH535" i="8" s="1"/>
  <c r="AJ535" i="8" s="1"/>
  <c r="AG525" i="8"/>
  <c r="AG508" i="8"/>
  <c r="AG622" i="8"/>
  <c r="AG591" i="8"/>
  <c r="AH591" i="8" s="1"/>
  <c r="AJ591" i="8" s="1"/>
  <c r="AG444" i="8"/>
  <c r="AG453" i="8"/>
  <c r="AG545" i="8"/>
  <c r="AG435" i="8"/>
  <c r="AG319" i="8"/>
  <c r="AG619" i="8"/>
  <c r="AG418" i="8"/>
  <c r="AG471" i="8"/>
  <c r="AH471" i="8" s="1"/>
  <c r="AJ471" i="8" s="1"/>
  <c r="AG300" i="8"/>
  <c r="AG494" i="8"/>
  <c r="AG454" i="8"/>
  <c r="AG425" i="8"/>
  <c r="AG573" i="8"/>
  <c r="AG496" i="8"/>
  <c r="AG504" i="8"/>
  <c r="AG396" i="8"/>
  <c r="AH396" i="8" s="1"/>
  <c r="AJ396" i="8" s="1"/>
  <c r="AG342" i="8"/>
  <c r="AG443" i="8"/>
  <c r="AH443" i="8" s="1"/>
  <c r="AJ443" i="8" s="1"/>
  <c r="AG388" i="8"/>
  <c r="AF623" i="8"/>
  <c r="AH23" i="8"/>
  <c r="AJ23" i="8" s="1"/>
  <c r="AH83" i="8"/>
  <c r="AJ83" i="8" s="1"/>
  <c r="AH240" i="8"/>
  <c r="AJ240" i="8" s="1"/>
  <c r="AH46" i="8"/>
  <c r="AJ46" i="8" s="1"/>
  <c r="AH228" i="8"/>
  <c r="AJ228" i="8" s="1"/>
  <c r="AH220" i="8"/>
  <c r="AJ220" i="8" s="1"/>
  <c r="AH255" i="8"/>
  <c r="AJ255" i="8" s="1"/>
  <c r="AH227" i="8"/>
  <c r="AJ227" i="8" s="1"/>
  <c r="AH42" i="8"/>
  <c r="AJ42" i="8" s="1"/>
  <c r="AH232" i="8"/>
  <c r="AJ232" i="8" s="1"/>
  <c r="AH5" i="8"/>
  <c r="AJ5" i="8" s="1"/>
  <c r="AH12" i="8"/>
  <c r="AJ12" i="8" s="1"/>
  <c r="AH251" i="8"/>
  <c r="AJ251" i="8" s="1"/>
  <c r="AH99" i="8"/>
  <c r="AJ99" i="8" s="1"/>
  <c r="AH104" i="8"/>
  <c r="AJ104" i="8" s="1"/>
  <c r="AH84" i="8"/>
  <c r="AJ84" i="8" s="1"/>
  <c r="AH210" i="8"/>
  <c r="AJ210" i="8" s="1"/>
  <c r="AH249" i="8"/>
  <c r="AJ249" i="8" s="1"/>
  <c r="AH45" i="8"/>
  <c r="AJ45" i="8" s="1"/>
  <c r="AH24" i="8"/>
  <c r="AJ24" i="8" s="1"/>
  <c r="AH131" i="8"/>
  <c r="AJ131" i="8" s="1"/>
  <c r="AH115" i="8"/>
  <c r="AJ115" i="8" s="1"/>
  <c r="AH6" i="8"/>
  <c r="AJ6" i="8" s="1"/>
  <c r="AH150" i="8"/>
  <c r="AJ150" i="8" s="1"/>
  <c r="AH130" i="8"/>
  <c r="AJ130" i="8" s="1"/>
  <c r="AH708" i="8"/>
  <c r="AJ708" i="8" s="1"/>
  <c r="AH569" i="8"/>
  <c r="AJ569" i="8" s="1"/>
  <c r="AH555" i="8"/>
  <c r="AJ555" i="8" s="1"/>
  <c r="AH394" i="8"/>
  <c r="AJ394" i="8" s="1"/>
  <c r="AH697" i="8"/>
  <c r="AJ697" i="8" s="1"/>
  <c r="AH583" i="8"/>
  <c r="AJ583" i="8" s="1"/>
  <c r="AH484" i="8"/>
  <c r="AJ484" i="8" s="1"/>
  <c r="AH769" i="8"/>
  <c r="AJ769" i="8" s="1"/>
  <c r="AH324" i="8"/>
  <c r="AJ324" i="8" s="1"/>
  <c r="AH796" i="8"/>
  <c r="AJ796" i="8" s="1"/>
  <c r="AH485" i="8"/>
  <c r="AJ485" i="8" s="1"/>
  <c r="AH794" i="8"/>
  <c r="AJ794" i="8" s="1"/>
  <c r="AH538" i="8"/>
  <c r="AJ538" i="8" s="1"/>
  <c r="AH615" i="8"/>
  <c r="AJ615" i="8" s="1"/>
  <c r="AH409" i="8"/>
  <c r="AJ409" i="8" s="1"/>
  <c r="AH326" i="8"/>
  <c r="AJ326" i="8" s="1"/>
  <c r="AH593" i="8"/>
  <c r="AJ593" i="8" s="1"/>
  <c r="AH610" i="8"/>
  <c r="AJ610" i="8" s="1"/>
  <c r="AH660" i="8"/>
  <c r="AJ660" i="8" s="1"/>
  <c r="AH325" i="8"/>
  <c r="AJ325" i="8" s="1"/>
  <c r="AH334" i="8"/>
  <c r="AJ334" i="8" s="1"/>
  <c r="AH502" i="8"/>
  <c r="AJ502" i="8" s="1"/>
  <c r="AH309" i="8"/>
  <c r="AJ309" i="8" s="1"/>
  <c r="AH710" i="8"/>
  <c r="AJ710" i="8" s="1"/>
  <c r="AH456" i="8"/>
  <c r="AJ456" i="8" s="1"/>
  <c r="AH553" i="8"/>
  <c r="AJ553" i="8" s="1"/>
  <c r="AH699" i="8"/>
  <c r="AJ699" i="8" s="1"/>
  <c r="AH343" i="8"/>
  <c r="AJ343" i="8" s="1"/>
  <c r="AH36" i="8"/>
  <c r="AJ36" i="8" s="1"/>
  <c r="AH9" i="8"/>
  <c r="AJ9" i="8" s="1"/>
  <c r="AH85" i="8"/>
  <c r="AJ85" i="8" s="1"/>
  <c r="AH22" i="8"/>
  <c r="AJ22" i="8" s="1"/>
  <c r="AH211" i="8"/>
  <c r="AJ211" i="8" s="1"/>
  <c r="AH112" i="8"/>
  <c r="AJ112" i="8" s="1"/>
  <c r="AH248" i="8"/>
  <c r="AJ248" i="8" s="1"/>
  <c r="AH11" i="8"/>
  <c r="AJ11" i="8" s="1"/>
  <c r="AH37" i="8"/>
  <c r="AJ37" i="8" s="1"/>
  <c r="AH21" i="8"/>
  <c r="AJ21" i="8" s="1"/>
  <c r="AH94" i="8"/>
  <c r="AJ94" i="8" s="1"/>
  <c r="AH52" i="8"/>
  <c r="AJ52" i="8" s="1"/>
  <c r="AH26" i="8"/>
  <c r="AJ26" i="8" s="1"/>
  <c r="AH252" i="8"/>
  <c r="AJ252" i="8" s="1"/>
  <c r="AH216" i="8"/>
  <c r="AJ216" i="8" s="1"/>
  <c r="AH28" i="8"/>
  <c r="AJ28" i="8" s="1"/>
  <c r="AH16" i="8"/>
  <c r="AJ16" i="8" s="1"/>
  <c r="AH89" i="8"/>
  <c r="AJ89" i="8" s="1"/>
  <c r="AH772" i="8"/>
  <c r="AJ772" i="8" s="1"/>
  <c r="AH698" i="8"/>
  <c r="AJ698" i="8" s="1"/>
  <c r="AH311" i="8"/>
  <c r="AJ311" i="8" s="1"/>
  <c r="AH733" i="8"/>
  <c r="AJ733" i="8" s="1"/>
  <c r="AH701" i="8"/>
  <c r="AJ701" i="8" s="1"/>
  <c r="AH763" i="8"/>
  <c r="AJ763" i="8" s="1"/>
  <c r="AH745" i="8"/>
  <c r="AJ745" i="8" s="1"/>
  <c r="AH414" i="8"/>
  <c r="AJ414" i="8" s="1"/>
  <c r="AH549" i="8"/>
  <c r="AJ549" i="8" s="1"/>
  <c r="AH617" i="8"/>
  <c r="AJ617" i="8" s="1"/>
  <c r="AH501" i="8"/>
  <c r="AJ501" i="8" s="1"/>
  <c r="AH294" i="8"/>
  <c r="AJ294" i="8" s="1"/>
  <c r="AH648" i="8"/>
  <c r="AJ648" i="8" s="1"/>
  <c r="AH366" i="8"/>
  <c r="AJ366" i="8" s="1"/>
  <c r="AH802" i="8"/>
  <c r="AJ802" i="8" s="1"/>
  <c r="AH315" i="8"/>
  <c r="AJ315" i="8" s="1"/>
  <c r="AH787" i="8"/>
  <c r="AJ787" i="8" s="1"/>
  <c r="AH623" i="8"/>
  <c r="AJ623" i="8" s="1"/>
  <c r="AH595" i="8"/>
  <c r="AJ595" i="8" s="1"/>
  <c r="AH770" i="8"/>
  <c r="AJ770" i="8" s="1"/>
  <c r="AH327" i="8"/>
  <c r="AJ327" i="8" s="1"/>
  <c r="AH533" i="8"/>
  <c r="AJ533" i="8" s="1"/>
  <c r="AH442" i="8"/>
  <c r="AJ442" i="8" s="1"/>
  <c r="AH437" i="8"/>
  <c r="AJ437" i="8" s="1"/>
  <c r="AH612" i="8"/>
  <c r="AJ612" i="8" s="1"/>
  <c r="AH581" i="8"/>
  <c r="AJ581" i="8" s="1"/>
  <c r="AH618" i="8"/>
  <c r="AJ618" i="8" s="1"/>
  <c r="AH344" i="8"/>
  <c r="AJ344" i="8" s="1"/>
  <c r="AH90" i="8"/>
  <c r="AJ90" i="8" s="1"/>
  <c r="AH254" i="8"/>
  <c r="AJ254" i="8" s="1"/>
  <c r="AH105" i="8"/>
  <c r="AJ105" i="8" s="1"/>
  <c r="AH92" i="8"/>
  <c r="AJ92" i="8" s="1"/>
  <c r="AH15" i="8"/>
  <c r="AJ15" i="8" s="1"/>
  <c r="AH14" i="8"/>
  <c r="AJ14" i="8" s="1"/>
  <c r="AH230" i="8"/>
  <c r="AJ230" i="8" s="1"/>
  <c r="AH200" i="8"/>
  <c r="AJ200" i="8" s="1"/>
  <c r="AH7" i="8"/>
  <c r="AJ7" i="8" s="1"/>
  <c r="AH101" i="8"/>
  <c r="AJ101" i="8" s="1"/>
  <c r="AH100" i="8"/>
  <c r="AJ100" i="8" s="1"/>
  <c r="AH93" i="8"/>
  <c r="AJ93" i="8" s="1"/>
  <c r="AH206" i="8"/>
  <c r="AJ206" i="8" s="1"/>
  <c r="AH231" i="8"/>
  <c r="AJ231" i="8" s="1"/>
  <c r="AH247" i="8"/>
  <c r="AJ247" i="8" s="1"/>
  <c r="AH129" i="8"/>
  <c r="AJ129" i="8" s="1"/>
  <c r="AH229" i="8"/>
  <c r="AJ229" i="8" s="1"/>
  <c r="AH253" i="8"/>
  <c r="AJ253" i="8" s="1"/>
  <c r="AH241" i="8"/>
  <c r="AJ241" i="8" s="1"/>
  <c r="AH672" i="8"/>
  <c r="AJ672" i="8" s="1"/>
  <c r="AH780" i="8"/>
  <c r="AJ780" i="8" s="1"/>
  <c r="AH357" i="8"/>
  <c r="AJ357" i="8" s="1"/>
  <c r="AH500" i="8"/>
  <c r="AJ500" i="8" s="1"/>
  <c r="AH592" i="8"/>
  <c r="AJ592" i="8" s="1"/>
  <c r="AH597" i="8"/>
  <c r="AJ597" i="8" s="1"/>
  <c r="AH335" i="8"/>
  <c r="AJ335" i="8" s="1"/>
  <c r="AH639" i="8"/>
  <c r="AJ639" i="8" s="1"/>
  <c r="AH292" i="8"/>
  <c r="AJ292" i="8" s="1"/>
  <c r="AH795" i="8"/>
  <c r="AJ795" i="8" s="1"/>
  <c r="AH552" i="8"/>
  <c r="AJ552" i="8" s="1"/>
  <c r="AH483" i="8"/>
  <c r="AJ483" i="8" s="1"/>
  <c r="AH834" i="8"/>
  <c r="AJ834" i="8" s="1"/>
  <c r="AH534" i="8"/>
  <c r="AJ534" i="8" s="1"/>
  <c r="AH825" i="8"/>
  <c r="AJ825" i="8" s="1"/>
  <c r="AH793" i="8"/>
  <c r="AJ793" i="8" s="1"/>
  <c r="AH404" i="8"/>
  <c r="AJ404" i="8" s="1"/>
  <c r="AH312" i="8"/>
  <c r="AJ312" i="8" s="1"/>
  <c r="AH840" i="8"/>
  <c r="AJ840" i="8" s="1"/>
  <c r="AH550" i="8"/>
  <c r="AJ550" i="8" s="1"/>
  <c r="AH812" i="8"/>
  <c r="AJ812" i="8" s="1"/>
  <c r="AH711" i="8"/>
  <c r="AJ711" i="8" s="1"/>
  <c r="AH756" i="8"/>
  <c r="AJ756" i="8" s="1"/>
  <c r="AH374" i="8"/>
  <c r="AJ374" i="8" s="1"/>
  <c r="AH819" i="8"/>
  <c r="AJ819" i="8" s="1"/>
  <c r="AH114" i="8"/>
  <c r="AJ114" i="8" s="1"/>
  <c r="AH256" i="8"/>
  <c r="AJ256" i="8" s="1"/>
  <c r="AH95" i="8"/>
  <c r="AJ95" i="8" s="1"/>
  <c r="AH30" i="8"/>
  <c r="AJ30" i="8" s="1"/>
  <c r="AH208" i="8"/>
  <c r="AJ208" i="8" s="1"/>
  <c r="AH74" i="8"/>
  <c r="AJ74" i="8" s="1"/>
  <c r="AH209" i="8"/>
  <c r="AJ209" i="8" s="1"/>
  <c r="AH207" i="8"/>
  <c r="AJ207" i="8" s="1"/>
  <c r="AH44" i="8"/>
  <c r="AJ44" i="8" s="1"/>
  <c r="AH96" i="8"/>
  <c r="AJ96" i="8" s="1"/>
  <c r="AH8" i="8"/>
  <c r="AJ8" i="8" s="1"/>
  <c r="AH91" i="8"/>
  <c r="AJ91" i="8" s="1"/>
  <c r="AH10" i="8"/>
  <c r="AJ10" i="8" s="1"/>
  <c r="AH113" i="8"/>
  <c r="AJ113" i="8" s="1"/>
  <c r="AH111" i="8"/>
  <c r="AJ111" i="8" s="1"/>
  <c r="AH29" i="8"/>
  <c r="AJ29" i="8" s="1"/>
  <c r="AH25" i="8"/>
  <c r="AJ25" i="8" s="1"/>
  <c r="AH53" i="8"/>
  <c r="AJ53" i="8" s="1"/>
  <c r="AH215" i="8"/>
  <c r="AJ215" i="8" s="1"/>
  <c r="AH356" i="8"/>
  <c r="AJ356" i="8" s="1"/>
  <c r="AH531" i="8"/>
  <c r="AJ531" i="8" s="1"/>
  <c r="AH570" i="8"/>
  <c r="AJ570" i="8" s="1"/>
  <c r="AH419" i="8"/>
  <c r="AJ419" i="8" s="1"/>
  <c r="AH616" i="8"/>
  <c r="AJ616" i="8" s="1"/>
  <c r="AH295" i="8"/>
  <c r="AJ295" i="8" s="1"/>
  <c r="AH528" i="8"/>
  <c r="AJ528" i="8" s="1"/>
  <c r="AH434" i="8"/>
  <c r="AJ434" i="8" s="1"/>
  <c r="AH566" i="8"/>
  <c r="AJ566" i="8" s="1"/>
  <c r="AH746" i="8"/>
  <c r="AJ746" i="8" s="1"/>
  <c r="AH530" i="8"/>
  <c r="AJ530" i="8" s="1"/>
  <c r="AH567" i="8"/>
  <c r="AJ567" i="8" s="1"/>
  <c r="AH296" i="8"/>
  <c r="AJ296" i="8" s="1"/>
  <c r="AH611" i="8"/>
  <c r="AJ611" i="8" s="1"/>
  <c r="AH759" i="8"/>
  <c r="AJ759" i="8" s="1"/>
  <c r="AH773" i="8"/>
  <c r="AJ773" i="8" s="1"/>
  <c r="AH542" i="8"/>
  <c r="AJ542" i="8" s="1"/>
  <c r="AH668" i="8"/>
  <c r="AJ668" i="8" s="1"/>
  <c r="AH674" i="8"/>
  <c r="AJ674" i="8" s="1"/>
  <c r="AH417" i="8"/>
  <c r="AJ417" i="8" s="1"/>
  <c r="AH826" i="8"/>
  <c r="AJ826" i="8" s="1"/>
  <c r="AH436" i="8"/>
  <c r="AJ436" i="8" s="1"/>
  <c r="AH799" i="8"/>
  <c r="AJ799" i="8" s="1"/>
  <c r="AH637" i="8"/>
  <c r="AJ637" i="8" s="1"/>
  <c r="AH393" i="8"/>
  <c r="AJ393" i="8" s="1"/>
  <c r="AH293" i="8"/>
  <c r="AJ293" i="8" s="1"/>
  <c r="AH841" i="8"/>
  <c r="AJ841" i="8" s="1"/>
  <c r="AH791" i="8"/>
  <c r="AJ791" i="8" s="1"/>
  <c r="AH305" i="8"/>
  <c r="AJ305" i="8" s="1"/>
  <c r="AH301" i="8"/>
  <c r="AJ301" i="8" s="1"/>
  <c r="AH491" i="8"/>
  <c r="AJ491" i="8" s="1"/>
  <c r="AH652" i="8"/>
  <c r="AJ652" i="8" s="1"/>
  <c r="AH664" i="8"/>
  <c r="AJ664" i="8" s="1"/>
  <c r="AH196" i="8"/>
  <c r="AJ196" i="8" s="1"/>
  <c r="AH268" i="8"/>
  <c r="AJ268" i="8" s="1"/>
  <c r="AH244" i="8"/>
  <c r="AJ244" i="8" s="1"/>
  <c r="AH223" i="8"/>
  <c r="AJ223" i="8" s="1"/>
  <c r="AH755" i="8"/>
  <c r="AJ755" i="8" s="1"/>
  <c r="AH806" i="8"/>
  <c r="AJ806" i="8" s="1"/>
  <c r="AH498" i="8"/>
  <c r="AJ498" i="8" s="1"/>
  <c r="AH798" i="8"/>
  <c r="AJ798" i="8" s="1"/>
  <c r="AH482" i="8"/>
  <c r="AJ482" i="8" s="1"/>
  <c r="AH813" i="8"/>
  <c r="AJ813" i="8" s="1"/>
  <c r="AH499" i="8"/>
  <c r="AJ499" i="8" s="1"/>
  <c r="AH645" i="8"/>
  <c r="AJ645" i="8" s="1"/>
  <c r="AH728" i="8"/>
  <c r="AJ728" i="8" s="1"/>
  <c r="AH800" i="8"/>
  <c r="AJ800" i="8" s="1"/>
  <c r="AH452" i="8"/>
  <c r="AJ452" i="8" s="1"/>
  <c r="AH714" i="8"/>
  <c r="AJ714" i="8" s="1"/>
  <c r="AH450" i="8"/>
  <c r="AJ450" i="8" s="1"/>
  <c r="AH767" i="8"/>
  <c r="AJ767" i="8" s="1"/>
  <c r="AH640" i="8"/>
  <c r="AJ640" i="8" s="1"/>
  <c r="AH732" i="8"/>
  <c r="AJ732" i="8" s="1"/>
  <c r="AH774" i="8"/>
  <c r="AJ774" i="8" s="1"/>
  <c r="AH346" i="8"/>
  <c r="AJ346" i="8" s="1"/>
  <c r="AH430" i="8"/>
  <c r="AJ430" i="8" s="1"/>
  <c r="AH424" i="8"/>
  <c r="AJ424" i="8" s="1"/>
  <c r="AH625" i="8"/>
  <c r="AJ625" i="8" s="1"/>
  <c r="AH630" i="8"/>
  <c r="AJ630" i="8" s="1"/>
  <c r="AH801" i="8"/>
  <c r="AJ801" i="8" s="1"/>
  <c r="AH345" i="8"/>
  <c r="AJ345" i="8" s="1"/>
  <c r="AH603" i="8"/>
  <c r="AJ603" i="8" s="1"/>
  <c r="AH362" i="8"/>
  <c r="AJ362" i="8" s="1"/>
  <c r="AH509" i="8"/>
  <c r="AJ509" i="8" s="1"/>
  <c r="AH563" i="8"/>
  <c r="AJ563" i="8" s="1"/>
  <c r="AH303" i="8"/>
  <c r="AJ303" i="8" s="1"/>
  <c r="AH738" i="8"/>
  <c r="AJ738" i="8" s="1"/>
  <c r="AH557" i="8"/>
  <c r="AJ557" i="8" s="1"/>
  <c r="AH493" i="8"/>
  <c r="AJ493" i="8" s="1"/>
  <c r="AH554" i="8"/>
  <c r="AJ554" i="8" s="1"/>
  <c r="AH758" i="8"/>
  <c r="AJ758" i="8" s="1"/>
  <c r="AH547" i="8"/>
  <c r="AJ547" i="8" s="1"/>
  <c r="AH673" i="8"/>
  <c r="AJ673" i="8" s="1"/>
  <c r="AH310" i="8"/>
  <c r="AJ310" i="8" s="1"/>
  <c r="AH754" i="8"/>
  <c r="AJ754" i="8" s="1"/>
  <c r="AH546" i="8"/>
  <c r="AJ546" i="8" s="1"/>
  <c r="AH596" i="8"/>
  <c r="AJ596" i="8" s="1"/>
  <c r="AH804" i="8"/>
  <c r="AJ804" i="8" s="1"/>
  <c r="AH627" i="8"/>
  <c r="AJ627" i="8" s="1"/>
  <c r="AH340" i="8"/>
  <c r="AJ340" i="8" s="1"/>
  <c r="AH788" i="8"/>
  <c r="AJ788" i="8" s="1"/>
  <c r="AH358" i="8"/>
  <c r="AJ358" i="8" s="1"/>
  <c r="AH650" i="8"/>
  <c r="AJ650" i="8" s="1"/>
  <c r="AH742" i="8"/>
  <c r="AJ742" i="8" s="1"/>
  <c r="AH470" i="8"/>
  <c r="AJ470" i="8" s="1"/>
  <c r="AH835" i="8"/>
  <c r="AJ835" i="8" s="1"/>
  <c r="AH588" i="8"/>
  <c r="AJ588" i="8" s="1"/>
  <c r="AH810" i="8"/>
  <c r="AJ810" i="8" s="1"/>
  <c r="AH797" i="8"/>
  <c r="AJ797" i="8" s="1"/>
  <c r="AH775" i="8"/>
  <c r="AJ775" i="8" s="1"/>
  <c r="AH589" i="8"/>
  <c r="AJ589" i="8" s="1"/>
  <c r="AH497" i="8"/>
  <c r="AJ497" i="8" s="1"/>
  <c r="AH451" i="8"/>
  <c r="AJ451" i="8" s="1"/>
  <c r="AH820" i="8"/>
  <c r="AJ820" i="8" s="1"/>
  <c r="AH195" i="8"/>
  <c r="AJ195" i="8" s="1"/>
  <c r="AH258" i="8"/>
  <c r="AJ258" i="8" s="1"/>
  <c r="AH197" i="8"/>
  <c r="AJ197" i="8" s="1"/>
  <c r="AH833" i="8"/>
  <c r="AJ833" i="8" s="1"/>
  <c r="AH665" i="8"/>
  <c r="AJ665" i="8" s="1"/>
  <c r="AH184" i="8"/>
  <c r="AJ184" i="8" s="1"/>
  <c r="AH678" i="8"/>
  <c r="AJ678" i="8" s="1"/>
  <c r="AH736" i="8"/>
  <c r="AJ736" i="8" s="1"/>
  <c r="AH641" i="8"/>
  <c r="AJ641" i="8" s="1"/>
  <c r="AH245" i="8"/>
  <c r="AJ245" i="8" s="1"/>
  <c r="AH643" i="8"/>
  <c r="AJ643" i="8" s="1"/>
  <c r="AH642" i="8"/>
  <c r="AJ642" i="8" s="1"/>
  <c r="AH632" i="8"/>
  <c r="AJ632" i="8" s="1"/>
  <c r="AH830" i="8"/>
  <c r="AJ830" i="8" s="1"/>
  <c r="AH264" i="8"/>
  <c r="AJ264" i="8" s="1"/>
  <c r="AH265" i="8"/>
  <c r="AJ265" i="8" s="1"/>
  <c r="AH183" i="8"/>
  <c r="AJ183" i="8" s="1"/>
  <c r="AH182" i="8"/>
  <c r="AJ182" i="8" s="1"/>
  <c r="AH831" i="8"/>
  <c r="AJ831" i="8" s="1"/>
  <c r="AH267" i="8"/>
  <c r="AJ267" i="8" s="1"/>
  <c r="AH246" i="8"/>
  <c r="AJ246" i="8" s="1"/>
  <c r="AH823" i="8"/>
  <c r="AJ823" i="8" s="1"/>
  <c r="AH832" i="8"/>
  <c r="AJ832" i="8" s="1"/>
  <c r="AH777" i="8"/>
  <c r="AJ777" i="8" s="1"/>
  <c r="AH657" i="8"/>
  <c r="AJ657" i="8" s="1"/>
  <c r="AH737" i="8"/>
  <c r="AJ737" i="8" s="1"/>
  <c r="AH266" i="8"/>
  <c r="AJ266" i="8" s="1"/>
  <c r="AH181" i="8"/>
  <c r="AJ181" i="8" s="1"/>
  <c r="AH194" i="8"/>
  <c r="AJ194" i="8" s="1"/>
  <c r="AH633" i="8"/>
  <c r="AJ633" i="8" s="1"/>
  <c r="AH676" i="8"/>
  <c r="AJ676" i="8" s="1"/>
  <c r="AH72" i="8"/>
  <c r="AJ72" i="8" s="1"/>
  <c r="AH282" i="8"/>
  <c r="AJ282" i="8" s="1"/>
  <c r="AH281" i="8"/>
  <c r="AJ281" i="8" s="1"/>
  <c r="AH66" i="8"/>
  <c r="AJ66" i="8" s="1"/>
  <c r="AH270" i="8"/>
  <c r="AJ270" i="8" s="1"/>
  <c r="AH682" i="8"/>
  <c r="AJ682" i="8" s="1"/>
  <c r="AH739" i="8"/>
  <c r="AJ739" i="8" s="1"/>
  <c r="AH399" i="8"/>
  <c r="AJ399" i="8" s="1"/>
  <c r="AH784" i="8"/>
  <c r="AJ784" i="8" s="1"/>
  <c r="AH572" i="8"/>
  <c r="AJ572" i="8" s="1"/>
  <c r="AH406" i="8"/>
  <c r="AJ406" i="8" s="1"/>
  <c r="AH771" i="8"/>
  <c r="AJ771" i="8" s="1"/>
  <c r="AH680" i="8"/>
  <c r="AJ680" i="8" s="1"/>
  <c r="AH492" i="8"/>
  <c r="AJ492" i="8" s="1"/>
  <c r="AH400" i="8"/>
  <c r="AJ400" i="8" s="1"/>
  <c r="AH224" i="8"/>
  <c r="AJ224" i="8" s="1"/>
  <c r="AH604" i="8"/>
  <c r="AJ604" i="8" s="1"/>
  <c r="AH568" i="8"/>
  <c r="AJ568" i="8" s="1"/>
  <c r="AH582" i="8"/>
  <c r="AJ582" i="8" s="1"/>
  <c r="AH675" i="8"/>
  <c r="AJ675" i="8" s="1"/>
  <c r="AH351" i="8"/>
  <c r="AJ351" i="8" s="1"/>
  <c r="AH433" i="8"/>
  <c r="AJ433" i="8" s="1"/>
  <c r="AH468" i="8"/>
  <c r="AJ468" i="8" s="1"/>
  <c r="AH186" i="8"/>
  <c r="AJ186" i="8" s="1"/>
  <c r="AH250" i="8"/>
  <c r="AJ250" i="8" s="1"/>
  <c r="AH68" i="8"/>
  <c r="AJ68" i="8" s="1"/>
  <c r="AH67" i="8"/>
  <c r="AJ67" i="8" s="1"/>
  <c r="AH271" i="8"/>
  <c r="AJ271" i="8" s="1"/>
  <c r="AH71" i="8"/>
  <c r="AJ71" i="8" s="1"/>
  <c r="AH65" i="8"/>
  <c r="AJ65" i="8" s="1"/>
  <c r="AH238" i="8"/>
  <c r="AJ238" i="8" s="1"/>
  <c r="AH274" i="8"/>
  <c r="AJ274" i="8" s="1"/>
  <c r="AH275" i="8"/>
  <c r="AJ275" i="8" s="1"/>
  <c r="AH70" i="8"/>
  <c r="AJ70" i="8" s="1"/>
  <c r="AH50" i="8"/>
  <c r="AJ50" i="8" s="1"/>
  <c r="AH77" i="8"/>
  <c r="AJ77" i="8" s="1"/>
  <c r="AH237" i="8"/>
  <c r="AJ237" i="8" s="1"/>
  <c r="AH458" i="8"/>
  <c r="AJ458" i="8" s="1"/>
  <c r="AH284" i="8"/>
  <c r="AJ284" i="8" s="1"/>
  <c r="AH461" i="8"/>
  <c r="AJ461" i="8" s="1"/>
  <c r="AH392" i="8"/>
  <c r="AJ392" i="8" s="1"/>
  <c r="AH431" i="8"/>
  <c r="AJ431" i="8" s="1"/>
  <c r="AH462" i="8"/>
  <c r="AJ462" i="8" s="1"/>
  <c r="AH98" i="8"/>
  <c r="AJ98" i="8" s="1"/>
  <c r="AH647" i="8"/>
  <c r="AJ647" i="8" s="1"/>
  <c r="AH469" i="8"/>
  <c r="AJ469" i="8" s="1"/>
  <c r="AH656" i="8"/>
  <c r="AJ656" i="8" s="1"/>
  <c r="AH480" i="8"/>
  <c r="AJ480" i="8" s="1"/>
  <c r="AH636" i="8"/>
  <c r="AJ636" i="8" s="1"/>
  <c r="AH707" i="8"/>
  <c r="AJ707" i="8" s="1"/>
  <c r="AH459" i="8"/>
  <c r="AJ459" i="8" s="1"/>
  <c r="AH571" i="8"/>
  <c r="AJ571" i="8" s="1"/>
  <c r="AH503" i="8"/>
  <c r="AJ503" i="8" s="1"/>
  <c r="AH390" i="8"/>
  <c r="AJ390" i="8" s="1"/>
  <c r="AH441" i="8"/>
  <c r="AJ441" i="8" s="1"/>
  <c r="AH696" i="8"/>
  <c r="AJ696" i="8" s="1"/>
  <c r="AH685" i="8"/>
  <c r="AJ685" i="8" s="1"/>
  <c r="AH261" i="8"/>
  <c r="AJ261" i="8" s="1"/>
  <c r="AH57" i="8"/>
  <c r="AJ57" i="8" s="1"/>
  <c r="AH391" i="8"/>
  <c r="AJ391" i="8" s="1"/>
  <c r="AH585" i="8"/>
  <c r="AJ585" i="8" s="1"/>
  <c r="AH122" i="8"/>
  <c r="AJ122" i="8" s="1"/>
  <c r="AH87" i="8"/>
  <c r="AJ87" i="8" s="1"/>
  <c r="AH260" i="8"/>
  <c r="AJ260" i="8" s="1"/>
  <c r="AH133" i="8"/>
  <c r="AJ133" i="8" s="1"/>
  <c r="AH32" i="8"/>
  <c r="AJ32" i="8" s="1"/>
  <c r="AH86" i="8"/>
  <c r="AJ86" i="8" s="1"/>
  <c r="AH127" i="8"/>
  <c r="AJ127" i="8" s="1"/>
  <c r="AH285" i="8"/>
  <c r="AJ285" i="8" s="1"/>
  <c r="AH373" i="8"/>
  <c r="AJ373" i="8" s="1"/>
  <c r="AH649" i="8"/>
  <c r="AJ649" i="8" s="1"/>
  <c r="AH387" i="8"/>
  <c r="AJ387" i="8" s="1"/>
  <c r="AH594" i="8"/>
  <c r="AJ594" i="8" s="1"/>
  <c r="AH726" i="8"/>
  <c r="AJ726" i="8" s="1"/>
  <c r="AH123" i="8"/>
  <c r="AJ123" i="8" s="1"/>
  <c r="AH661" i="8"/>
  <c r="AJ661" i="8" s="1"/>
  <c r="AH846" i="8"/>
  <c r="AJ846" i="8" s="1"/>
  <c r="AH330" i="8"/>
  <c r="AJ330" i="8" s="1"/>
  <c r="AH117" i="8"/>
  <c r="AJ117" i="8" s="1"/>
  <c r="AH27" i="8"/>
  <c r="AJ27" i="8" s="1"/>
  <c r="AH460" i="8"/>
  <c r="AJ460" i="8" s="1"/>
  <c r="AH416" i="8"/>
  <c r="AJ416" i="8" s="1"/>
  <c r="AH402" i="8"/>
  <c r="AJ402" i="8" s="1"/>
  <c r="AH613" i="8"/>
  <c r="AJ613" i="8" s="1"/>
  <c r="AH544" i="8"/>
  <c r="AJ544" i="8" s="1"/>
  <c r="AH429" i="8"/>
  <c r="AJ429" i="8" s="1"/>
  <c r="AH559" i="8"/>
  <c r="AJ559" i="8" s="1"/>
  <c r="AH558" i="8"/>
  <c r="AJ558" i="8" s="1"/>
  <c r="AH629" i="8"/>
  <c r="AJ629" i="8" s="1"/>
  <c r="AH601" i="8"/>
  <c r="AJ601" i="8" s="1"/>
  <c r="AH524" i="8"/>
  <c r="AJ524" i="8" s="1"/>
  <c r="AH814" i="8"/>
  <c r="AJ814" i="8" s="1"/>
  <c r="AH599" i="8"/>
  <c r="AJ599" i="8" s="1"/>
  <c r="AH829" i="8"/>
  <c r="AJ829" i="8" s="1"/>
  <c r="AH783" i="8"/>
  <c r="AJ783" i="8" s="1"/>
  <c r="AH290" i="8"/>
  <c r="AJ290" i="8" s="1"/>
  <c r="AH525" i="8"/>
  <c r="AJ525" i="8" s="1"/>
  <c r="AH507" i="8"/>
  <c r="AJ507" i="8" s="1"/>
  <c r="AH508" i="8"/>
  <c r="AJ508" i="8" s="1"/>
  <c r="AH395" i="8"/>
  <c r="AJ395" i="8" s="1"/>
  <c r="AH666" i="8"/>
  <c r="AJ666" i="8" s="1"/>
  <c r="AH723" i="8"/>
  <c r="AJ723" i="8" s="1"/>
  <c r="AH386" i="8"/>
  <c r="AJ386" i="8" s="1"/>
  <c r="AH367" i="8"/>
  <c r="AJ367" i="8" s="1"/>
  <c r="AH614" i="8"/>
  <c r="AJ614" i="8" s="1"/>
  <c r="AH838" i="8"/>
  <c r="AJ838" i="8" s="1"/>
  <c r="AH407" i="8"/>
  <c r="AJ407" i="8" s="1"/>
  <c r="AH600" i="8"/>
  <c r="AJ600" i="8" s="1"/>
  <c r="AH385" i="8"/>
  <c r="AJ385" i="8" s="1"/>
  <c r="AH505" i="8"/>
  <c r="AJ505" i="8" s="1"/>
  <c r="AH715" i="8"/>
  <c r="AJ715" i="8" s="1"/>
  <c r="AH607" i="8"/>
  <c r="AJ607" i="8" s="1"/>
  <c r="AH523" i="8"/>
  <c r="AJ523" i="8" s="1"/>
  <c r="AH824" i="8"/>
  <c r="AJ824" i="8" s="1"/>
  <c r="AH368" i="8"/>
  <c r="AJ368" i="8" s="1"/>
  <c r="AH844" i="8"/>
  <c r="AJ844" i="8" s="1"/>
  <c r="AH354" i="8"/>
  <c r="AJ354" i="8" s="1"/>
  <c r="AH709" i="8"/>
  <c r="AJ709" i="8" s="1"/>
  <c r="AH361" i="8"/>
  <c r="AJ361" i="8" s="1"/>
  <c r="AH843" i="8"/>
  <c r="AJ843" i="8" s="1"/>
  <c r="AH364" i="8"/>
  <c r="AJ364" i="8" s="1"/>
  <c r="AH322" i="8"/>
  <c r="AJ322" i="8" s="1"/>
  <c r="AH38" i="8"/>
  <c r="AJ38" i="8" s="1"/>
  <c r="AH602" i="8"/>
  <c r="AJ602" i="8" s="1"/>
  <c r="AH314" i="8"/>
  <c r="AJ314" i="8" s="1"/>
  <c r="AH449" i="8"/>
  <c r="AJ449" i="8" s="1"/>
  <c r="AH420" i="8"/>
  <c r="AJ420" i="8" s="1"/>
  <c r="AH321" i="8"/>
  <c r="AJ321" i="8" s="1"/>
  <c r="AH651" i="8"/>
  <c r="AJ651" i="8" s="1"/>
  <c r="AH410" i="8"/>
  <c r="AJ410" i="8" s="1"/>
  <c r="AH792" i="8"/>
  <c r="AJ792" i="8" s="1"/>
  <c r="AH316" i="8"/>
  <c r="AJ316" i="8" s="1"/>
  <c r="AH815" i="8"/>
  <c r="AJ815" i="8" s="1"/>
  <c r="AH323" i="8"/>
  <c r="AJ323" i="8" s="1"/>
  <c r="AH842" i="8"/>
  <c r="AJ842" i="8" s="1"/>
  <c r="AH411" i="8"/>
  <c r="AJ411" i="8" s="1"/>
  <c r="AH619" i="8"/>
  <c r="AJ619" i="8" s="1"/>
  <c r="AH453" i="8"/>
  <c r="AJ453" i="8" s="1"/>
  <c r="AH425" i="8"/>
  <c r="AJ425" i="8" s="1"/>
  <c r="AH494" i="8"/>
  <c r="AJ494" i="8" s="1"/>
  <c r="AH388" i="8"/>
  <c r="AJ388" i="8" s="1"/>
  <c r="AH435" i="8"/>
  <c r="AJ435" i="8" s="1"/>
  <c r="AH504" i="8"/>
  <c r="AJ504" i="8" s="1"/>
  <c r="AH444" i="8"/>
  <c r="AJ444" i="8" s="1"/>
  <c r="AH454" i="8"/>
  <c r="AJ454" i="8" s="1"/>
  <c r="AH573" i="8"/>
  <c r="AJ573" i="8" s="1"/>
  <c r="AH622" i="8"/>
  <c r="AJ622" i="8" s="1"/>
  <c r="AH300" i="8"/>
  <c r="AJ300" i="8" s="1"/>
  <c r="AH545" i="8"/>
  <c r="AJ545" i="8" s="1"/>
  <c r="AH342" i="8"/>
  <c r="AJ342" i="8" s="1"/>
  <c r="AH418" i="8"/>
  <c r="AJ418" i="8" s="1"/>
  <c r="AH496" i="8"/>
  <c r="AJ496" i="8" s="1"/>
  <c r="AH319" i="8"/>
  <c r="AJ319" i="8" s="1"/>
  <c r="V321" i="2"/>
  <c r="AD321" i="2" s="1"/>
  <c r="AK535" i="8" l="1"/>
  <c r="AO535" i="8"/>
  <c r="AK396" i="8"/>
  <c r="AO396" i="8"/>
  <c r="AK471" i="8"/>
  <c r="AO471" i="8"/>
  <c r="AK2" i="8"/>
  <c r="AO2" i="8"/>
  <c r="AK541" i="8"/>
  <c r="AO541" i="8"/>
  <c r="AK3" i="8"/>
  <c r="AO3" i="8"/>
  <c r="AK605" i="8"/>
  <c r="AO605" i="8"/>
  <c r="AK102" i="8"/>
  <c r="AO102" i="8"/>
  <c r="AK591" i="8"/>
  <c r="AO591" i="8"/>
  <c r="AK496" i="8"/>
  <c r="AO496" i="8"/>
  <c r="AK792" i="8"/>
  <c r="AO792" i="8"/>
  <c r="AK368" i="8"/>
  <c r="AO368" i="8"/>
  <c r="AK395" i="8"/>
  <c r="AO395" i="8"/>
  <c r="AK27" i="8"/>
  <c r="AO27" i="8"/>
  <c r="AK32" i="8"/>
  <c r="AO32" i="8"/>
  <c r="AK459" i="8"/>
  <c r="AO459" i="8"/>
  <c r="AK237" i="8"/>
  <c r="AO237" i="8"/>
  <c r="AK604" i="8"/>
  <c r="AO604" i="8"/>
  <c r="AK270" i="8"/>
  <c r="AO270" i="8"/>
  <c r="AK265" i="8"/>
  <c r="AO265" i="8"/>
  <c r="AK820" i="8"/>
  <c r="AO820" i="8"/>
  <c r="AK804" i="8"/>
  <c r="AO804" i="8"/>
  <c r="AK603" i="8"/>
  <c r="AO603" i="8"/>
  <c r="AK728" i="8"/>
  <c r="AO728" i="8"/>
  <c r="AK301" i="8"/>
  <c r="AO301" i="8"/>
  <c r="AK668" i="8"/>
  <c r="AO668" i="8"/>
  <c r="AK295" i="8"/>
  <c r="AO295" i="8"/>
  <c r="AK44" i="8"/>
  <c r="AO44" i="8"/>
  <c r="AK711" i="8"/>
  <c r="AO711" i="8"/>
  <c r="AK597" i="8"/>
  <c r="AO597" i="8"/>
  <c r="AK206" i="8"/>
  <c r="AO206" i="8"/>
  <c r="AK90" i="8"/>
  <c r="AO90" i="8"/>
  <c r="AK648" i="8"/>
  <c r="AO648" i="8"/>
  <c r="AK319" i="8"/>
  <c r="AO319" i="8"/>
  <c r="AK342" i="8"/>
  <c r="AO342" i="8"/>
  <c r="AK443" i="8"/>
  <c r="AO443" i="8"/>
  <c r="AK444" i="8"/>
  <c r="AO444" i="8"/>
  <c r="AK619" i="8"/>
  <c r="AO619" i="8"/>
  <c r="AK815" i="8"/>
  <c r="AO815" i="8"/>
  <c r="AK651" i="8"/>
  <c r="AO651" i="8"/>
  <c r="AK314" i="8"/>
  <c r="AO314" i="8"/>
  <c r="AK364" i="8"/>
  <c r="AO364" i="8"/>
  <c r="AK354" i="8"/>
  <c r="AO354" i="8"/>
  <c r="AK523" i="8"/>
  <c r="AO523" i="8"/>
  <c r="AK838" i="8"/>
  <c r="AO838" i="8"/>
  <c r="AK723" i="8"/>
  <c r="AO723" i="8"/>
  <c r="AK507" i="8"/>
  <c r="AO507" i="8"/>
  <c r="AK829" i="8"/>
  <c r="AO829" i="8"/>
  <c r="AK601" i="8"/>
  <c r="AO601" i="8"/>
  <c r="AK429" i="8"/>
  <c r="AO429" i="8"/>
  <c r="AK416" i="8"/>
  <c r="AO416" i="8"/>
  <c r="AK330" i="8"/>
  <c r="AO330" i="8"/>
  <c r="AK649" i="8"/>
  <c r="AO649" i="8"/>
  <c r="AK127" i="8"/>
  <c r="AO127" i="8"/>
  <c r="AK260" i="8"/>
  <c r="AO260" i="8"/>
  <c r="AK391" i="8"/>
  <c r="AO391" i="8"/>
  <c r="AK503" i="8"/>
  <c r="AO503" i="8"/>
  <c r="AK636" i="8"/>
  <c r="AO636" i="8"/>
  <c r="AK469" i="8"/>
  <c r="AO469" i="8"/>
  <c r="AK431" i="8"/>
  <c r="AO431" i="8"/>
  <c r="AK284" i="8"/>
  <c r="AO284" i="8"/>
  <c r="AK50" i="8"/>
  <c r="AO50" i="8"/>
  <c r="AK238" i="8"/>
  <c r="AO238" i="8"/>
  <c r="AK67" i="8"/>
  <c r="AO67" i="8"/>
  <c r="AK468" i="8"/>
  <c r="AO468" i="8"/>
  <c r="AK582" i="8"/>
  <c r="AO582" i="8"/>
  <c r="AK400" i="8"/>
  <c r="AO400" i="8"/>
  <c r="AK406" i="8"/>
  <c r="AO406" i="8"/>
  <c r="AK739" i="8"/>
  <c r="AO739" i="8"/>
  <c r="AK281" i="8"/>
  <c r="AO281" i="8"/>
  <c r="AK633" i="8"/>
  <c r="AO633" i="8"/>
  <c r="AK737" i="8"/>
  <c r="AO737" i="8"/>
  <c r="AK823" i="8"/>
  <c r="AO823" i="8"/>
  <c r="AK182" i="8"/>
  <c r="AO182" i="8"/>
  <c r="AK830" i="8"/>
  <c r="AO830" i="8"/>
  <c r="AK245" i="8"/>
  <c r="AO245" i="8"/>
  <c r="AK184" i="8"/>
  <c r="AO184" i="8"/>
  <c r="AK258" i="8"/>
  <c r="AO258" i="8"/>
  <c r="AK497" i="8"/>
  <c r="AO497" i="8"/>
  <c r="AK810" i="8"/>
  <c r="AO810" i="8"/>
  <c r="AK742" i="8"/>
  <c r="AO742" i="8"/>
  <c r="AK340" i="8"/>
  <c r="AO340" i="8"/>
  <c r="AK546" i="8"/>
  <c r="AO546" i="8"/>
  <c r="AK547" i="8"/>
  <c r="AO547" i="8"/>
  <c r="AK557" i="8"/>
  <c r="AO557" i="8"/>
  <c r="AK509" i="8"/>
  <c r="AO509" i="8"/>
  <c r="AK801" i="8"/>
  <c r="AO801" i="8"/>
  <c r="AK430" i="8"/>
  <c r="AO430" i="8"/>
  <c r="AK640" i="8"/>
  <c r="AO640" i="8"/>
  <c r="AK452" i="8"/>
  <c r="AO452" i="8"/>
  <c r="AK499" i="8"/>
  <c r="AO499" i="8"/>
  <c r="AK498" i="8"/>
  <c r="AO498" i="8"/>
  <c r="AK244" i="8"/>
  <c r="AO244" i="8"/>
  <c r="AK652" i="8"/>
  <c r="AO652" i="8"/>
  <c r="AK791" i="8"/>
  <c r="AO791" i="8"/>
  <c r="AK637" i="8"/>
  <c r="AO637" i="8"/>
  <c r="AK417" i="8"/>
  <c r="AO417" i="8"/>
  <c r="AK773" i="8"/>
  <c r="AO773" i="8"/>
  <c r="AK567" i="8"/>
  <c r="AO567" i="8"/>
  <c r="AK434" i="8"/>
  <c r="AO434" i="8"/>
  <c r="AK419" i="8"/>
  <c r="AO419" i="8"/>
  <c r="AK215" i="8"/>
  <c r="AO215" i="8"/>
  <c r="AK111" i="8"/>
  <c r="AO111" i="8"/>
  <c r="AK8" i="8"/>
  <c r="AO8" i="8"/>
  <c r="AK209" i="8"/>
  <c r="AO209" i="8"/>
  <c r="AK95" i="8"/>
  <c r="AO95" i="8"/>
  <c r="AK374" i="8"/>
  <c r="AO374" i="8"/>
  <c r="AK550" i="8"/>
  <c r="AO550" i="8"/>
  <c r="AK793" i="8"/>
  <c r="AO793" i="8"/>
  <c r="AK483" i="8"/>
  <c r="AO483" i="8"/>
  <c r="AK639" i="8"/>
  <c r="AO639" i="8"/>
  <c r="AK500" i="8"/>
  <c r="AO500" i="8"/>
  <c r="AK241" i="8"/>
  <c r="AO241" i="8"/>
  <c r="AK247" i="8"/>
  <c r="AO247" i="8"/>
  <c r="AK100" i="8"/>
  <c r="AO100" i="8"/>
  <c r="AK230" i="8"/>
  <c r="AO230" i="8"/>
  <c r="AK105" i="8"/>
  <c r="AO105" i="8"/>
  <c r="AK618" i="8"/>
  <c r="AO618" i="8"/>
  <c r="AK442" i="8"/>
  <c r="AO442" i="8"/>
  <c r="AK595" i="8"/>
  <c r="AO595" i="8"/>
  <c r="AK802" i="8"/>
  <c r="AO802" i="8"/>
  <c r="AK501" i="8"/>
  <c r="AO501" i="8"/>
  <c r="AK745" i="8"/>
  <c r="AO745" i="8"/>
  <c r="AK311" i="8"/>
  <c r="AO311" i="8"/>
  <c r="AK16" i="8"/>
  <c r="AO16" i="8"/>
  <c r="AK26" i="8"/>
  <c r="AO26" i="8"/>
  <c r="AK37" i="8"/>
  <c r="AO37" i="8"/>
  <c r="AK211" i="8"/>
  <c r="AO211" i="8"/>
  <c r="AK36" i="8"/>
  <c r="AO36" i="8"/>
  <c r="AK456" i="8"/>
  <c r="AO456" i="8"/>
  <c r="AK334" i="8"/>
  <c r="AO334" i="8"/>
  <c r="AK593" i="8"/>
  <c r="AO593" i="8"/>
  <c r="AK538" i="8"/>
  <c r="AO538" i="8"/>
  <c r="AK324" i="8"/>
  <c r="AO324" i="8"/>
  <c r="AK697" i="8"/>
  <c r="AO697" i="8"/>
  <c r="AK708" i="8"/>
  <c r="AO708" i="8"/>
  <c r="AK115" i="8"/>
  <c r="AO115" i="8"/>
  <c r="AK249" i="8"/>
  <c r="AO249" i="8"/>
  <c r="AK99" i="8"/>
  <c r="AO99" i="8"/>
  <c r="AK232" i="8"/>
  <c r="AO232" i="8"/>
  <c r="AK220" i="8"/>
  <c r="AO220" i="8"/>
  <c r="AK83" i="8"/>
  <c r="AO83" i="8"/>
  <c r="AK576" i="8"/>
  <c r="AO576" i="8"/>
  <c r="AK573" i="8"/>
  <c r="AO573" i="8"/>
  <c r="AK842" i="8"/>
  <c r="AO842" i="8"/>
  <c r="AK361" i="8"/>
  <c r="AO361" i="8"/>
  <c r="AK367" i="8"/>
  <c r="AO367" i="8"/>
  <c r="AK558" i="8"/>
  <c r="AO558" i="8"/>
  <c r="AK661" i="8"/>
  <c r="AO661" i="8"/>
  <c r="AK122" i="8"/>
  <c r="AO122" i="8"/>
  <c r="AK656" i="8"/>
  <c r="AO656" i="8"/>
  <c r="AK275" i="8"/>
  <c r="AO275" i="8"/>
  <c r="AK351" i="8"/>
  <c r="AO351" i="8"/>
  <c r="AK72" i="8"/>
  <c r="AO72" i="8"/>
  <c r="AK267" i="8"/>
  <c r="AO267" i="8"/>
  <c r="AK736" i="8"/>
  <c r="AO736" i="8"/>
  <c r="AK835" i="8"/>
  <c r="AO835" i="8"/>
  <c r="AK310" i="8"/>
  <c r="AO310" i="8"/>
  <c r="AK625" i="8"/>
  <c r="AO625" i="8"/>
  <c r="AK482" i="8"/>
  <c r="AO482" i="8"/>
  <c r="AK293" i="8"/>
  <c r="AO293" i="8"/>
  <c r="AK746" i="8"/>
  <c r="AO746" i="8"/>
  <c r="AK10" i="8"/>
  <c r="AO10" i="8"/>
  <c r="AK114" i="8"/>
  <c r="AO114" i="8"/>
  <c r="AK534" i="8"/>
  <c r="AO534" i="8"/>
  <c r="AK780" i="8"/>
  <c r="AO780" i="8"/>
  <c r="AK7" i="8"/>
  <c r="AO7" i="8"/>
  <c r="AK612" i="8"/>
  <c r="AO612" i="8"/>
  <c r="AK701" i="8"/>
  <c r="AO701" i="8"/>
  <c r="AK545" i="8"/>
  <c r="AO545" i="8"/>
  <c r="AK622" i="8"/>
  <c r="AO622" i="8"/>
  <c r="AK504" i="8"/>
  <c r="AO504" i="8"/>
  <c r="AK494" i="8"/>
  <c r="AO494" i="8"/>
  <c r="AK411" i="8"/>
  <c r="AO411" i="8"/>
  <c r="AK316" i="8"/>
  <c r="AO316" i="8"/>
  <c r="AK321" i="8"/>
  <c r="AO321" i="8"/>
  <c r="AK602" i="8"/>
  <c r="AO602" i="8"/>
  <c r="AK843" i="8"/>
  <c r="AO843" i="8"/>
  <c r="AK844" i="8"/>
  <c r="AO844" i="8"/>
  <c r="AK607" i="8"/>
  <c r="AO607" i="8"/>
  <c r="AK385" i="8"/>
  <c r="AO385" i="8"/>
  <c r="AK614" i="8"/>
  <c r="AO614" i="8"/>
  <c r="AK666" i="8"/>
  <c r="AO666" i="8"/>
  <c r="AK525" i="8"/>
  <c r="AO525" i="8"/>
  <c r="AK599" i="8"/>
  <c r="AO599" i="8"/>
  <c r="AK629" i="8"/>
  <c r="AO629" i="8"/>
  <c r="AK544" i="8"/>
  <c r="AO544" i="8"/>
  <c r="AK460" i="8"/>
  <c r="AO460" i="8"/>
  <c r="AK846" i="8"/>
  <c r="AO846" i="8"/>
  <c r="AK726" i="8"/>
  <c r="AO726" i="8"/>
  <c r="AK373" i="8"/>
  <c r="AO373" i="8"/>
  <c r="AK86" i="8"/>
  <c r="AO86" i="8"/>
  <c r="AK87" i="8"/>
  <c r="AO87" i="8"/>
  <c r="AK57" i="8"/>
  <c r="AO57" i="8"/>
  <c r="AK696" i="8"/>
  <c r="AO696" i="8"/>
  <c r="AK571" i="8"/>
  <c r="AO571" i="8"/>
  <c r="AK480" i="8"/>
  <c r="AO480" i="8"/>
  <c r="AK647" i="8"/>
  <c r="AO647" i="8"/>
  <c r="AK392" i="8"/>
  <c r="AO392" i="8"/>
  <c r="AK458" i="8"/>
  <c r="AO458" i="8"/>
  <c r="AK70" i="8"/>
  <c r="AO70" i="8"/>
  <c r="AK65" i="8"/>
  <c r="AO65" i="8"/>
  <c r="AK68" i="8"/>
  <c r="AO68" i="8"/>
  <c r="AK433" i="8"/>
  <c r="AO433" i="8"/>
  <c r="AK568" i="8"/>
  <c r="AO568" i="8"/>
  <c r="AK492" i="8"/>
  <c r="AO492" i="8"/>
  <c r="AK572" i="8"/>
  <c r="AO572" i="8"/>
  <c r="AK682" i="8"/>
  <c r="AO682" i="8"/>
  <c r="AK282" i="8"/>
  <c r="AO282" i="8"/>
  <c r="AK194" i="8"/>
  <c r="AO194" i="8"/>
  <c r="AK657" i="8"/>
  <c r="AO657" i="8"/>
  <c r="AK246" i="8"/>
  <c r="AO246" i="8"/>
  <c r="AK183" i="8"/>
  <c r="AO183" i="8"/>
  <c r="AK632" i="8"/>
  <c r="AO632" i="8"/>
  <c r="AK641" i="8"/>
  <c r="AO641" i="8"/>
  <c r="AK665" i="8"/>
  <c r="AO665" i="8"/>
  <c r="AK195" i="8"/>
  <c r="AO195" i="8"/>
  <c r="AK589" i="8"/>
  <c r="AO589" i="8"/>
  <c r="AK588" i="8"/>
  <c r="AO588" i="8"/>
  <c r="AK650" i="8"/>
  <c r="AO650" i="8"/>
  <c r="AK627" i="8"/>
  <c r="AO627" i="8"/>
  <c r="AK754" i="8"/>
  <c r="AO754" i="8"/>
  <c r="AK758" i="8"/>
  <c r="AO758" i="8"/>
  <c r="AK738" i="8"/>
  <c r="AO738" i="8"/>
  <c r="AK362" i="8"/>
  <c r="AO362" i="8"/>
  <c r="AK630" i="8"/>
  <c r="AO630" i="8"/>
  <c r="AK346" i="8"/>
  <c r="AO346" i="8"/>
  <c r="AK767" i="8"/>
  <c r="AO767" i="8"/>
  <c r="AK800" i="8"/>
  <c r="AO800" i="8"/>
  <c r="AK813" i="8"/>
  <c r="AO813" i="8"/>
  <c r="AK806" i="8"/>
  <c r="AO806" i="8"/>
  <c r="AK268" i="8"/>
  <c r="AO268" i="8"/>
  <c r="AK491" i="8"/>
  <c r="AO491" i="8"/>
  <c r="AK841" i="8"/>
  <c r="AO841" i="8"/>
  <c r="AK799" i="8"/>
  <c r="AO799" i="8"/>
  <c r="AK674" i="8"/>
  <c r="AO674" i="8"/>
  <c r="AK759" i="8"/>
  <c r="AO759" i="8"/>
  <c r="AK530" i="8"/>
  <c r="AO530" i="8"/>
  <c r="AK528" i="8"/>
  <c r="AO528" i="8"/>
  <c r="AK570" i="8"/>
  <c r="AO570" i="8"/>
  <c r="AK53" i="8"/>
  <c r="AO53" i="8"/>
  <c r="AK113" i="8"/>
  <c r="AO113" i="8"/>
  <c r="AK96" i="8"/>
  <c r="AO96" i="8"/>
  <c r="AK74" i="8"/>
  <c r="AO74" i="8"/>
  <c r="AK256" i="8"/>
  <c r="AO256" i="8"/>
  <c r="AK756" i="8"/>
  <c r="AO756" i="8"/>
  <c r="AK840" i="8"/>
  <c r="AO840" i="8"/>
  <c r="AK825" i="8"/>
  <c r="AO825" i="8"/>
  <c r="AK552" i="8"/>
  <c r="AO552" i="8"/>
  <c r="AK335" i="8"/>
  <c r="AO335" i="8"/>
  <c r="AK357" i="8"/>
  <c r="AO357" i="8"/>
  <c r="AK253" i="8"/>
  <c r="AO253" i="8"/>
  <c r="AK231" i="8"/>
  <c r="AO231" i="8"/>
  <c r="AK101" i="8"/>
  <c r="AO101" i="8"/>
  <c r="AK14" i="8"/>
  <c r="AO14" i="8"/>
  <c r="AK254" i="8"/>
  <c r="AO254" i="8"/>
  <c r="AK581" i="8"/>
  <c r="AO581" i="8"/>
  <c r="AK533" i="8"/>
  <c r="AO533" i="8"/>
  <c r="AK623" i="8"/>
  <c r="AO623" i="8"/>
  <c r="AK366" i="8"/>
  <c r="AO366" i="8"/>
  <c r="AK617" i="8"/>
  <c r="AO617" i="8"/>
  <c r="AK763" i="8"/>
  <c r="AO763" i="8"/>
  <c r="AK698" i="8"/>
  <c r="AO698" i="8"/>
  <c r="AK28" i="8"/>
  <c r="AO28" i="8"/>
  <c r="AK52" i="8"/>
  <c r="AO52" i="8"/>
  <c r="AK11" i="8"/>
  <c r="AO11" i="8"/>
  <c r="AK22" i="8"/>
  <c r="AO22" i="8"/>
  <c r="AK343" i="8"/>
  <c r="AO343" i="8"/>
  <c r="AK710" i="8"/>
  <c r="AO710" i="8"/>
  <c r="AK325" i="8"/>
  <c r="AO325" i="8"/>
  <c r="AK326" i="8"/>
  <c r="AO326" i="8"/>
  <c r="AK794" i="8"/>
  <c r="AO794" i="8"/>
  <c r="AK769" i="8"/>
  <c r="AO769" i="8"/>
  <c r="AK394" i="8"/>
  <c r="AO394" i="8"/>
  <c r="AK130" i="8"/>
  <c r="AO130" i="8"/>
  <c r="AK131" i="8"/>
  <c r="AO131" i="8"/>
  <c r="AK210" i="8"/>
  <c r="AO210" i="8"/>
  <c r="AK251" i="8"/>
  <c r="AO251" i="8"/>
  <c r="AK42" i="8"/>
  <c r="AO42" i="8"/>
  <c r="AK228" i="8"/>
  <c r="AO228" i="8"/>
  <c r="AK23" i="8"/>
  <c r="AO23" i="8"/>
  <c r="AK300" i="8"/>
  <c r="AO300" i="8"/>
  <c r="AK425" i="8"/>
  <c r="AO425" i="8"/>
  <c r="AK38" i="8"/>
  <c r="AO38" i="8"/>
  <c r="AK600" i="8"/>
  <c r="AO600" i="8"/>
  <c r="AK814" i="8"/>
  <c r="AO814" i="8"/>
  <c r="AK594" i="8"/>
  <c r="AO594" i="8"/>
  <c r="AK261" i="8"/>
  <c r="AO261" i="8"/>
  <c r="AK98" i="8"/>
  <c r="AO98" i="8"/>
  <c r="AK71" i="8"/>
  <c r="AO71" i="8"/>
  <c r="AK680" i="8"/>
  <c r="AO680" i="8"/>
  <c r="AK777" i="8"/>
  <c r="AO777" i="8"/>
  <c r="AK642" i="8"/>
  <c r="AO642" i="8"/>
  <c r="AK775" i="8"/>
  <c r="AO775" i="8"/>
  <c r="AK554" i="8"/>
  <c r="AO554" i="8"/>
  <c r="AK774" i="8"/>
  <c r="AO774" i="8"/>
  <c r="AK755" i="8"/>
  <c r="AO755" i="8"/>
  <c r="AK436" i="8"/>
  <c r="AO436" i="8"/>
  <c r="AK611" i="8"/>
  <c r="AO611" i="8"/>
  <c r="AK531" i="8"/>
  <c r="AO531" i="8"/>
  <c r="AK208" i="8"/>
  <c r="AO208" i="8"/>
  <c r="AK312" i="8"/>
  <c r="AO312" i="8"/>
  <c r="AK795" i="8"/>
  <c r="AO795" i="8"/>
  <c r="AK229" i="8"/>
  <c r="AO229" i="8"/>
  <c r="AK15" i="8"/>
  <c r="AO15" i="8"/>
  <c r="AK327" i="8"/>
  <c r="AO327" i="8"/>
  <c r="AK787" i="8"/>
  <c r="AO787" i="8"/>
  <c r="AK549" i="8"/>
  <c r="AO549" i="8"/>
  <c r="AK772" i="8"/>
  <c r="AO772" i="8"/>
  <c r="AK216" i="8"/>
  <c r="AO216" i="8"/>
  <c r="AK94" i="8"/>
  <c r="AO94" i="8"/>
  <c r="AK248" i="8"/>
  <c r="AO248" i="8"/>
  <c r="AK85" i="8"/>
  <c r="AO85" i="8"/>
  <c r="AK699" i="8"/>
  <c r="AO699" i="8"/>
  <c r="AK309" i="8"/>
  <c r="AO309" i="8"/>
  <c r="AK660" i="8"/>
  <c r="AO660" i="8"/>
  <c r="AK409" i="8"/>
  <c r="AO409" i="8"/>
  <c r="AK485" i="8"/>
  <c r="AO485" i="8"/>
  <c r="AK484" i="8"/>
  <c r="AO484" i="8"/>
  <c r="AK555" i="8"/>
  <c r="AO555" i="8"/>
  <c r="AK150" i="8"/>
  <c r="AO150" i="8"/>
  <c r="AK24" i="8"/>
  <c r="AO24" i="8"/>
  <c r="AK84" i="8"/>
  <c r="AO84" i="8"/>
  <c r="AK12" i="8"/>
  <c r="AO12" i="8"/>
  <c r="AK227" i="8"/>
  <c r="AO227" i="8"/>
  <c r="AK46" i="8"/>
  <c r="AO46" i="8"/>
  <c r="AK165" i="8"/>
  <c r="AO165" i="8"/>
  <c r="AK435" i="8"/>
  <c r="AO435" i="8"/>
  <c r="AK420" i="8"/>
  <c r="AO420" i="8"/>
  <c r="AK715" i="8"/>
  <c r="AO715" i="8"/>
  <c r="AK290" i="8"/>
  <c r="AO290" i="8"/>
  <c r="AK613" i="8"/>
  <c r="AO613" i="8"/>
  <c r="AK285" i="8"/>
  <c r="AO285" i="8"/>
  <c r="AK441" i="8"/>
  <c r="AO441" i="8"/>
  <c r="AK461" i="8"/>
  <c r="AO461" i="8"/>
  <c r="AK250" i="8"/>
  <c r="AO250" i="8"/>
  <c r="AK784" i="8"/>
  <c r="AO784" i="8"/>
  <c r="AK181" i="8"/>
  <c r="AO181" i="8"/>
  <c r="AK833" i="8"/>
  <c r="AO833" i="8"/>
  <c r="AK358" i="8"/>
  <c r="AO358" i="8"/>
  <c r="AK303" i="8"/>
  <c r="AO303" i="8"/>
  <c r="AK450" i="8"/>
  <c r="AO450" i="8"/>
  <c r="AK196" i="8"/>
  <c r="AO196" i="8"/>
  <c r="AK25" i="8"/>
  <c r="AO25" i="8"/>
  <c r="AK418" i="8"/>
  <c r="AO418" i="8"/>
  <c r="AK454" i="8"/>
  <c r="AO454" i="8"/>
  <c r="AK388" i="8"/>
  <c r="AO388" i="8"/>
  <c r="AK453" i="8"/>
  <c r="AO453" i="8"/>
  <c r="AK323" i="8"/>
  <c r="AO323" i="8"/>
  <c r="AK410" i="8"/>
  <c r="AO410" i="8"/>
  <c r="AK449" i="8"/>
  <c r="AO449" i="8"/>
  <c r="AK322" i="8"/>
  <c r="AO322" i="8"/>
  <c r="AK709" i="8"/>
  <c r="AO709" i="8"/>
  <c r="AK824" i="8"/>
  <c r="AO824" i="8"/>
  <c r="AK505" i="8"/>
  <c r="AO505" i="8"/>
  <c r="AK407" i="8"/>
  <c r="AO407" i="8"/>
  <c r="AK386" i="8"/>
  <c r="AO386" i="8"/>
  <c r="AK508" i="8"/>
  <c r="AO508" i="8"/>
  <c r="AK783" i="8"/>
  <c r="AO783" i="8"/>
  <c r="AK524" i="8"/>
  <c r="AO524" i="8"/>
  <c r="AK559" i="8"/>
  <c r="AO559" i="8"/>
  <c r="AK402" i="8"/>
  <c r="AO402" i="8"/>
  <c r="AK117" i="8"/>
  <c r="AO117" i="8"/>
  <c r="AK123" i="8"/>
  <c r="AO123" i="8"/>
  <c r="AK387" i="8"/>
  <c r="AO387" i="8"/>
  <c r="AK133" i="8"/>
  <c r="AO133" i="8"/>
  <c r="AK585" i="8"/>
  <c r="AO585" i="8"/>
  <c r="AK685" i="8"/>
  <c r="AO685" i="8"/>
  <c r="AK390" i="8"/>
  <c r="AO390" i="8"/>
  <c r="AK707" i="8"/>
  <c r="AO707" i="8"/>
  <c r="AK462" i="8"/>
  <c r="AO462" i="8"/>
  <c r="AK77" i="8"/>
  <c r="AO77" i="8"/>
  <c r="AK274" i="8"/>
  <c r="AO274" i="8"/>
  <c r="AK271" i="8"/>
  <c r="AO271" i="8"/>
  <c r="AK186" i="8"/>
  <c r="AO186" i="8"/>
  <c r="AK675" i="8"/>
  <c r="AO675" i="8"/>
  <c r="AK224" i="8"/>
  <c r="AO224" i="8"/>
  <c r="AK771" i="8"/>
  <c r="AO771" i="8"/>
  <c r="AK399" i="8"/>
  <c r="AO399" i="8"/>
  <c r="AK66" i="8"/>
  <c r="AO66" i="8"/>
  <c r="AK676" i="8"/>
  <c r="AO676" i="8"/>
  <c r="AK266" i="8"/>
  <c r="AO266" i="8"/>
  <c r="AK832" i="8"/>
  <c r="AO832" i="8"/>
  <c r="AK831" i="8"/>
  <c r="AO831" i="8"/>
  <c r="AK264" i="8"/>
  <c r="AO264" i="8"/>
  <c r="AK643" i="8"/>
  <c r="AO643" i="8"/>
  <c r="AK678" i="8"/>
  <c r="AO678" i="8"/>
  <c r="AK197" i="8"/>
  <c r="AO197" i="8"/>
  <c r="AK451" i="8"/>
  <c r="AO451" i="8"/>
  <c r="AK797" i="8"/>
  <c r="AO797" i="8"/>
  <c r="AK470" i="8"/>
  <c r="AO470" i="8"/>
  <c r="AK788" i="8"/>
  <c r="AO788" i="8"/>
  <c r="AK596" i="8"/>
  <c r="AO596" i="8"/>
  <c r="AK673" i="8"/>
  <c r="AO673" i="8"/>
  <c r="AK493" i="8"/>
  <c r="AO493" i="8"/>
  <c r="AK563" i="8"/>
  <c r="AO563" i="8"/>
  <c r="AK345" i="8"/>
  <c r="AO345" i="8"/>
  <c r="AK424" i="8"/>
  <c r="AO424" i="8"/>
  <c r="AK732" i="8"/>
  <c r="AO732" i="8"/>
  <c r="AK714" i="8"/>
  <c r="AO714" i="8"/>
  <c r="AK645" i="8"/>
  <c r="AO645" i="8"/>
  <c r="AK798" i="8"/>
  <c r="AO798" i="8"/>
  <c r="AK223" i="8"/>
  <c r="AO223" i="8"/>
  <c r="AK664" i="8"/>
  <c r="AO664" i="8"/>
  <c r="AK305" i="8"/>
  <c r="AO305" i="8"/>
  <c r="AK393" i="8"/>
  <c r="AO393" i="8"/>
  <c r="AK826" i="8"/>
  <c r="AO826" i="8"/>
  <c r="AK542" i="8"/>
  <c r="AO542" i="8"/>
  <c r="AK296" i="8"/>
  <c r="AO296" i="8"/>
  <c r="AK566" i="8"/>
  <c r="AO566" i="8"/>
  <c r="AK616" i="8"/>
  <c r="AO616" i="8"/>
  <c r="AK356" i="8"/>
  <c r="AO356" i="8"/>
  <c r="AK29" i="8"/>
  <c r="AO29" i="8"/>
  <c r="AK91" i="8"/>
  <c r="AO91" i="8"/>
  <c r="AK207" i="8"/>
  <c r="AO207" i="8"/>
  <c r="AK30" i="8"/>
  <c r="AO30" i="8"/>
  <c r="AK819" i="8"/>
  <c r="AO819" i="8"/>
  <c r="AK812" i="8"/>
  <c r="AO812" i="8"/>
  <c r="AK404" i="8"/>
  <c r="AO404" i="8"/>
  <c r="AK834" i="8"/>
  <c r="AO834" i="8"/>
  <c r="AK292" i="8"/>
  <c r="AO292" i="8"/>
  <c r="AK592" i="8"/>
  <c r="AO592" i="8"/>
  <c r="AK672" i="8"/>
  <c r="AO672" i="8"/>
  <c r="AK129" i="8"/>
  <c r="AO129" i="8"/>
  <c r="AK93" i="8"/>
  <c r="AO93" i="8"/>
  <c r="AK200" i="8"/>
  <c r="AO200" i="8"/>
  <c r="AK92" i="8"/>
  <c r="AO92" i="8"/>
  <c r="AK344" i="8"/>
  <c r="AO344" i="8"/>
  <c r="AK437" i="8"/>
  <c r="AO437" i="8"/>
  <c r="AK770" i="8"/>
  <c r="AO770" i="8"/>
  <c r="AK315" i="8"/>
  <c r="AO315" i="8"/>
  <c r="AK294" i="8"/>
  <c r="AO294" i="8"/>
  <c r="AK414" i="8"/>
  <c r="AO414" i="8"/>
  <c r="AK733" i="8"/>
  <c r="AO733" i="8"/>
  <c r="AK89" i="8"/>
  <c r="AO89" i="8"/>
  <c r="AK252" i="8"/>
  <c r="AO252" i="8"/>
  <c r="AK21" i="8"/>
  <c r="AO21" i="8"/>
  <c r="AK112" i="8"/>
  <c r="AO112" i="8"/>
  <c r="AK9" i="8"/>
  <c r="AO9" i="8"/>
  <c r="AK553" i="8"/>
  <c r="AO553" i="8"/>
  <c r="AK502" i="8"/>
  <c r="AO502" i="8"/>
  <c r="AK610" i="8"/>
  <c r="AO610" i="8"/>
  <c r="AK615" i="8"/>
  <c r="AO615" i="8"/>
  <c r="AK796" i="8"/>
  <c r="AO796" i="8"/>
  <c r="AK583" i="8"/>
  <c r="AO583" i="8"/>
  <c r="AK569" i="8"/>
  <c r="AO569" i="8"/>
  <c r="AK6" i="8"/>
  <c r="AO6" i="8"/>
  <c r="AK45" i="8"/>
  <c r="AO45" i="8"/>
  <c r="AK104" i="8"/>
  <c r="AO104" i="8"/>
  <c r="AK5" i="8"/>
  <c r="AO5" i="8"/>
  <c r="AK255" i="8"/>
  <c r="AO255" i="8"/>
  <c r="AK240" i="8"/>
  <c r="AO240" i="8"/>
  <c r="AK82" i="8"/>
  <c r="AO82" i="8"/>
  <c r="V322" i="2"/>
  <c r="AD322" i="2" s="1"/>
  <c r="A2" i="18" l="1" a="1"/>
  <c r="A2" i="18" s="1"/>
  <c r="V323" i="2"/>
  <c r="AD323" i="2" s="1"/>
  <c r="V324" i="2" l="1"/>
  <c r="AD324" i="2" l="1"/>
  <c r="AE208" i="2"/>
  <c r="AF208" i="2" s="1"/>
  <c r="AH208" i="2" s="1"/>
  <c r="AE266" i="2"/>
  <c r="AF266" i="2" s="1"/>
  <c r="AE324" i="2"/>
  <c r="AF324" i="2" s="1"/>
  <c r="AH324" i="2" s="1"/>
  <c r="AE7" i="2"/>
  <c r="AF7" i="2" s="1"/>
  <c r="AH7" i="2"/>
  <c r="AH266" i="2"/>
  <c r="V325" i="2"/>
  <c r="AD325" i="2" s="1"/>
  <c r="V326" i="2" l="1"/>
  <c r="AD326" i="2" s="1"/>
  <c r="V327" i="2" l="1"/>
  <c r="AD327" i="2" s="1"/>
  <c r="V328" i="2" l="1"/>
  <c r="AD328" i="2" s="1"/>
  <c r="V329" i="2" l="1"/>
  <c r="AD329" i="2" s="1"/>
  <c r="V330" i="2" l="1"/>
  <c r="AD330" i="2" s="1"/>
  <c r="V331" i="2" l="1"/>
  <c r="AD331" i="2" s="1"/>
  <c r="V332" i="2" l="1"/>
  <c r="AD332" i="2" s="1"/>
  <c r="V333" i="2" l="1"/>
  <c r="AD333" i="2" s="1"/>
  <c r="V334" i="2" l="1"/>
  <c r="AD334" i="2" s="1"/>
  <c r="V335" i="2" l="1"/>
  <c r="AD335" i="2" s="1"/>
  <c r="V336" i="2" l="1"/>
  <c r="AD336" i="2" s="1"/>
  <c r="V337" i="2" l="1"/>
  <c r="AD337" i="2" s="1"/>
  <c r="V338" i="2" l="1"/>
  <c r="AD338" i="2" s="1"/>
  <c r="V339" i="2" l="1"/>
  <c r="AD339" i="2" s="1"/>
  <c r="V340" i="2" l="1"/>
  <c r="AD340" i="2" s="1"/>
  <c r="V341" i="2" l="1"/>
  <c r="AD341" i="2" l="1"/>
  <c r="AE203" i="2"/>
  <c r="AF203" i="2" s="1"/>
  <c r="AE62" i="2"/>
  <c r="AF62" i="2" s="1"/>
  <c r="AE270" i="2"/>
  <c r="AF270" i="2" s="1"/>
  <c r="AE260" i="2"/>
  <c r="AF260" i="2" s="1"/>
  <c r="AE287" i="2"/>
  <c r="AF287" i="2" s="1"/>
  <c r="AE42" i="2"/>
  <c r="AF42" i="2" s="1"/>
  <c r="AE311" i="2"/>
  <c r="AF311" i="2" s="1"/>
  <c r="AE10" i="2"/>
  <c r="AF10" i="2" s="1"/>
  <c r="AE122" i="2"/>
  <c r="AF122" i="2" s="1"/>
  <c r="AE313" i="2"/>
  <c r="AF313" i="2" s="1"/>
  <c r="AE333" i="2"/>
  <c r="AF333" i="2" s="1"/>
  <c r="AE27" i="2"/>
  <c r="AF27" i="2" s="1"/>
  <c r="AE19" i="2"/>
  <c r="AF19" i="2" s="1"/>
  <c r="AE14" i="2"/>
  <c r="AF14" i="2" s="1"/>
  <c r="AE329" i="2"/>
  <c r="AF329" i="2" s="1"/>
  <c r="AE11" i="2"/>
  <c r="AF11" i="2" s="1"/>
  <c r="AE111" i="2"/>
  <c r="AF111" i="2" s="1"/>
  <c r="AE209" i="2"/>
  <c r="AF209" i="2" s="1"/>
  <c r="AE84" i="2"/>
  <c r="AF84" i="2" s="1"/>
  <c r="AE310" i="2"/>
  <c r="AF310" i="2" s="1"/>
  <c r="AE155" i="2"/>
  <c r="AF155" i="2" s="1"/>
  <c r="AE273" i="2"/>
  <c r="AF273" i="2" s="1"/>
  <c r="AE13" i="2"/>
  <c r="AF13" i="2" s="1"/>
  <c r="AE132" i="2"/>
  <c r="AF132" i="2" s="1"/>
  <c r="AE335" i="2"/>
  <c r="AF335" i="2" s="1"/>
  <c r="AE152" i="2"/>
  <c r="AF152" i="2" s="1"/>
  <c r="AE336" i="2"/>
  <c r="AF336" i="2" s="1"/>
  <c r="AE202" i="2"/>
  <c r="AF202" i="2" s="1"/>
  <c r="AE30" i="2"/>
  <c r="AF30" i="2" s="1"/>
  <c r="AE74" i="2"/>
  <c r="AF74" i="2" s="1"/>
  <c r="AE23" i="2"/>
  <c r="AF23" i="2" s="1"/>
  <c r="AE92" i="2"/>
  <c r="AF92" i="2" s="1"/>
  <c r="AE61" i="2"/>
  <c r="AF61" i="2" s="1"/>
  <c r="AE301" i="2"/>
  <c r="AF301" i="2" s="1"/>
  <c r="AE251" i="2"/>
  <c r="AF251" i="2" s="1"/>
  <c r="AE284" i="2"/>
  <c r="AF284" i="2" s="1"/>
  <c r="AE271" i="2"/>
  <c r="AF271" i="2" s="1"/>
  <c r="AE44" i="2"/>
  <c r="AF44" i="2" s="1"/>
  <c r="AE53" i="2"/>
  <c r="AF53" i="2" s="1"/>
  <c r="AE112" i="2"/>
  <c r="AF112" i="2" s="1"/>
  <c r="AE174" i="2"/>
  <c r="AF174" i="2" s="1"/>
  <c r="AE285" i="2"/>
  <c r="AF285" i="2" s="1"/>
  <c r="AE288" i="2"/>
  <c r="AF288" i="2" s="1"/>
  <c r="AE328" i="2"/>
  <c r="AF328" i="2" s="1"/>
  <c r="AE137" i="2"/>
  <c r="AF137" i="2" s="1"/>
  <c r="AE246" i="2"/>
  <c r="AF246" i="2" s="1"/>
  <c r="AE160" i="2"/>
  <c r="AF160" i="2" s="1"/>
  <c r="AE218" i="2"/>
  <c r="AF218" i="2" s="1"/>
  <c r="AE29" i="2"/>
  <c r="AF29" i="2" s="1"/>
  <c r="AE330" i="2"/>
  <c r="AF330" i="2" s="1"/>
  <c r="AE268" i="2"/>
  <c r="AF268" i="2" s="1"/>
  <c r="AE315" i="2"/>
  <c r="AF315" i="2" s="1"/>
  <c r="AE341" i="2"/>
  <c r="AF341" i="2" s="1"/>
  <c r="AE135" i="2"/>
  <c r="AF135" i="2" s="1"/>
  <c r="AE154" i="2"/>
  <c r="AF154" i="2" s="1"/>
  <c r="AE299" i="2"/>
  <c r="AF299" i="2" s="1"/>
  <c r="AE52" i="2"/>
  <c r="AF52" i="2" s="1"/>
  <c r="AE249" i="2"/>
  <c r="AF249" i="2" s="1"/>
  <c r="AE248" i="2"/>
  <c r="AF248" i="2" s="1"/>
  <c r="AE334" i="2"/>
  <c r="AF334" i="2" s="1"/>
  <c r="AE252" i="2"/>
  <c r="AF252" i="2" s="1"/>
  <c r="AE45" i="2"/>
  <c r="AF45" i="2" s="1"/>
  <c r="AE267" i="2"/>
  <c r="AF267" i="2" s="1"/>
  <c r="AE219" i="2"/>
  <c r="AF219" i="2" s="1"/>
  <c r="AE127" i="2"/>
  <c r="AF127" i="2" s="1"/>
  <c r="AE256" i="2"/>
  <c r="AF256" i="2" s="1"/>
  <c r="AE12" i="2"/>
  <c r="AF12" i="2" s="1"/>
  <c r="AE201" i="2"/>
  <c r="AF201" i="2" s="1"/>
  <c r="AE33" i="2"/>
  <c r="AF33" i="2" s="1"/>
  <c r="AE43" i="2"/>
  <c r="AF43" i="2" s="1"/>
  <c r="AE220" i="2"/>
  <c r="AF220" i="2" s="1"/>
  <c r="AE75" i="2"/>
  <c r="AF75" i="2" s="1"/>
  <c r="AE317" i="2"/>
  <c r="AF317" i="2" s="1"/>
  <c r="AE242" i="2"/>
  <c r="AF242" i="2" s="1"/>
  <c r="AE320" i="2"/>
  <c r="AF320" i="2" s="1"/>
  <c r="AE332" i="2"/>
  <c r="AF332" i="2" s="1"/>
  <c r="AE325" i="2"/>
  <c r="AF325" i="2" s="1"/>
  <c r="AE167" i="2"/>
  <c r="AF167" i="2" s="1"/>
  <c r="AE85" i="2"/>
  <c r="AF85" i="2" s="1"/>
  <c r="AE72" i="2"/>
  <c r="AF72" i="2" s="1"/>
  <c r="AE241" i="2"/>
  <c r="AF241" i="2" s="1"/>
  <c r="AE243" i="2"/>
  <c r="AF243" i="2" s="1"/>
  <c r="AE129" i="2"/>
  <c r="AF129" i="2" s="1"/>
  <c r="AE86" i="2"/>
  <c r="AF86" i="2" s="1"/>
  <c r="AE113" i="2"/>
  <c r="AF113" i="2" s="1"/>
  <c r="AE79" i="2"/>
  <c r="AF79" i="2" s="1"/>
  <c r="AE34" i="2"/>
  <c r="AF34" i="2" s="1"/>
  <c r="AE41" i="2"/>
  <c r="AF41" i="2" s="1"/>
  <c r="AE39" i="2"/>
  <c r="AF39" i="2" s="1"/>
  <c r="AE253" i="2"/>
  <c r="AF253" i="2" s="1"/>
  <c r="AE82" i="2"/>
  <c r="AF82" i="2" s="1"/>
  <c r="AE262" i="2"/>
  <c r="AF262" i="2" s="1"/>
  <c r="AE226" i="2"/>
  <c r="AF226" i="2" s="1"/>
  <c r="AE276" i="2"/>
  <c r="AF276" i="2" s="1"/>
  <c r="AE103" i="2"/>
  <c r="AF103" i="2" s="1"/>
  <c r="AE104" i="2"/>
  <c r="AF104" i="2" s="1"/>
  <c r="AE318" i="2"/>
  <c r="AF318" i="2" s="1"/>
  <c r="AE277" i="2"/>
  <c r="AF277" i="2" s="1"/>
  <c r="AE147" i="2"/>
  <c r="AF147" i="2" s="1"/>
  <c r="AE223" i="2"/>
  <c r="AF223" i="2" s="1"/>
  <c r="AE125" i="2"/>
  <c r="AF125" i="2" s="1"/>
  <c r="AE40" i="2"/>
  <c r="AF40" i="2" s="1"/>
  <c r="AE319" i="2"/>
  <c r="AF319" i="2" s="1"/>
  <c r="AE138" i="2"/>
  <c r="AF138" i="2" s="1"/>
  <c r="AE8" i="2"/>
  <c r="AF8" i="2" s="1"/>
  <c r="AE128" i="2"/>
  <c r="AF128" i="2" s="1"/>
  <c r="AE225" i="2"/>
  <c r="AF225" i="2" s="1"/>
  <c r="AE32" i="2"/>
  <c r="AF32" i="2" s="1"/>
  <c r="AE65" i="2"/>
  <c r="AF65" i="2" s="1"/>
  <c r="AE89" i="2"/>
  <c r="AF89" i="2" s="1"/>
  <c r="AE66" i="2"/>
  <c r="AF66" i="2" s="1"/>
  <c r="AE232" i="2"/>
  <c r="AF232" i="2" s="1"/>
  <c r="AE293" i="2"/>
  <c r="AF293" i="2" s="1"/>
  <c r="AE115" i="2"/>
  <c r="AF115" i="2" s="1"/>
  <c r="AE231" i="2"/>
  <c r="AF231" i="2" s="1"/>
  <c r="AE116" i="2"/>
  <c r="AF116" i="2" s="1"/>
  <c r="AE194" i="2"/>
  <c r="AF194" i="2" s="1"/>
  <c r="AE24" i="2"/>
  <c r="AF24" i="2" s="1"/>
  <c r="AE163" i="2"/>
  <c r="AF163" i="2" s="1"/>
  <c r="AE67" i="2"/>
  <c r="AF67" i="2" s="1"/>
  <c r="AE126" i="2"/>
  <c r="AF126" i="2" s="1"/>
  <c r="AE195" i="2"/>
  <c r="AF195" i="2" s="1"/>
  <c r="AE49" i="2"/>
  <c r="AF49" i="2" s="1"/>
  <c r="AE51" i="2"/>
  <c r="AF51" i="2" s="1"/>
  <c r="AE88" i="2"/>
  <c r="AF88" i="2" s="1"/>
  <c r="AE185" i="2"/>
  <c r="AF185" i="2" s="1"/>
  <c r="AE50" i="2"/>
  <c r="AF50" i="2" s="1"/>
  <c r="AE193" i="2"/>
  <c r="AF193" i="2" s="1"/>
  <c r="AE25" i="2"/>
  <c r="AF25" i="2" s="1"/>
  <c r="AE297" i="2"/>
  <c r="AF297" i="2" s="1"/>
  <c r="AE294" i="2"/>
  <c r="AF294" i="2" s="1"/>
  <c r="AE250" i="2"/>
  <c r="AF250" i="2" s="1"/>
  <c r="AE296" i="2"/>
  <c r="AF296" i="2" s="1"/>
  <c r="AE173" i="2"/>
  <c r="AF173" i="2" s="1"/>
  <c r="AE35" i="2"/>
  <c r="AF35" i="2" s="1"/>
  <c r="AE215" i="2"/>
  <c r="AF215" i="2" s="1"/>
  <c r="AE148" i="2"/>
  <c r="AF148" i="2" s="1"/>
  <c r="AE264" i="2"/>
  <c r="AF264" i="2" s="1"/>
  <c r="AE217" i="2"/>
  <c r="AF217" i="2" s="1"/>
  <c r="AE281" i="2"/>
  <c r="AF281" i="2" s="1"/>
  <c r="AE275" i="2"/>
  <c r="AF275" i="2" s="1"/>
  <c r="AE265" i="2"/>
  <c r="AF265" i="2" s="1"/>
  <c r="AE21" i="2"/>
  <c r="AF21" i="2" s="1"/>
  <c r="AE169" i="2"/>
  <c r="AF169" i="2" s="1"/>
  <c r="AE307" i="2"/>
  <c r="AF307" i="2" s="1"/>
  <c r="AE170" i="2"/>
  <c r="AF170" i="2" s="1"/>
  <c r="AE211" i="2"/>
  <c r="AF211" i="2" s="1"/>
  <c r="AE321" i="2"/>
  <c r="AF321" i="2" s="1"/>
  <c r="AE80" i="2"/>
  <c r="AF80" i="2" s="1"/>
  <c r="AE272" i="2"/>
  <c r="AF272" i="2" s="1"/>
  <c r="AE63" i="2"/>
  <c r="AF63" i="2" s="1"/>
  <c r="AE314" i="2"/>
  <c r="AF314" i="2" s="1"/>
  <c r="AE64" i="2"/>
  <c r="AF64" i="2" s="1"/>
  <c r="AE306" i="2"/>
  <c r="AF306" i="2" s="1"/>
  <c r="AE188" i="2"/>
  <c r="AF188" i="2" s="1"/>
  <c r="AE58" i="2"/>
  <c r="AF58" i="2" s="1"/>
  <c r="AE168" i="2"/>
  <c r="AF168" i="2" s="1"/>
  <c r="AE216" i="2"/>
  <c r="AF216" i="2" s="1"/>
  <c r="AE142" i="2"/>
  <c r="AF142" i="2" s="1"/>
  <c r="AE227" i="2"/>
  <c r="AF227" i="2" s="1"/>
  <c r="AE76" i="2"/>
  <c r="AF76" i="2" s="1"/>
  <c r="AE200" i="2"/>
  <c r="AF200" i="2" s="1"/>
  <c r="AE28" i="2"/>
  <c r="AF28" i="2" s="1"/>
  <c r="AE233" i="2"/>
  <c r="AF233" i="2" s="1"/>
  <c r="AE158" i="2"/>
  <c r="AF158" i="2" s="1"/>
  <c r="AE90" i="2"/>
  <c r="AF90" i="2" s="1"/>
  <c r="AE96" i="2"/>
  <c r="AF96" i="2" s="1"/>
  <c r="AE94" i="2"/>
  <c r="AF94" i="2" s="1"/>
  <c r="AH94" i="2" s="1"/>
  <c r="AE70" i="2"/>
  <c r="AF70" i="2" s="1"/>
  <c r="AE81" i="2"/>
  <c r="AF81" i="2" s="1"/>
  <c r="AE150" i="2"/>
  <c r="AF150" i="2" s="1"/>
  <c r="AE97" i="2"/>
  <c r="AF97" i="2" s="1"/>
  <c r="AE57" i="2"/>
  <c r="AF57" i="2" s="1"/>
  <c r="AE9" i="2"/>
  <c r="AF9" i="2" s="1"/>
  <c r="AE131" i="2"/>
  <c r="AF131" i="2" s="1"/>
  <c r="AE133" i="2"/>
  <c r="AF133" i="2" s="1"/>
  <c r="AE183" i="2"/>
  <c r="AF183" i="2" s="1"/>
  <c r="AE130" i="2"/>
  <c r="AF130" i="2" s="1"/>
  <c r="AE140" i="2"/>
  <c r="AF140" i="2" s="1"/>
  <c r="AE100" i="2"/>
  <c r="AF100" i="2" s="1"/>
  <c r="AE4" i="2"/>
  <c r="AF4" i="2" s="1"/>
  <c r="AE26" i="2"/>
  <c r="AF26" i="2" s="1"/>
  <c r="AE338" i="2"/>
  <c r="AF338" i="2" s="1"/>
  <c r="AE184" i="2"/>
  <c r="AF184" i="2" s="1"/>
  <c r="AE261" i="2"/>
  <c r="AF261" i="2" s="1"/>
  <c r="AE199" i="2"/>
  <c r="AF199" i="2" s="1"/>
  <c r="AE308" i="2"/>
  <c r="AF308" i="2" s="1"/>
  <c r="AE54" i="2"/>
  <c r="AF54" i="2" s="1"/>
  <c r="AE229" i="2"/>
  <c r="AF229" i="2" s="1"/>
  <c r="AE95" i="2"/>
  <c r="AF95" i="2" s="1"/>
  <c r="AE101" i="2"/>
  <c r="AF101" i="2" s="1"/>
  <c r="AE240" i="2"/>
  <c r="AF240" i="2" s="1"/>
  <c r="AE87" i="2"/>
  <c r="AF87" i="2" s="1"/>
  <c r="AE102" i="2"/>
  <c r="AF102" i="2" s="1"/>
  <c r="AE99" i="2"/>
  <c r="AF99" i="2" s="1"/>
  <c r="AE38" i="2"/>
  <c r="AF38" i="2" s="1"/>
  <c r="AE36" i="2"/>
  <c r="AF36" i="2" s="1"/>
  <c r="AE255" i="2"/>
  <c r="AF255" i="2" s="1"/>
  <c r="AE331" i="2"/>
  <c r="AF331" i="2" s="1"/>
  <c r="AE178" i="2"/>
  <c r="AF178" i="2" s="1"/>
  <c r="AE198" i="2"/>
  <c r="AF198" i="2" s="1"/>
  <c r="AE91" i="2"/>
  <c r="AF91" i="2" s="1"/>
  <c r="AE149" i="2"/>
  <c r="AF149" i="2" s="1"/>
  <c r="AE180" i="2"/>
  <c r="AF180" i="2" s="1"/>
  <c r="AE48" i="2"/>
  <c r="AF48" i="2" s="1"/>
  <c r="AE3" i="2"/>
  <c r="AF3" i="2" s="1"/>
  <c r="AE2" i="2"/>
  <c r="AF2" i="2" s="1"/>
  <c r="AE176" i="2"/>
  <c r="AF176" i="2" s="1"/>
  <c r="AE312" i="2"/>
  <c r="AF312" i="2" s="1"/>
  <c r="AE259" i="2"/>
  <c r="AF259" i="2" s="1"/>
  <c r="AE323" i="2"/>
  <c r="AF323" i="2" s="1"/>
  <c r="AE105" i="2"/>
  <c r="AF105" i="2" s="1"/>
  <c r="AE120" i="2"/>
  <c r="AF120" i="2" s="1"/>
  <c r="AE179" i="2"/>
  <c r="AF179" i="2" s="1"/>
  <c r="AE221" i="2"/>
  <c r="AF221" i="2" s="1"/>
  <c r="AE110" i="2"/>
  <c r="AF110" i="2" s="1"/>
  <c r="AE159" i="2"/>
  <c r="AF159" i="2" s="1"/>
  <c r="AE187" i="2"/>
  <c r="AF187" i="2" s="1"/>
  <c r="AE289" i="2"/>
  <c r="AF289" i="2" s="1"/>
  <c r="AE134" i="2"/>
  <c r="AF134" i="2" s="1"/>
  <c r="AE177" i="2"/>
  <c r="AF177" i="2" s="1"/>
  <c r="AE303" i="2"/>
  <c r="AF303" i="2" s="1"/>
  <c r="AE108" i="2"/>
  <c r="AF108" i="2" s="1"/>
  <c r="AE109" i="2"/>
  <c r="AF109" i="2" s="1"/>
  <c r="AE153" i="2"/>
  <c r="AF153" i="2" s="1"/>
  <c r="AE136" i="2"/>
  <c r="AF136" i="2" s="1"/>
  <c r="AE161" i="2"/>
  <c r="AF161" i="2" s="1"/>
  <c r="AE171" i="2"/>
  <c r="AF171" i="2" s="1"/>
  <c r="AE60" i="2"/>
  <c r="AF60" i="2" s="1"/>
  <c r="AE214" i="2"/>
  <c r="AF214" i="2" s="1"/>
  <c r="AE263" i="2"/>
  <c r="AF263" i="2" s="1"/>
  <c r="AE337" i="2"/>
  <c r="AF337" i="2" s="1"/>
  <c r="AE212" i="2"/>
  <c r="AF212" i="2" s="1"/>
  <c r="AE172" i="2"/>
  <c r="AF172" i="2" s="1"/>
  <c r="AE143" i="2"/>
  <c r="AF143" i="2" s="1"/>
  <c r="AE106" i="2"/>
  <c r="AF106" i="2" s="1"/>
  <c r="AE37" i="2"/>
  <c r="AF37" i="2" s="1"/>
  <c r="AE340" i="2"/>
  <c r="AF340" i="2" s="1"/>
  <c r="AE114" i="2"/>
  <c r="AF114" i="2" s="1"/>
  <c r="AE309" i="2"/>
  <c r="AF309" i="2" s="1"/>
  <c r="AE189" i="2"/>
  <c r="AF189" i="2" s="1"/>
  <c r="AE162" i="2"/>
  <c r="AF162" i="2" s="1"/>
  <c r="AE18" i="2"/>
  <c r="AF18" i="2" s="1"/>
  <c r="AE222" i="2"/>
  <c r="AF222" i="2" s="1"/>
  <c r="AE291" i="2"/>
  <c r="AF291" i="2" s="1"/>
  <c r="AE236" i="2"/>
  <c r="AF236" i="2" s="1"/>
  <c r="AE56" i="2"/>
  <c r="AF56" i="2" s="1"/>
  <c r="AE144" i="2"/>
  <c r="AF144" i="2" s="1"/>
  <c r="AE164" i="2"/>
  <c r="AF164" i="2" s="1"/>
  <c r="AE119" i="2"/>
  <c r="AF119" i="2" s="1"/>
  <c r="AE146" i="2"/>
  <c r="AF146" i="2" s="1"/>
  <c r="AE245" i="2"/>
  <c r="AF245" i="2" s="1"/>
  <c r="AE196" i="2"/>
  <c r="AF196" i="2" s="1"/>
  <c r="AE123" i="2"/>
  <c r="AF123" i="2" s="1"/>
  <c r="AE224" i="2"/>
  <c r="AF224" i="2" s="1"/>
  <c r="AE15" i="2"/>
  <c r="AF15" i="2" s="1"/>
  <c r="AE197" i="2"/>
  <c r="AF197" i="2" s="1"/>
  <c r="AE254" i="2"/>
  <c r="AF254" i="2" s="1"/>
  <c r="AE69" i="2"/>
  <c r="AF69" i="2" s="1"/>
  <c r="AE117" i="2"/>
  <c r="AF117" i="2" s="1"/>
  <c r="AE322" i="2"/>
  <c r="AF322" i="2" s="1"/>
  <c r="AE124" i="2"/>
  <c r="AF124" i="2" s="1"/>
  <c r="AE151" i="2"/>
  <c r="AF151" i="2" s="1"/>
  <c r="AE290" i="2"/>
  <c r="AF290" i="2" s="1"/>
  <c r="AE186" i="2"/>
  <c r="AF186" i="2" s="1"/>
  <c r="AE300" i="2"/>
  <c r="AF300" i="2" s="1"/>
  <c r="AE286" i="2"/>
  <c r="AF286" i="2" s="1"/>
  <c r="AE210" i="2"/>
  <c r="AF210" i="2" s="1"/>
  <c r="AE118" i="2"/>
  <c r="AF118" i="2" s="1"/>
  <c r="AE327" i="2"/>
  <c r="AF327" i="2" s="1"/>
  <c r="AE326" i="2"/>
  <c r="AF326" i="2" s="1"/>
  <c r="AE46" i="2"/>
  <c r="AF46" i="2" s="1"/>
  <c r="AE213" i="2"/>
  <c r="AF213" i="2" s="1"/>
  <c r="AE6" i="2"/>
  <c r="AF6" i="2" s="1"/>
  <c r="AE73" i="2"/>
  <c r="AF73" i="2" s="1"/>
  <c r="AE78" i="2"/>
  <c r="AF78" i="2" s="1"/>
  <c r="AE207" i="2"/>
  <c r="AF207" i="2" s="1"/>
  <c r="AE244" i="2"/>
  <c r="AF244" i="2" s="1"/>
  <c r="AE22" i="2"/>
  <c r="AF22" i="2" s="1"/>
  <c r="AE316" i="2"/>
  <c r="AF316" i="2" s="1"/>
  <c r="AH316" i="2" s="1"/>
  <c r="AJ316" i="2" s="1"/>
  <c r="AE182" i="2"/>
  <c r="AF182" i="2" s="1"/>
  <c r="AE239" i="2"/>
  <c r="AF239" i="2" s="1"/>
  <c r="AE235" i="2"/>
  <c r="AF235" i="2" s="1"/>
  <c r="AE339" i="2"/>
  <c r="AF339" i="2" s="1"/>
  <c r="AH339" i="2" s="1"/>
  <c r="AJ339" i="2" s="1"/>
  <c r="AE83" i="2"/>
  <c r="AF83" i="2" s="1"/>
  <c r="AE206" i="2"/>
  <c r="AF206" i="2" s="1"/>
  <c r="AE295" i="2"/>
  <c r="AF295" i="2" s="1"/>
  <c r="AE292" i="2"/>
  <c r="AF292" i="2" s="1"/>
  <c r="AH292" i="2" s="1"/>
  <c r="AJ292" i="2" s="1"/>
  <c r="AE238" i="2"/>
  <c r="AF238" i="2" s="1"/>
  <c r="AE279" i="2"/>
  <c r="AF279" i="2" s="1"/>
  <c r="AE181" i="2"/>
  <c r="AF181" i="2" s="1"/>
  <c r="AE68" i="2"/>
  <c r="AF68" i="2" s="1"/>
  <c r="AH68" i="2" s="1"/>
  <c r="AJ68" i="2" s="1"/>
  <c r="AE302" i="2"/>
  <c r="AF302" i="2" s="1"/>
  <c r="AE192" i="2"/>
  <c r="AF192" i="2" s="1"/>
  <c r="AE234" i="2"/>
  <c r="AF234" i="2" s="1"/>
  <c r="AE165" i="2"/>
  <c r="AF165" i="2" s="1"/>
  <c r="AH165" i="2" s="1"/>
  <c r="AJ165" i="2" s="1"/>
  <c r="AE258" i="2"/>
  <c r="AF258" i="2" s="1"/>
  <c r="AE190" i="2"/>
  <c r="AF190" i="2" s="1"/>
  <c r="AE280" i="2"/>
  <c r="AF280" i="2" s="1"/>
  <c r="AE298" i="2"/>
  <c r="AF298" i="2" s="1"/>
  <c r="AH298" i="2" s="1"/>
  <c r="AJ298" i="2" s="1"/>
  <c r="AE5" i="2"/>
  <c r="AF5" i="2" s="1"/>
  <c r="AE156" i="2"/>
  <c r="AF156" i="2" s="1"/>
  <c r="AE237" i="2"/>
  <c r="AF237" i="2" s="1"/>
  <c r="AE98" i="2"/>
  <c r="AF98" i="2" s="1"/>
  <c r="AH98" i="2" s="1"/>
  <c r="AJ98" i="2" s="1"/>
  <c r="AE141" i="2"/>
  <c r="AF141" i="2" s="1"/>
  <c r="AE55" i="2"/>
  <c r="AF55" i="2" s="1"/>
  <c r="AH55" i="2" s="1"/>
  <c r="AJ55" i="2" s="1"/>
  <c r="AE274" i="2"/>
  <c r="AF274" i="2" s="1"/>
  <c r="AH335" i="2"/>
  <c r="AJ335" i="2" s="1"/>
  <c r="AH27" i="2"/>
  <c r="AH285" i="2"/>
  <c r="AJ285" i="2" s="1"/>
  <c r="AH329" i="2"/>
  <c r="AJ329" i="2" s="1"/>
  <c r="AH11" i="2"/>
  <c r="AJ11" i="2" s="1"/>
  <c r="AH313" i="2"/>
  <c r="AH14" i="2"/>
  <c r="AJ14" i="2" s="1"/>
  <c r="AH137" i="2"/>
  <c r="AJ137" i="2" s="1"/>
  <c r="AH252" i="2"/>
  <c r="AJ252" i="2" s="1"/>
  <c r="AH30" i="2"/>
  <c r="AH92" i="2"/>
  <c r="AJ92" i="2" s="1"/>
  <c r="AH155" i="2"/>
  <c r="AJ155" i="2" s="1"/>
  <c r="AH310" i="2"/>
  <c r="AJ310" i="2" s="1"/>
  <c r="AH19" i="2"/>
  <c r="AH218" i="2"/>
  <c r="AJ218" i="2" s="1"/>
  <c r="AH52" i="2"/>
  <c r="AJ52" i="2" s="1"/>
  <c r="AH201" i="2"/>
  <c r="AJ201" i="2" s="1"/>
  <c r="AH220" i="2"/>
  <c r="AH301" i="2"/>
  <c r="AH84" i="2"/>
  <c r="AJ84" i="2" s="1"/>
  <c r="AH174" i="2"/>
  <c r="AJ174" i="2" s="1"/>
  <c r="AH268" i="2"/>
  <c r="AH287" i="2"/>
  <c r="AH299" i="2"/>
  <c r="AJ299" i="2" s="1"/>
  <c r="AH311" i="2"/>
  <c r="AJ311" i="2" s="1"/>
  <c r="AH122" i="2"/>
  <c r="AH160" i="2"/>
  <c r="AH132" i="2"/>
  <c r="AJ132" i="2" s="1"/>
  <c r="AH61" i="2"/>
  <c r="AJ61" i="2" s="1"/>
  <c r="AH328" i="2"/>
  <c r="AH74" i="2"/>
  <c r="AJ74" i="2" s="1"/>
  <c r="AH284" i="2"/>
  <c r="AJ284" i="2" s="1"/>
  <c r="AH219" i="2"/>
  <c r="AJ219" i="2" s="1"/>
  <c r="AH23" i="2"/>
  <c r="AH256" i="2"/>
  <c r="AJ256" i="2" s="1"/>
  <c r="AH152" i="2"/>
  <c r="AJ152" i="2" s="1"/>
  <c r="AH154" i="2"/>
  <c r="AH43" i="2"/>
  <c r="AH13" i="2"/>
  <c r="AJ13" i="2" s="1"/>
  <c r="AH334" i="2"/>
  <c r="AJ334" i="2" s="1"/>
  <c r="AH251" i="2"/>
  <c r="AH249" i="2"/>
  <c r="AH248" i="2"/>
  <c r="AJ248" i="2" s="1"/>
  <c r="AH10" i="2"/>
  <c r="AJ10" i="2" s="1"/>
  <c r="AH29" i="2"/>
  <c r="AH336" i="2"/>
  <c r="AH135" i="2"/>
  <c r="AH315" i="2"/>
  <c r="AJ315" i="2" s="1"/>
  <c r="AH111" i="2"/>
  <c r="AJ111" i="2" s="1"/>
  <c r="AH127" i="2"/>
  <c r="AH209" i="2"/>
  <c r="AJ209" i="2" s="1"/>
  <c r="AH53" i="2"/>
  <c r="AJ53" i="2" s="1"/>
  <c r="AH267" i="2"/>
  <c r="AJ267" i="2" s="1"/>
  <c r="AH33" i="2"/>
  <c r="AH42" i="2"/>
  <c r="AH112" i="2"/>
  <c r="AJ112" i="2" s="1"/>
  <c r="AH333" i="2"/>
  <c r="AJ333" i="2" s="1"/>
  <c r="AH246" i="2"/>
  <c r="AH271" i="2"/>
  <c r="AH270" i="2"/>
  <c r="AJ270" i="2" s="1"/>
  <c r="AH45" i="2"/>
  <c r="AJ45" i="2" s="1"/>
  <c r="AH202" i="2"/>
  <c r="AH62" i="2"/>
  <c r="AH203" i="2"/>
  <c r="AJ203" i="2" s="1"/>
  <c r="AH260" i="2"/>
  <c r="AJ260" i="2" s="1"/>
  <c r="AH75" i="2"/>
  <c r="AH44" i="2"/>
  <c r="AJ44" i="2" s="1"/>
  <c r="AH341" i="2"/>
  <c r="AJ341" i="2" s="1"/>
  <c r="AH273" i="2"/>
  <c r="AJ273" i="2" s="1"/>
  <c r="AH12" i="2"/>
  <c r="AH330" i="2"/>
  <c r="AJ330" i="2" s="1"/>
  <c r="AH288" i="2"/>
  <c r="AJ288" i="2" s="1"/>
  <c r="AH318" i="2"/>
  <c r="AJ318" i="2" s="1"/>
  <c r="AH104" i="2"/>
  <c r="AH86" i="2"/>
  <c r="AH241" i="2"/>
  <c r="AJ241" i="2" s="1"/>
  <c r="AH41" i="2"/>
  <c r="AJ41" i="2" s="1"/>
  <c r="AH223" i="2"/>
  <c r="AH85" i="2"/>
  <c r="AH113" i="2"/>
  <c r="AJ113" i="2" s="1"/>
  <c r="AH129" i="2"/>
  <c r="AJ129" i="2" s="1"/>
  <c r="AH40" i="2"/>
  <c r="AH39" i="2"/>
  <c r="AJ39" i="2" s="1"/>
  <c r="AH243" i="2"/>
  <c r="AJ243" i="2" s="1"/>
  <c r="AH34" i="2"/>
  <c r="AJ34" i="2" s="1"/>
  <c r="AH320" i="2"/>
  <c r="AH138" i="2"/>
  <c r="AJ138" i="2" s="1"/>
  <c r="AH167" i="2"/>
  <c r="AJ167" i="2" s="1"/>
  <c r="AH226" i="2"/>
  <c r="AJ226" i="2" s="1"/>
  <c r="AH82" i="2"/>
  <c r="AH319" i="2"/>
  <c r="AJ319" i="2" s="1"/>
  <c r="AH147" i="2"/>
  <c r="AJ147" i="2" s="1"/>
  <c r="AH8" i="2"/>
  <c r="AJ8" i="2" s="1"/>
  <c r="AH128" i="2"/>
  <c r="AH317" i="2"/>
  <c r="AH225" i="2"/>
  <c r="AJ225" i="2" s="1"/>
  <c r="AH32" i="2"/>
  <c r="AJ32" i="2" s="1"/>
  <c r="AH262" i="2"/>
  <c r="AH277" i="2"/>
  <c r="AJ277" i="2" s="1"/>
  <c r="AH242" i="2"/>
  <c r="AJ242" i="2" s="1"/>
  <c r="AH325" i="2"/>
  <c r="AJ325" i="2" s="1"/>
  <c r="AH253" i="2"/>
  <c r="AH332" i="2"/>
  <c r="AJ332" i="2" s="1"/>
  <c r="AH72" i="2"/>
  <c r="AJ72" i="2" s="1"/>
  <c r="AH276" i="2"/>
  <c r="AJ276" i="2" s="1"/>
  <c r="AH79" i="2"/>
  <c r="AH103" i="2"/>
  <c r="AJ103" i="2" s="1"/>
  <c r="AH125" i="2"/>
  <c r="AJ125" i="2" s="1"/>
  <c r="AH6" i="2"/>
  <c r="AH297" i="2"/>
  <c r="AH231" i="2"/>
  <c r="AJ231" i="2" s="1"/>
  <c r="AH185" i="2"/>
  <c r="AJ185" i="2" s="1"/>
  <c r="AH65" i="2"/>
  <c r="AJ65" i="2" s="1"/>
  <c r="AH126" i="2"/>
  <c r="AH193" i="2"/>
  <c r="AJ193" i="2" s="1"/>
  <c r="AH232" i="2"/>
  <c r="AJ232" i="2" s="1"/>
  <c r="AH50" i="2"/>
  <c r="AJ50" i="2" s="1"/>
  <c r="AH89" i="2"/>
  <c r="AH173" i="2"/>
  <c r="AJ173" i="2" s="1"/>
  <c r="AH194" i="2"/>
  <c r="AJ194" i="2" s="1"/>
  <c r="AH294" i="2"/>
  <c r="AH233" i="2"/>
  <c r="AH25" i="2"/>
  <c r="AJ25" i="2" s="1"/>
  <c r="AH195" i="2"/>
  <c r="AJ195" i="2" s="1"/>
  <c r="AH250" i="2"/>
  <c r="AJ250" i="2" s="1"/>
  <c r="AH24" i="2"/>
  <c r="AH115" i="2"/>
  <c r="AJ115" i="2" s="1"/>
  <c r="AH66" i="2"/>
  <c r="AJ66" i="2" s="1"/>
  <c r="AH116" i="2"/>
  <c r="AJ116" i="2" s="1"/>
  <c r="AH67" i="2"/>
  <c r="AH296" i="2"/>
  <c r="AJ296" i="2" s="1"/>
  <c r="AH163" i="2"/>
  <c r="AJ163" i="2" s="1"/>
  <c r="AH51" i="2"/>
  <c r="AJ51" i="2" s="1"/>
  <c r="AH293" i="2"/>
  <c r="AH49" i="2"/>
  <c r="AJ49" i="2" s="1"/>
  <c r="AH275" i="2"/>
  <c r="AJ275" i="2" s="1"/>
  <c r="AH306" i="2"/>
  <c r="AJ306" i="2" s="1"/>
  <c r="AH272" i="2"/>
  <c r="AH215" i="2"/>
  <c r="AJ215" i="2" s="1"/>
  <c r="AH80" i="2"/>
  <c r="AJ80" i="2" s="1"/>
  <c r="AH314" i="2"/>
  <c r="AJ314" i="2" s="1"/>
  <c r="AH211" i="2"/>
  <c r="AH217" i="2"/>
  <c r="AJ217" i="2" s="1"/>
  <c r="AH142" i="2"/>
  <c r="AJ142" i="2" s="1"/>
  <c r="AH170" i="2"/>
  <c r="AH168" i="2"/>
  <c r="AH28" i="2"/>
  <c r="AJ28" i="2" s="1"/>
  <c r="AH281" i="2"/>
  <c r="AJ281" i="2" s="1"/>
  <c r="AH307" i="2"/>
  <c r="AJ307" i="2" s="1"/>
  <c r="AH321" i="2"/>
  <c r="AH264" i="2"/>
  <c r="AJ264" i="2" s="1"/>
  <c r="AH76" i="2"/>
  <c r="AJ76" i="2" s="1"/>
  <c r="AH200" i="2"/>
  <c r="AJ200" i="2" s="1"/>
  <c r="AH58" i="2"/>
  <c r="AH227" i="2"/>
  <c r="AJ227" i="2" s="1"/>
  <c r="AH63" i="2"/>
  <c r="AJ63" i="2" s="1"/>
  <c r="AH64" i="2"/>
  <c r="AJ64" i="2" s="1"/>
  <c r="AH188" i="2"/>
  <c r="AH216" i="2"/>
  <c r="AJ216" i="2" s="1"/>
  <c r="AH148" i="2"/>
  <c r="AJ148" i="2" s="1"/>
  <c r="AH21" i="2"/>
  <c r="AJ21" i="2" s="1"/>
  <c r="AH265" i="2"/>
  <c r="AH169" i="2"/>
  <c r="AJ169" i="2" s="1"/>
  <c r="AH88" i="2"/>
  <c r="AJ88" i="2" s="1"/>
  <c r="AH105" i="2"/>
  <c r="AJ105" i="2" s="1"/>
  <c r="AH303" i="2"/>
  <c r="AH120" i="2"/>
  <c r="AJ120" i="2" s="1"/>
  <c r="AH323" i="2"/>
  <c r="AJ323" i="2" s="1"/>
  <c r="AH289" i="2"/>
  <c r="AJ289" i="2" s="1"/>
  <c r="AH108" i="2"/>
  <c r="AH176" i="2"/>
  <c r="AJ176" i="2" s="1"/>
  <c r="AH149" i="2"/>
  <c r="AJ149" i="2" s="1"/>
  <c r="AH221" i="2"/>
  <c r="AJ221" i="2" s="1"/>
  <c r="AH178" i="2"/>
  <c r="AH198" i="2"/>
  <c r="AJ198" i="2" s="1"/>
  <c r="AH109" i="2"/>
  <c r="AJ109" i="2" s="1"/>
  <c r="AH177" i="2"/>
  <c r="AJ177" i="2" s="1"/>
  <c r="AH91" i="2"/>
  <c r="AH259" i="2"/>
  <c r="AJ259" i="2" s="1"/>
  <c r="AH180" i="2"/>
  <c r="AJ180" i="2" s="1"/>
  <c r="AH134" i="2"/>
  <c r="AJ134" i="2" s="1"/>
  <c r="AH110" i="2"/>
  <c r="AH187" i="2"/>
  <c r="AJ187" i="2" s="1"/>
  <c r="AH312" i="2"/>
  <c r="AJ312" i="2" s="1"/>
  <c r="AH48" i="2"/>
  <c r="AJ48" i="2" s="1"/>
  <c r="AH331" i="2"/>
  <c r="AH159" i="2"/>
  <c r="AJ159" i="2" s="1"/>
  <c r="AH179" i="2"/>
  <c r="AJ179" i="2" s="1"/>
  <c r="AH158" i="2"/>
  <c r="AJ158" i="2" s="1"/>
  <c r="AH93" i="2"/>
  <c r="AH90" i="2"/>
  <c r="AJ90" i="2" s="1"/>
  <c r="AH157" i="2"/>
  <c r="AJ157" i="2" s="1"/>
  <c r="AH96" i="2"/>
  <c r="AJ96" i="2" s="1"/>
  <c r="AH97" i="2"/>
  <c r="AH150" i="2"/>
  <c r="AJ150" i="2" s="1"/>
  <c r="AH57" i="2"/>
  <c r="AJ57" i="2" s="1"/>
  <c r="AH70" i="2"/>
  <c r="AJ70" i="2" s="1"/>
  <c r="AH81" i="2"/>
  <c r="AH38" i="2"/>
  <c r="AJ38" i="2" s="1"/>
  <c r="AH183" i="2"/>
  <c r="AJ183" i="2" s="1"/>
  <c r="AH4" i="2"/>
  <c r="AJ4" i="2" s="1"/>
  <c r="AH130" i="2"/>
  <c r="AH140" i="2"/>
  <c r="AH9" i="2"/>
  <c r="AJ9" i="2" s="1"/>
  <c r="AH26" i="2"/>
  <c r="AJ26" i="2" s="1"/>
  <c r="AH131" i="2"/>
  <c r="AH338" i="2"/>
  <c r="AH184" i="2"/>
  <c r="AJ184" i="2" s="1"/>
  <c r="AH133" i="2"/>
  <c r="AJ133" i="2" s="1"/>
  <c r="AH100" i="2"/>
  <c r="AH87" i="2"/>
  <c r="AJ87" i="2" s="1"/>
  <c r="AH229" i="2"/>
  <c r="AJ229" i="2" s="1"/>
  <c r="AH101" i="2"/>
  <c r="AJ101" i="2" s="1"/>
  <c r="AH199" i="2"/>
  <c r="AH54" i="2"/>
  <c r="AJ54" i="2" s="1"/>
  <c r="AH308" i="2"/>
  <c r="AJ308" i="2" s="1"/>
  <c r="AH240" i="2"/>
  <c r="AJ240" i="2" s="1"/>
  <c r="AH95" i="2"/>
  <c r="AH261" i="2"/>
  <c r="AJ261" i="2" s="1"/>
  <c r="AH255" i="2"/>
  <c r="AJ255" i="2" s="1"/>
  <c r="AH36" i="2"/>
  <c r="AH102" i="2"/>
  <c r="AJ102" i="2" s="1"/>
  <c r="AH99" i="2"/>
  <c r="AJ99" i="2" s="1"/>
  <c r="AH2" i="2"/>
  <c r="AJ2" i="2" s="1"/>
  <c r="AH3" i="2"/>
  <c r="AJ3" i="2" s="1"/>
  <c r="AH114" i="2"/>
  <c r="AH106" i="2"/>
  <c r="AJ106" i="2" s="1"/>
  <c r="AH136" i="2"/>
  <c r="AJ136" i="2" s="1"/>
  <c r="AH222" i="2"/>
  <c r="AJ222" i="2" s="1"/>
  <c r="AH337" i="2"/>
  <c r="AJ337" i="2" s="1"/>
  <c r="AH37" i="2"/>
  <c r="AJ37" i="2" s="1"/>
  <c r="AH291" i="2"/>
  <c r="AJ291" i="2" s="1"/>
  <c r="AH340" i="2"/>
  <c r="AJ340" i="2" s="1"/>
  <c r="AH214" i="2"/>
  <c r="AJ214" i="2" s="1"/>
  <c r="AH161" i="2"/>
  <c r="AH172" i="2"/>
  <c r="AJ172" i="2" s="1"/>
  <c r="AH162" i="2"/>
  <c r="AJ162" i="2" s="1"/>
  <c r="AH171" i="2"/>
  <c r="AJ171" i="2" s="1"/>
  <c r="AH143" i="2"/>
  <c r="AJ143" i="2" s="1"/>
  <c r="AH309" i="2"/>
  <c r="AJ309" i="2" s="1"/>
  <c r="AH263" i="2"/>
  <c r="AJ263" i="2" s="1"/>
  <c r="AH153" i="2"/>
  <c r="AJ153" i="2" s="1"/>
  <c r="AH60" i="2"/>
  <c r="AJ60" i="2" s="1"/>
  <c r="AH189" i="2"/>
  <c r="AJ189" i="2" s="1"/>
  <c r="AH212" i="2"/>
  <c r="AJ212" i="2" s="1"/>
  <c r="AH18" i="2"/>
  <c r="AH118" i="2"/>
  <c r="AJ118" i="2" s="1"/>
  <c r="AH35" i="2"/>
  <c r="AJ35" i="2" s="1"/>
  <c r="AH196" i="2"/>
  <c r="AJ196" i="2" s="1"/>
  <c r="AH15" i="2"/>
  <c r="AH197" i="2"/>
  <c r="AJ197" i="2" s="1"/>
  <c r="AH144" i="2"/>
  <c r="AJ144" i="2" s="1"/>
  <c r="AH146" i="2"/>
  <c r="AJ146" i="2" s="1"/>
  <c r="AH164" i="2"/>
  <c r="AJ164" i="2" s="1"/>
  <c r="AH254" i="2"/>
  <c r="AJ254" i="2" s="1"/>
  <c r="AH245" i="2"/>
  <c r="AJ245" i="2" s="1"/>
  <c r="AH224" i="2"/>
  <c r="AJ224" i="2" s="1"/>
  <c r="AH123" i="2"/>
  <c r="AH119" i="2"/>
  <c r="AJ119" i="2" s="1"/>
  <c r="AH56" i="2"/>
  <c r="AJ56" i="2" s="1"/>
  <c r="AH236" i="2"/>
  <c r="AJ236" i="2" s="1"/>
  <c r="AH290" i="2"/>
  <c r="AJ290" i="2" s="1"/>
  <c r="AH300" i="2"/>
  <c r="AJ300" i="2" s="1"/>
  <c r="AH322" i="2"/>
  <c r="AJ322" i="2" s="1"/>
  <c r="AH69" i="2"/>
  <c r="AJ69" i="2" s="1"/>
  <c r="AH124" i="2"/>
  <c r="AJ124" i="2" s="1"/>
  <c r="AH210" i="2"/>
  <c r="AJ210" i="2" s="1"/>
  <c r="AH186" i="2"/>
  <c r="AJ186" i="2" s="1"/>
  <c r="AH286" i="2"/>
  <c r="AJ286" i="2" s="1"/>
  <c r="AH117" i="2"/>
  <c r="AJ117" i="2" s="1"/>
  <c r="AH151" i="2"/>
  <c r="AJ151" i="2" s="1"/>
  <c r="AH327" i="2"/>
  <c r="AJ327" i="2" s="1"/>
  <c r="AH156" i="2"/>
  <c r="AJ156" i="2" s="1"/>
  <c r="AH46" i="2"/>
  <c r="AJ46" i="2" s="1"/>
  <c r="AH326" i="2"/>
  <c r="AJ326" i="2" s="1"/>
  <c r="AH213" i="2"/>
  <c r="AJ213" i="2" s="1"/>
  <c r="AH5" i="2"/>
  <c r="AJ5" i="2" s="1"/>
  <c r="AH295" i="2"/>
  <c r="AJ295" i="2" s="1"/>
  <c r="AH182" i="2"/>
  <c r="AJ182" i="2" s="1"/>
  <c r="AH258" i="2"/>
  <c r="AJ258" i="2" s="1"/>
  <c r="AH207" i="2"/>
  <c r="AJ207" i="2" s="1"/>
  <c r="AH206" i="2"/>
  <c r="AJ206" i="2" s="1"/>
  <c r="AH22" i="2"/>
  <c r="AJ22" i="2" s="1"/>
  <c r="AH73" i="2"/>
  <c r="AJ73" i="2" s="1"/>
  <c r="AH244" i="2"/>
  <c r="AJ244" i="2" s="1"/>
  <c r="AH190" i="2"/>
  <c r="AJ190" i="2" s="1"/>
  <c r="AH83" i="2"/>
  <c r="AJ83" i="2" s="1"/>
  <c r="AH302" i="2"/>
  <c r="AJ302" i="2" s="1"/>
  <c r="AH192" i="2"/>
  <c r="AJ192" i="2" s="1"/>
  <c r="AH235" i="2"/>
  <c r="AJ235" i="2" s="1"/>
  <c r="AH279" i="2"/>
  <c r="AJ279" i="2" s="1"/>
  <c r="AH234" i="2"/>
  <c r="AJ234" i="2" s="1"/>
  <c r="AH238" i="2"/>
  <c r="AJ238" i="2" s="1"/>
  <c r="AH181" i="2"/>
  <c r="AJ181" i="2" s="1"/>
  <c r="AH78" i="2"/>
  <c r="AJ78" i="2" s="1"/>
  <c r="AH239" i="2"/>
  <c r="AJ239" i="2" s="1"/>
  <c r="AH280" i="2"/>
  <c r="AJ280" i="2" s="1"/>
  <c r="AH274" i="2"/>
  <c r="AJ274" i="2" s="1"/>
  <c r="AH237" i="2"/>
  <c r="AJ237" i="2" s="1"/>
  <c r="AH141" i="2"/>
  <c r="AJ141" i="2" s="1"/>
  <c r="AJ331" i="2"/>
  <c r="AJ108" i="2"/>
  <c r="AJ110" i="2"/>
  <c r="AJ91" i="2"/>
  <c r="AJ42" i="2"/>
  <c r="AJ43" i="2"/>
  <c r="AJ287" i="2"/>
  <c r="AJ246" i="2"/>
  <c r="AJ135" i="2"/>
  <c r="AJ127" i="2"/>
  <c r="AJ251" i="2"/>
  <c r="AJ160" i="2"/>
  <c r="AJ220" i="2"/>
  <c r="AJ202" i="2"/>
  <c r="AJ271" i="2"/>
  <c r="AJ23" i="2"/>
  <c r="AJ328" i="2"/>
  <c r="AJ268" i="2"/>
  <c r="AJ313" i="2"/>
  <c r="AJ75" i="2"/>
  <c r="AJ27" i="2"/>
  <c r="AJ12" i="2"/>
  <c r="AJ29" i="2"/>
  <c r="AJ19" i="2"/>
  <c r="AJ154" i="2"/>
  <c r="AJ249" i="2"/>
  <c r="AJ62" i="2"/>
  <c r="AJ33" i="2"/>
  <c r="AJ122" i="2"/>
  <c r="AJ336" i="2"/>
  <c r="AJ30" i="2"/>
  <c r="AJ301" i="2"/>
  <c r="AJ338" i="2"/>
  <c r="AJ130" i="2"/>
  <c r="AJ131" i="2"/>
  <c r="AJ140" i="2"/>
  <c r="AJ100" i="2"/>
  <c r="AJ86" i="2"/>
  <c r="AJ82" i="2"/>
  <c r="AJ104" i="2"/>
  <c r="AJ79" i="2"/>
  <c r="AJ253" i="2"/>
  <c r="AJ128" i="2"/>
  <c r="AJ85" i="2"/>
  <c r="AJ40" i="2"/>
  <c r="AJ317" i="2"/>
  <c r="AJ223" i="2"/>
  <c r="AJ320" i="2"/>
  <c r="AJ262" i="2"/>
  <c r="AJ6" i="2"/>
  <c r="AJ89" i="2"/>
  <c r="AJ126" i="2"/>
  <c r="AJ293" i="2"/>
  <c r="AJ233" i="2"/>
  <c r="AJ297" i="2"/>
  <c r="AJ67" i="2"/>
  <c r="AJ24" i="2"/>
  <c r="AJ294" i="2"/>
  <c r="AJ15" i="2"/>
  <c r="AJ123" i="2"/>
  <c r="AJ272" i="2"/>
  <c r="AJ168" i="2"/>
  <c r="AJ321" i="2"/>
  <c r="AJ58" i="2"/>
  <c r="AJ211" i="2"/>
  <c r="AJ170" i="2"/>
  <c r="AJ188" i="2"/>
  <c r="AJ265" i="2"/>
  <c r="AJ18" i="2"/>
  <c r="AJ114" i="2"/>
  <c r="AJ161" i="2"/>
  <c r="AJ81" i="2"/>
  <c r="AJ97" i="2"/>
  <c r="AJ303" i="2"/>
  <c r="AJ178" i="2"/>
  <c r="AJ94" i="2"/>
  <c r="AJ93" i="2"/>
  <c r="AJ95" i="2"/>
  <c r="AJ199" i="2"/>
  <c r="AJ36" i="2"/>
  <c r="AJ208" i="2"/>
  <c r="AJ266" i="2"/>
  <c r="AJ7" i="2"/>
  <c r="AJ324" i="2"/>
  <c r="AJ305" i="2"/>
  <c r="AJ304" i="2"/>
  <c r="V4" i="1"/>
  <c r="AD4" i="1" s="1"/>
  <c r="A137" i="1"/>
  <c r="A149" i="1" s="1"/>
  <c r="A154" i="1" s="1"/>
  <c r="A160" i="1" s="1"/>
  <c r="A162" i="1" s="1"/>
  <c r="A202" i="1" s="1"/>
  <c r="A226" i="1" s="1"/>
  <c r="A277" i="1" s="1"/>
  <c r="V5" i="1" l="1"/>
  <c r="V6" i="1" s="1"/>
  <c r="AD5" i="1" l="1"/>
  <c r="V7" i="1"/>
  <c r="AD6" i="1"/>
  <c r="V8" i="1" l="1"/>
  <c r="AD7" i="1"/>
  <c r="V9" i="1" l="1"/>
  <c r="AD8" i="1"/>
  <c r="V10" i="1" l="1"/>
  <c r="AD9" i="1"/>
  <c r="V11" i="1" l="1"/>
  <c r="AD10" i="1"/>
  <c r="V12" i="1" l="1"/>
  <c r="AD11" i="1"/>
  <c r="V13" i="1" l="1"/>
  <c r="AD12" i="1"/>
  <c r="V14" i="1" l="1"/>
  <c r="AD13" i="1"/>
  <c r="V15" i="1" l="1"/>
  <c r="AD14" i="1"/>
  <c r="V16" i="1" l="1"/>
  <c r="AD15" i="1"/>
  <c r="V17" i="1" l="1"/>
  <c r="AD16" i="1"/>
  <c r="V18" i="1" l="1"/>
  <c r="AD17" i="1"/>
  <c r="V19" i="1" l="1"/>
  <c r="AD18" i="1"/>
  <c r="V20" i="1" l="1"/>
  <c r="AD19" i="1"/>
  <c r="V21" i="1" l="1"/>
  <c r="AD20" i="1"/>
  <c r="V22" i="1" l="1"/>
  <c r="AD21" i="1"/>
  <c r="V23" i="1" l="1"/>
  <c r="AD22" i="1"/>
  <c r="V24" i="1" l="1"/>
  <c r="AD23" i="1"/>
  <c r="V25" i="1" l="1"/>
  <c r="AD24" i="1"/>
  <c r="V26" i="1" l="1"/>
  <c r="AD25" i="1"/>
  <c r="V27" i="1" l="1"/>
  <c r="AD26" i="1"/>
  <c r="V28" i="1" l="1"/>
  <c r="AD27" i="1"/>
  <c r="V29" i="1" l="1"/>
  <c r="AD28" i="1"/>
  <c r="V30" i="1" l="1"/>
  <c r="AD29" i="1"/>
  <c r="V31" i="1" l="1"/>
  <c r="AD30" i="1"/>
  <c r="V32" i="1" l="1"/>
  <c r="AD31" i="1"/>
  <c r="V33" i="1" l="1"/>
  <c r="AD32" i="1"/>
  <c r="V34" i="1" l="1"/>
  <c r="AD33" i="1"/>
  <c r="V35" i="1" l="1"/>
  <c r="AD34" i="1"/>
  <c r="AE34" i="1"/>
  <c r="AF34" i="1" s="1"/>
  <c r="AH34" i="1" s="1"/>
  <c r="AJ34" i="1" l="1"/>
  <c r="AP34" i="1"/>
  <c r="V36" i="1"/>
  <c r="AD35" i="1"/>
  <c r="AD36" i="1" l="1"/>
  <c r="V37" i="1"/>
  <c r="V38" i="1" l="1"/>
  <c r="AD37" i="1"/>
  <c r="V39" i="1" l="1"/>
  <c r="AE38" i="1"/>
  <c r="AF38" i="1" s="1"/>
  <c r="AH38" i="1" s="1"/>
  <c r="AD38" i="1"/>
  <c r="AJ38" i="1" l="1"/>
  <c r="AP38" i="1"/>
  <c r="V40" i="1"/>
  <c r="AD39" i="1"/>
  <c r="V41" i="1" l="1"/>
  <c r="AD40" i="1"/>
  <c r="V42" i="1" l="1"/>
  <c r="AD41" i="1"/>
  <c r="V43" i="1" l="1"/>
  <c r="AD42" i="1"/>
  <c r="V44" i="1" l="1"/>
  <c r="AD43" i="1"/>
  <c r="V45" i="1" l="1"/>
  <c r="AD44" i="1"/>
  <c r="V46" i="1" l="1"/>
  <c r="AD45" i="1"/>
  <c r="V47" i="1" l="1"/>
  <c r="AD46" i="1"/>
  <c r="V48" i="1" l="1"/>
  <c r="AD47" i="1"/>
  <c r="V49" i="1" l="1"/>
  <c r="AD48" i="1"/>
  <c r="V50" i="1" l="1"/>
  <c r="AD49" i="1"/>
  <c r="V51" i="1" l="1"/>
  <c r="AD50" i="1"/>
  <c r="V52" i="1" l="1"/>
  <c r="AD51" i="1"/>
  <c r="V53" i="1" l="1"/>
  <c r="AD52" i="1"/>
  <c r="V54" i="1" l="1"/>
  <c r="AD53" i="1"/>
  <c r="V55" i="1" l="1"/>
  <c r="AD54" i="1"/>
  <c r="V56" i="1" l="1"/>
  <c r="AD55" i="1"/>
  <c r="V57" i="1" l="1"/>
  <c r="AD56" i="1"/>
  <c r="V58" i="1" l="1"/>
  <c r="AD57" i="1"/>
  <c r="V59" i="1" l="1"/>
  <c r="AD58" i="1"/>
  <c r="V60" i="1" l="1"/>
  <c r="AD59" i="1"/>
  <c r="V61" i="1" l="1"/>
  <c r="AD60" i="1"/>
  <c r="V62" i="1" l="1"/>
  <c r="AD61" i="1"/>
  <c r="V63" i="1" l="1"/>
  <c r="AD62" i="1"/>
  <c r="V64" i="1" l="1"/>
  <c r="AD63" i="1"/>
  <c r="V65" i="1" l="1"/>
  <c r="AD64" i="1"/>
  <c r="V66" i="1" l="1"/>
  <c r="AD65" i="1"/>
  <c r="V67" i="1" l="1"/>
  <c r="AD66" i="1"/>
  <c r="V68" i="1" l="1"/>
  <c r="AD67" i="1"/>
  <c r="V69" i="1" l="1"/>
  <c r="AD68" i="1"/>
  <c r="V70" i="1" l="1"/>
  <c r="AD69" i="1"/>
  <c r="V71" i="1" l="1"/>
  <c r="AD70" i="1"/>
  <c r="V72" i="1" l="1"/>
  <c r="AD71" i="1"/>
  <c r="V73" i="1" l="1"/>
  <c r="AD72" i="1"/>
  <c r="V74" i="1" l="1"/>
  <c r="AD73" i="1"/>
  <c r="V75" i="1" l="1"/>
  <c r="AD74" i="1"/>
  <c r="V76" i="1" l="1"/>
  <c r="AD75" i="1"/>
  <c r="V77" i="1" l="1"/>
  <c r="AD76" i="1"/>
  <c r="V78" i="1" l="1"/>
  <c r="AD77" i="1"/>
  <c r="V79" i="1" l="1"/>
  <c r="AD78" i="1"/>
  <c r="V80" i="1" l="1"/>
  <c r="AD79" i="1"/>
  <c r="V81" i="1" l="1"/>
  <c r="AD80" i="1"/>
  <c r="V82" i="1" l="1"/>
  <c r="AD81" i="1"/>
  <c r="V83" i="1" l="1"/>
  <c r="AD82" i="1"/>
  <c r="V84" i="1" l="1"/>
  <c r="AD83" i="1"/>
  <c r="AD84" i="1" l="1"/>
  <c r="V85" i="1"/>
  <c r="V86" i="1" l="1"/>
  <c r="AD85" i="1"/>
  <c r="V87" i="1" l="1"/>
  <c r="AD86" i="1"/>
  <c r="V88" i="1" l="1"/>
  <c r="AD87" i="1"/>
  <c r="AD88" i="1" l="1"/>
  <c r="V89" i="1"/>
  <c r="V90" i="1" l="1"/>
  <c r="AD89" i="1"/>
  <c r="V91" i="1" l="1"/>
  <c r="AD90" i="1"/>
  <c r="V92" i="1" l="1"/>
  <c r="AD91" i="1"/>
  <c r="AD92" i="1" l="1"/>
  <c r="V93" i="1"/>
  <c r="V94" i="1" l="1"/>
  <c r="AD93" i="1"/>
  <c r="V95" i="1" l="1"/>
  <c r="AD94" i="1"/>
  <c r="V96" i="1" l="1"/>
  <c r="AD95" i="1"/>
  <c r="V97" i="1" l="1"/>
  <c r="AD96" i="1"/>
  <c r="V98" i="1" l="1"/>
  <c r="AD97" i="1"/>
  <c r="V99" i="1" l="1"/>
  <c r="AD98" i="1"/>
  <c r="V100" i="1" l="1"/>
  <c r="AD99" i="1"/>
  <c r="V101" i="1" l="1"/>
  <c r="AD100" i="1"/>
  <c r="V102" i="1" l="1"/>
  <c r="AD101" i="1"/>
  <c r="V103" i="1" l="1"/>
  <c r="AD102" i="1"/>
  <c r="V104" i="1" l="1"/>
  <c r="AD103" i="1"/>
  <c r="V105" i="1" l="1"/>
  <c r="AD104" i="1"/>
  <c r="V106" i="1" l="1"/>
  <c r="AD105" i="1"/>
  <c r="V107" i="1" l="1"/>
  <c r="AD106" i="1"/>
  <c r="V108" i="1" l="1"/>
  <c r="AD107" i="1"/>
  <c r="V109" i="1" l="1"/>
  <c r="AD108" i="1"/>
  <c r="V110" i="1" l="1"/>
  <c r="AD109" i="1"/>
  <c r="V111" i="1" l="1"/>
  <c r="AD110" i="1"/>
  <c r="V112" i="1" l="1"/>
  <c r="AD111" i="1"/>
  <c r="V113" i="1" l="1"/>
  <c r="AD112" i="1"/>
  <c r="V114" i="1" l="1"/>
  <c r="AD113" i="1"/>
  <c r="V115" i="1" l="1"/>
  <c r="AD114" i="1"/>
  <c r="V116" i="1" l="1"/>
  <c r="AD115" i="1"/>
  <c r="V117" i="1" l="1"/>
  <c r="AD116" i="1"/>
  <c r="V118" i="1" l="1"/>
  <c r="AD117" i="1"/>
  <c r="V119" i="1" l="1"/>
  <c r="AD118" i="1"/>
  <c r="V120" i="1" l="1"/>
  <c r="AD119" i="1"/>
  <c r="V121" i="1" l="1"/>
  <c r="AD120" i="1"/>
  <c r="V122" i="1" l="1"/>
  <c r="AD121" i="1"/>
  <c r="V123" i="1" l="1"/>
  <c r="AD122" i="1"/>
  <c r="V124" i="1" l="1"/>
  <c r="AD123" i="1"/>
  <c r="V125" i="1" l="1"/>
  <c r="AD124" i="1"/>
  <c r="V126" i="1" l="1"/>
  <c r="AD125" i="1"/>
  <c r="V127" i="1" l="1"/>
  <c r="AD126" i="1"/>
  <c r="V128" i="1" l="1"/>
  <c r="AD127" i="1"/>
  <c r="V129" i="1" l="1"/>
  <c r="AD128" i="1"/>
  <c r="V130" i="1" l="1"/>
  <c r="AD129" i="1"/>
  <c r="V131" i="1" l="1"/>
  <c r="AD130" i="1"/>
  <c r="V132" i="1" l="1"/>
  <c r="AD131" i="1"/>
  <c r="V133" i="1" l="1"/>
  <c r="AD132" i="1"/>
  <c r="V134" i="1" l="1"/>
  <c r="AD133" i="1"/>
  <c r="V135" i="1" l="1"/>
  <c r="AE134" i="1"/>
  <c r="AF134" i="1" s="1"/>
  <c r="AH134" i="1" s="1"/>
  <c r="AD134" i="1"/>
  <c r="AJ134" i="1" l="1"/>
  <c r="AP134" i="1"/>
  <c r="V136" i="1"/>
  <c r="AD135" i="1"/>
  <c r="V137" i="1" l="1"/>
  <c r="AD136" i="1"/>
  <c r="V138" i="1" l="1"/>
  <c r="AD137" i="1"/>
  <c r="V139" i="1" l="1"/>
  <c r="AD138" i="1"/>
  <c r="V140" i="1" l="1"/>
  <c r="AD139" i="1"/>
  <c r="AD140" i="1" l="1"/>
  <c r="V141" i="1"/>
  <c r="AE51" i="1"/>
  <c r="AF51" i="1" s="1"/>
  <c r="AH51" i="1" s="1"/>
  <c r="AE140" i="1"/>
  <c r="AF140" i="1" s="1"/>
  <c r="AH140" i="1" s="1"/>
  <c r="AJ140" i="1" l="1"/>
  <c r="AP140" i="1"/>
  <c r="AJ51" i="1"/>
  <c r="AP51" i="1"/>
  <c r="V142" i="1"/>
  <c r="AD141" i="1"/>
  <c r="V143" i="1" l="1"/>
  <c r="AD142" i="1"/>
  <c r="V144" i="1" l="1"/>
  <c r="AD143" i="1"/>
  <c r="V145" i="1" l="1"/>
  <c r="AD144" i="1"/>
  <c r="V146" i="1" l="1"/>
  <c r="AD145" i="1"/>
  <c r="V147" i="1" l="1"/>
  <c r="AE147" i="1"/>
  <c r="AF147" i="1" s="1"/>
  <c r="AH147" i="1" s="1"/>
  <c r="AE146" i="1"/>
  <c r="AF146" i="1" s="1"/>
  <c r="AH146" i="1" s="1"/>
  <c r="AD146" i="1"/>
  <c r="AJ146" i="1" l="1"/>
  <c r="AP146" i="1"/>
  <c r="AJ147" i="1"/>
  <c r="AP147" i="1"/>
  <c r="V148" i="1"/>
  <c r="AD147" i="1"/>
  <c r="V149" i="1" l="1"/>
  <c r="AD148" i="1"/>
  <c r="V150" i="1" l="1"/>
  <c r="AD149" i="1"/>
  <c r="V151" i="1" l="1"/>
  <c r="AD150" i="1"/>
  <c r="V152" i="1" l="1"/>
  <c r="AD151" i="1"/>
  <c r="V153" i="1" l="1"/>
  <c r="AD152" i="1"/>
  <c r="V154" i="1" l="1"/>
  <c r="AD153" i="1"/>
  <c r="AE153" i="1"/>
  <c r="AF153" i="1" s="1"/>
  <c r="AH153" i="1" s="1"/>
  <c r="AE132" i="1"/>
  <c r="AF132" i="1" s="1"/>
  <c r="AH132" i="1" s="1"/>
  <c r="AE81" i="1"/>
  <c r="AF81" i="1" s="1"/>
  <c r="AH81" i="1" s="1"/>
  <c r="AJ132" i="1" l="1"/>
  <c r="AP132" i="1"/>
  <c r="AJ153" i="1"/>
  <c r="AP153" i="1"/>
  <c r="AJ81" i="1"/>
  <c r="AP81" i="1"/>
  <c r="V155" i="1"/>
  <c r="AD154" i="1"/>
  <c r="V156" i="1" l="1"/>
  <c r="AD155" i="1"/>
  <c r="V157" i="1" l="1"/>
  <c r="AD156" i="1"/>
  <c r="V158" i="1" l="1"/>
  <c r="AD157" i="1"/>
  <c r="V159" i="1" l="1"/>
  <c r="AD158" i="1"/>
  <c r="V160" i="1" l="1"/>
  <c r="AD159" i="1"/>
  <c r="V161" i="1" l="1"/>
  <c r="AD160" i="1"/>
  <c r="V162" i="1" l="1"/>
  <c r="AD161" i="1"/>
  <c r="V163" i="1" l="1"/>
  <c r="AD162" i="1"/>
  <c r="V164" i="1" l="1"/>
  <c r="AD163" i="1"/>
  <c r="V165" i="1" l="1"/>
  <c r="AD164" i="1"/>
  <c r="V166" i="1" l="1"/>
  <c r="AD165" i="1"/>
  <c r="V167" i="1" l="1"/>
  <c r="AD166" i="1"/>
  <c r="V168" i="1" l="1"/>
  <c r="AD167" i="1"/>
  <c r="V169" i="1" l="1"/>
  <c r="AD168" i="1"/>
  <c r="V170" i="1" l="1"/>
  <c r="AD169" i="1"/>
  <c r="AE167" i="1"/>
  <c r="AF167" i="1" s="1"/>
  <c r="AH167" i="1" s="1"/>
  <c r="AE169" i="1"/>
  <c r="AF169" i="1" s="1"/>
  <c r="AH169" i="1" s="1"/>
  <c r="AJ167" i="1" l="1"/>
  <c r="AP167" i="1"/>
  <c r="AJ169" i="1"/>
  <c r="AP169" i="1"/>
  <c r="V171" i="1"/>
  <c r="AD170" i="1"/>
  <c r="V172" i="1" l="1"/>
  <c r="AD171" i="1"/>
  <c r="V173" i="1" l="1"/>
  <c r="AD172" i="1"/>
  <c r="V174" i="1" l="1"/>
  <c r="AD173" i="1"/>
  <c r="V175" i="1" l="1"/>
  <c r="AD174" i="1"/>
  <c r="V176" i="1" l="1"/>
  <c r="AD175" i="1"/>
  <c r="AD176" i="1" l="1"/>
  <c r="AE176" i="1"/>
  <c r="AF176" i="1" s="1"/>
  <c r="AH176" i="1" s="1"/>
  <c r="V177" i="1"/>
  <c r="AJ176" i="1" l="1"/>
  <c r="AP176" i="1"/>
  <c r="V178" i="1"/>
  <c r="AD177" i="1"/>
  <c r="V179" i="1" l="1"/>
  <c r="AD178" i="1"/>
  <c r="V180" i="1" l="1"/>
  <c r="AD179" i="1"/>
  <c r="V181" i="1" l="1"/>
  <c r="AD180" i="1"/>
  <c r="V182" i="1" l="1"/>
  <c r="AD181" i="1"/>
  <c r="V183" i="1" l="1"/>
  <c r="AD182" i="1"/>
  <c r="V184" i="1" l="1"/>
  <c r="AD183" i="1"/>
  <c r="V185" i="1" l="1"/>
  <c r="AD184" i="1"/>
  <c r="V186" i="1" l="1"/>
  <c r="AD185" i="1"/>
  <c r="AE185" i="1"/>
  <c r="AF185" i="1" s="1"/>
  <c r="AH185" i="1" s="1"/>
  <c r="AE128" i="1"/>
  <c r="AF128" i="1" s="1"/>
  <c r="AH128" i="1" s="1"/>
  <c r="AJ128" i="1" l="1"/>
  <c r="AP128" i="1"/>
  <c r="AJ185" i="1"/>
  <c r="AP185" i="1"/>
  <c r="V187" i="1"/>
  <c r="AD186" i="1"/>
  <c r="V188" i="1" l="1"/>
  <c r="AD187" i="1"/>
  <c r="V189" i="1" l="1"/>
  <c r="AD188" i="1"/>
  <c r="V190" i="1" l="1"/>
  <c r="AD189" i="1"/>
  <c r="V191" i="1" l="1"/>
  <c r="AD190" i="1"/>
  <c r="V192" i="1" l="1"/>
  <c r="AD191" i="1"/>
  <c r="V193" i="1" l="1"/>
  <c r="AE192" i="1"/>
  <c r="AF192" i="1" s="1"/>
  <c r="AH192" i="1" s="1"/>
  <c r="AD192" i="1"/>
  <c r="AJ192" i="1" l="1"/>
  <c r="AP192" i="1"/>
  <c r="V194" i="1"/>
  <c r="AD193" i="1"/>
  <c r="V195" i="1" l="1"/>
  <c r="AD194" i="1"/>
  <c r="V196" i="1" l="1"/>
  <c r="AD195" i="1"/>
  <c r="AD196" i="1" l="1"/>
  <c r="V197" i="1"/>
  <c r="V198" i="1" l="1"/>
  <c r="AD197" i="1"/>
  <c r="V199" i="1" l="1"/>
  <c r="AD198" i="1"/>
  <c r="V200" i="1" l="1"/>
  <c r="AD199" i="1"/>
  <c r="AE62" i="1"/>
  <c r="AF62" i="1" s="1"/>
  <c r="AH62" i="1" s="1"/>
  <c r="AE199" i="1"/>
  <c r="AF199" i="1" s="1"/>
  <c r="AH199" i="1" s="1"/>
  <c r="AJ199" i="1" l="1"/>
  <c r="AP199" i="1"/>
  <c r="AJ62" i="1"/>
  <c r="AP62" i="1"/>
  <c r="V201" i="1"/>
  <c r="AD200" i="1"/>
  <c r="V202" i="1" l="1"/>
  <c r="AD201" i="1"/>
  <c r="V203" i="1" l="1"/>
  <c r="AD202" i="1"/>
  <c r="V204" i="1" l="1"/>
  <c r="AD203" i="1"/>
  <c r="V205" i="1" l="1"/>
  <c r="AD204" i="1"/>
  <c r="V206" i="1" l="1"/>
  <c r="AD205" i="1"/>
  <c r="AE193" i="1"/>
  <c r="AF193" i="1" s="1"/>
  <c r="AH193" i="1" s="1"/>
  <c r="AE205" i="1"/>
  <c r="AF205" i="1" s="1"/>
  <c r="AH205" i="1" s="1"/>
  <c r="AJ205" i="1" l="1"/>
  <c r="AP205" i="1"/>
  <c r="AJ193" i="1"/>
  <c r="AP193" i="1"/>
  <c r="V207" i="1"/>
  <c r="AD206" i="1"/>
  <c r="V208" i="1" l="1"/>
  <c r="AD207" i="1"/>
  <c r="V209" i="1" l="1"/>
  <c r="AD208" i="1"/>
  <c r="V210" i="1" l="1"/>
  <c r="AD209" i="1"/>
  <c r="V211" i="1" l="1"/>
  <c r="AD210" i="1"/>
  <c r="V212" i="1" l="1"/>
  <c r="AD211" i="1"/>
  <c r="V213" i="1" l="1"/>
  <c r="AD212" i="1"/>
  <c r="V214" i="1" l="1"/>
  <c r="AD213" i="1"/>
  <c r="V215" i="1" l="1"/>
  <c r="AD214" i="1"/>
  <c r="AE198" i="1"/>
  <c r="AF198" i="1" s="1"/>
  <c r="AH198" i="1" s="1"/>
  <c r="AE214" i="1"/>
  <c r="AF214" i="1" s="1"/>
  <c r="AH214" i="1" s="1"/>
  <c r="AJ214" i="1" l="1"/>
  <c r="AP214" i="1"/>
  <c r="AJ198" i="1"/>
  <c r="AP198" i="1"/>
  <c r="V216" i="1"/>
  <c r="AD215" i="1"/>
  <c r="V217" i="1" l="1"/>
  <c r="AD216" i="1"/>
  <c r="V218" i="1" l="1"/>
  <c r="AD217" i="1"/>
  <c r="AE177" i="1"/>
  <c r="AF177" i="1" s="1"/>
  <c r="AH177" i="1" s="1"/>
  <c r="AE217" i="1"/>
  <c r="AF217" i="1" s="1"/>
  <c r="AH217" i="1" s="1"/>
  <c r="AJ217" i="1" l="1"/>
  <c r="AP217" i="1"/>
  <c r="AJ177" i="1"/>
  <c r="AP177" i="1"/>
  <c r="V219" i="1"/>
  <c r="AD218" i="1"/>
  <c r="V220" i="1" l="1"/>
  <c r="AD219" i="1"/>
  <c r="V221" i="1" l="1"/>
  <c r="AD220" i="1"/>
  <c r="V222" i="1" l="1"/>
  <c r="AD221" i="1"/>
  <c r="V223" i="1" l="1"/>
  <c r="AD222" i="1"/>
  <c r="AE218" i="1"/>
  <c r="AF218" i="1" s="1"/>
  <c r="AH218" i="1" s="1"/>
  <c r="AE222" i="1"/>
  <c r="AF222" i="1" s="1"/>
  <c r="AH222" i="1" s="1"/>
  <c r="AE41" i="1"/>
  <c r="AF41" i="1" s="1"/>
  <c r="AH41" i="1" s="1"/>
  <c r="AJ222" i="1" l="1"/>
  <c r="AP222" i="1"/>
  <c r="AJ218" i="1"/>
  <c r="AP218" i="1"/>
  <c r="AJ41" i="1"/>
  <c r="AP41" i="1"/>
  <c r="V224" i="1"/>
  <c r="AD223" i="1"/>
  <c r="V225" i="1" l="1"/>
  <c r="AD224" i="1"/>
  <c r="AE186" i="1"/>
  <c r="AF186" i="1" s="1"/>
  <c r="AH186" i="1" s="1"/>
  <c r="AE224" i="1"/>
  <c r="AF224" i="1" s="1"/>
  <c r="AH224" i="1" s="1"/>
  <c r="AJ224" i="1" l="1"/>
  <c r="AP224" i="1"/>
  <c r="AJ186" i="1"/>
  <c r="AP186" i="1"/>
  <c r="V226" i="1"/>
  <c r="AD225" i="1"/>
  <c r="V227" i="1" l="1"/>
  <c r="AD226" i="1"/>
  <c r="V228" i="1" l="1"/>
  <c r="AD227" i="1"/>
  <c r="V229" i="1" l="1"/>
  <c r="AD228" i="1"/>
  <c r="V230" i="1" l="1"/>
  <c r="AD229" i="1"/>
  <c r="V231" i="1" l="1"/>
  <c r="AD230" i="1"/>
  <c r="V232" i="1" l="1"/>
  <c r="AD231" i="1"/>
  <c r="V233" i="1" l="1"/>
  <c r="AD232" i="1"/>
  <c r="V234" i="1" l="1"/>
  <c r="AD233" i="1"/>
  <c r="V235" i="1" l="1"/>
  <c r="AD234" i="1"/>
  <c r="V236" i="1" l="1"/>
  <c r="AD235" i="1"/>
  <c r="AD236" i="1" l="1"/>
  <c r="V237" i="1"/>
  <c r="V238" i="1" l="1"/>
  <c r="AD237" i="1"/>
  <c r="V239" i="1" l="1"/>
  <c r="AD238" i="1"/>
  <c r="V240" i="1" l="1"/>
  <c r="AD239" i="1"/>
  <c r="AE175" i="1"/>
  <c r="AF175" i="1" s="1"/>
  <c r="AH175" i="1" s="1"/>
  <c r="AE239" i="1"/>
  <c r="AF239" i="1" s="1"/>
  <c r="AH239" i="1" s="1"/>
  <c r="AJ239" i="1" l="1"/>
  <c r="AP239" i="1"/>
  <c r="AJ175" i="1"/>
  <c r="AP175" i="1"/>
  <c r="AD240" i="1"/>
  <c r="V241" i="1"/>
  <c r="V242" i="1" l="1"/>
  <c r="AD241" i="1"/>
  <c r="V243" i="1" l="1"/>
  <c r="AD242" i="1"/>
  <c r="V244" i="1" l="1"/>
  <c r="AD243" i="1"/>
  <c r="AE139" i="1"/>
  <c r="AF139" i="1" s="1"/>
  <c r="AH139" i="1" s="1"/>
  <c r="AE179" i="1"/>
  <c r="AF179" i="1" s="1"/>
  <c r="AH179" i="1" s="1"/>
  <c r="AE243" i="1"/>
  <c r="AF243" i="1" s="1"/>
  <c r="AH243" i="1" s="1"/>
  <c r="AJ179" i="1" l="1"/>
  <c r="AP179" i="1"/>
  <c r="AJ139" i="1"/>
  <c r="AP139" i="1"/>
  <c r="AJ243" i="1"/>
  <c r="AP243" i="1"/>
  <c r="AD244" i="1"/>
  <c r="V245" i="1"/>
  <c r="V246" i="1" l="1"/>
  <c r="AD245" i="1"/>
  <c r="V247" i="1" l="1"/>
  <c r="AD246" i="1"/>
  <c r="V248" i="1" l="1"/>
  <c r="AD247" i="1"/>
  <c r="V249" i="1" l="1"/>
  <c r="AD248" i="1"/>
  <c r="V250" i="1" l="1"/>
  <c r="AD249" i="1"/>
  <c r="V251" i="1" l="1"/>
  <c r="AD250" i="1"/>
  <c r="V252" i="1" l="1"/>
  <c r="AD251" i="1"/>
  <c r="V253" i="1" l="1"/>
  <c r="AD252" i="1"/>
  <c r="V254" i="1" l="1"/>
  <c r="AD253" i="1"/>
  <c r="V255" i="1" l="1"/>
  <c r="AD254" i="1"/>
  <c r="V256" i="1" l="1"/>
  <c r="AD255" i="1"/>
  <c r="V257" i="1" l="1"/>
  <c r="AD256" i="1"/>
  <c r="V258" i="1" l="1"/>
  <c r="AD257" i="1"/>
  <c r="V259" i="1" l="1"/>
  <c r="AD258" i="1"/>
  <c r="V260" i="1" l="1"/>
  <c r="AD259" i="1"/>
  <c r="V261" i="1" l="1"/>
  <c r="AD260" i="1"/>
  <c r="V262" i="1" l="1"/>
  <c r="AD261" i="1"/>
  <c r="V263" i="1" l="1"/>
  <c r="AD262" i="1"/>
  <c r="V264" i="1" l="1"/>
  <c r="AD263" i="1"/>
  <c r="V265" i="1" l="1"/>
  <c r="AD264" i="1"/>
  <c r="V266" i="1" l="1"/>
  <c r="AD265" i="1"/>
  <c r="V267" i="1" l="1"/>
  <c r="AD266" i="1"/>
  <c r="V268" i="1" l="1"/>
  <c r="AD267" i="1"/>
  <c r="V269" i="1" l="1"/>
  <c r="AD268" i="1"/>
  <c r="V270" i="1" l="1"/>
  <c r="AD269" i="1"/>
  <c r="AE135" i="1"/>
  <c r="AF135" i="1" s="1"/>
  <c r="AH135" i="1" s="1"/>
  <c r="AE118" i="1"/>
  <c r="AF118" i="1" s="1"/>
  <c r="AH118" i="1" s="1"/>
  <c r="AE269" i="1"/>
  <c r="AF269" i="1" s="1"/>
  <c r="AH269" i="1" s="1"/>
  <c r="AE69" i="1"/>
  <c r="AF69" i="1" s="1"/>
  <c r="AH69" i="1" s="1"/>
  <c r="AJ118" i="1" l="1"/>
  <c r="AP118" i="1"/>
  <c r="AJ135" i="1"/>
  <c r="AP135" i="1"/>
  <c r="AJ69" i="1"/>
  <c r="AP69" i="1"/>
  <c r="AJ269" i="1"/>
  <c r="AP269" i="1"/>
  <c r="V271" i="1"/>
  <c r="AD270" i="1"/>
  <c r="V272" i="1" l="1"/>
  <c r="AD271" i="1"/>
  <c r="AE272" i="1" l="1"/>
  <c r="AF272" i="1" s="1"/>
  <c r="AH272" i="1" s="1"/>
  <c r="AE273" i="1"/>
  <c r="AF273" i="1" s="1"/>
  <c r="AH273" i="1" s="1"/>
  <c r="AD272" i="1"/>
  <c r="V273" i="1"/>
  <c r="AJ273" i="1" l="1"/>
  <c r="AP273" i="1"/>
  <c r="AJ272" i="1"/>
  <c r="AP272" i="1"/>
  <c r="AD273" i="1"/>
  <c r="V274" i="1"/>
  <c r="V275" i="1" l="1"/>
  <c r="AD274" i="1"/>
  <c r="V276" i="1" l="1"/>
  <c r="AD275" i="1"/>
  <c r="AD276" i="1" l="1"/>
  <c r="V277" i="1"/>
  <c r="AD277" i="1" l="1"/>
  <c r="V278" i="1"/>
  <c r="V279" i="1" l="1"/>
  <c r="AD278" i="1"/>
  <c r="V280" i="1" l="1"/>
  <c r="AD279" i="1"/>
  <c r="AD280" i="1" l="1"/>
  <c r="V281" i="1"/>
  <c r="AE280" i="1"/>
  <c r="AF280" i="1" s="1"/>
  <c r="AH280" i="1" s="1"/>
  <c r="AE159" i="1"/>
  <c r="AF159" i="1" s="1"/>
  <c r="AH159" i="1" s="1"/>
  <c r="AE188" i="1"/>
  <c r="AF188" i="1" s="1"/>
  <c r="AH188" i="1" s="1"/>
  <c r="AJ159" i="1" l="1"/>
  <c r="AP159" i="1"/>
  <c r="AJ280" i="1"/>
  <c r="AP280" i="1"/>
  <c r="AJ188" i="1"/>
  <c r="AP188" i="1"/>
  <c r="V282" i="1"/>
  <c r="AD281" i="1"/>
  <c r="V283" i="1" l="1"/>
  <c r="AD282" i="1"/>
  <c r="AD283" i="1" l="1"/>
  <c r="AE240" i="1"/>
  <c r="AF240" i="1" s="1"/>
  <c r="AH240" i="1" s="1"/>
  <c r="AE10" i="1"/>
  <c r="AF10" i="1" s="1"/>
  <c r="AH10" i="1" s="1"/>
  <c r="AE91" i="1"/>
  <c r="AF91" i="1" s="1"/>
  <c r="AH91" i="1" s="1"/>
  <c r="AE200" i="1"/>
  <c r="AF200" i="1" s="1"/>
  <c r="AH200" i="1" s="1"/>
  <c r="AE12" i="1"/>
  <c r="AF12" i="1" s="1"/>
  <c r="AH12" i="1" s="1"/>
  <c r="AE256" i="1"/>
  <c r="AF256" i="1" s="1"/>
  <c r="AH256" i="1" s="1"/>
  <c r="AE206" i="1"/>
  <c r="AF206" i="1" s="1"/>
  <c r="AH206" i="1" s="1"/>
  <c r="AE129" i="1"/>
  <c r="AF129" i="1" s="1"/>
  <c r="AH129" i="1" s="1"/>
  <c r="AE7" i="1"/>
  <c r="AF7" i="1" s="1"/>
  <c r="AH7" i="1" s="1"/>
  <c r="AE36" i="1"/>
  <c r="AF36" i="1" s="1"/>
  <c r="AH36" i="1" s="1"/>
  <c r="AE253" i="1"/>
  <c r="AF253" i="1" s="1"/>
  <c r="AH253" i="1" s="1"/>
  <c r="AE105" i="1"/>
  <c r="AF105" i="1" s="1"/>
  <c r="AH105" i="1" s="1"/>
  <c r="AE247" i="1"/>
  <c r="AF247" i="1" s="1"/>
  <c r="AH247" i="1" s="1"/>
  <c r="AE24" i="1"/>
  <c r="AF24" i="1" s="1"/>
  <c r="AH24" i="1" s="1"/>
  <c r="AE74" i="1"/>
  <c r="AF74" i="1" s="1"/>
  <c r="AH74" i="1" s="1"/>
  <c r="AE23" i="1"/>
  <c r="AF23" i="1" s="1"/>
  <c r="AH23" i="1" s="1"/>
  <c r="AE90" i="1"/>
  <c r="AF90" i="1" s="1"/>
  <c r="AH90" i="1" s="1"/>
  <c r="AE85" i="1"/>
  <c r="AF85" i="1" s="1"/>
  <c r="AH85" i="1" s="1"/>
  <c r="AE227" i="1"/>
  <c r="AF227" i="1" s="1"/>
  <c r="AH227" i="1" s="1"/>
  <c r="AE210" i="1"/>
  <c r="AF210" i="1" s="1"/>
  <c r="AH210" i="1" s="1"/>
  <c r="AE14" i="1"/>
  <c r="AF14" i="1" s="1"/>
  <c r="AH14" i="1" s="1"/>
  <c r="AE248" i="1"/>
  <c r="AF248" i="1" s="1"/>
  <c r="AH248" i="1" s="1"/>
  <c r="AE44" i="1"/>
  <c r="AF44" i="1" s="1"/>
  <c r="AH44" i="1" s="1"/>
  <c r="AE92" i="1"/>
  <c r="AF92" i="1" s="1"/>
  <c r="AH92" i="1" s="1"/>
  <c r="AE230" i="1"/>
  <c r="AF230" i="1" s="1"/>
  <c r="AH230" i="1" s="1"/>
  <c r="AE220" i="1"/>
  <c r="AF220" i="1" s="1"/>
  <c r="AH220" i="1" s="1"/>
  <c r="AE249" i="1"/>
  <c r="AF249" i="1" s="1"/>
  <c r="AH249" i="1" s="1"/>
  <c r="AE252" i="1"/>
  <c r="AF252" i="1" s="1"/>
  <c r="AH252" i="1" s="1"/>
  <c r="AE25" i="1"/>
  <c r="AF25" i="1" s="1"/>
  <c r="AH25" i="1" s="1"/>
  <c r="AE15" i="1"/>
  <c r="AF15" i="1" s="1"/>
  <c r="AH15" i="1" s="1"/>
  <c r="AE99" i="1"/>
  <c r="AF99" i="1" s="1"/>
  <c r="AH99" i="1" s="1"/>
  <c r="AE30" i="1"/>
  <c r="AF30" i="1" s="1"/>
  <c r="AH30" i="1" s="1"/>
  <c r="AE53" i="1"/>
  <c r="AF53" i="1" s="1"/>
  <c r="AH53" i="1" s="1"/>
  <c r="AE21" i="1"/>
  <c r="AF21" i="1" s="1"/>
  <c r="AH21" i="1" s="1"/>
  <c r="AE22" i="1"/>
  <c r="AF22" i="1" s="1"/>
  <c r="AH22" i="1" s="1"/>
  <c r="AE216" i="1"/>
  <c r="AF216" i="1" s="1"/>
  <c r="AH216" i="1" s="1"/>
  <c r="AE5" i="1"/>
  <c r="AF5" i="1" s="1"/>
  <c r="AH5" i="1" s="1"/>
  <c r="AE45" i="1"/>
  <c r="AF45" i="1" s="1"/>
  <c r="AH45" i="1" s="1"/>
  <c r="AE11" i="1"/>
  <c r="AF11" i="1" s="1"/>
  <c r="AH11" i="1" s="1"/>
  <c r="AE104" i="1"/>
  <c r="AF104" i="1" s="1"/>
  <c r="AH104" i="1" s="1"/>
  <c r="AE100" i="1"/>
  <c r="AF100" i="1" s="1"/>
  <c r="AH100" i="1" s="1"/>
  <c r="AE89" i="1"/>
  <c r="AF89" i="1" s="1"/>
  <c r="AH89" i="1" s="1"/>
  <c r="AE95" i="1"/>
  <c r="AF95" i="1" s="1"/>
  <c r="AH95" i="1" s="1"/>
  <c r="AE94" i="1"/>
  <c r="AF94" i="1" s="1"/>
  <c r="AH94" i="1" s="1"/>
  <c r="AE96" i="1"/>
  <c r="AF96" i="1" s="1"/>
  <c r="AH96" i="1" s="1"/>
  <c r="AE228" i="1"/>
  <c r="AF228" i="1" s="1"/>
  <c r="AH228" i="1" s="1"/>
  <c r="AE37" i="1"/>
  <c r="AF37" i="1" s="1"/>
  <c r="AH37" i="1" s="1"/>
  <c r="AE113" i="1"/>
  <c r="AF113" i="1" s="1"/>
  <c r="AH113" i="1" s="1"/>
  <c r="AE251" i="1"/>
  <c r="AF251" i="1" s="1"/>
  <c r="AH251" i="1" s="1"/>
  <c r="AE16" i="1"/>
  <c r="AF16" i="1" s="1"/>
  <c r="AH16" i="1" s="1"/>
  <c r="AE231" i="1"/>
  <c r="AF231" i="1" s="1"/>
  <c r="AH231" i="1" s="1"/>
  <c r="AE101" i="1"/>
  <c r="AF101" i="1" s="1"/>
  <c r="AH101" i="1" s="1"/>
  <c r="AE211" i="1"/>
  <c r="AF211" i="1" s="1"/>
  <c r="AH211" i="1" s="1"/>
  <c r="AE131" i="1"/>
  <c r="AF131" i="1" s="1"/>
  <c r="AH131" i="1" s="1"/>
  <c r="AE28" i="1"/>
  <c r="AF28" i="1" s="1"/>
  <c r="AH28" i="1" s="1"/>
  <c r="AE83" i="1"/>
  <c r="AF83" i="1" s="1"/>
  <c r="AH83" i="1" s="1"/>
  <c r="AE215" i="1"/>
  <c r="AF215" i="1" s="1"/>
  <c r="AH215" i="1" s="1"/>
  <c r="AE208" i="1"/>
  <c r="AF208" i="1" s="1"/>
  <c r="AH208" i="1" s="1"/>
  <c r="AE46" i="1"/>
  <c r="AF46" i="1" s="1"/>
  <c r="AH46" i="1" s="1"/>
  <c r="AE150" i="1"/>
  <c r="AF150" i="1" s="1"/>
  <c r="AH150" i="1" s="1"/>
  <c r="AE229" i="1"/>
  <c r="AF229" i="1" s="1"/>
  <c r="AH229" i="1" s="1"/>
  <c r="AE241" i="1"/>
  <c r="AF241" i="1" s="1"/>
  <c r="AH241" i="1" s="1"/>
  <c r="AE255" i="1"/>
  <c r="AF255" i="1" s="1"/>
  <c r="AH255" i="1" s="1"/>
  <c r="AE52" i="1"/>
  <c r="AF52" i="1" s="1"/>
  <c r="AH52" i="1" s="1"/>
  <c r="AE115" i="1"/>
  <c r="AF115" i="1" s="1"/>
  <c r="AH115" i="1" s="1"/>
  <c r="AE6" i="1"/>
  <c r="AF6" i="1" s="1"/>
  <c r="AH6" i="1" s="1"/>
  <c r="AE8" i="1"/>
  <c r="AF8" i="1" s="1"/>
  <c r="AH8" i="1" s="1"/>
  <c r="AE84" i="1"/>
  <c r="AF84" i="1" s="1"/>
  <c r="AH84" i="1" s="1"/>
  <c r="AE209" i="1"/>
  <c r="AF209" i="1" s="1"/>
  <c r="AH209" i="1" s="1"/>
  <c r="AE232" i="1"/>
  <c r="AF232" i="1" s="1"/>
  <c r="AH232" i="1" s="1"/>
  <c r="AE93" i="1"/>
  <c r="AF93" i="1" s="1"/>
  <c r="AH93" i="1" s="1"/>
  <c r="AE9" i="1"/>
  <c r="AF9" i="1" s="1"/>
  <c r="AH9" i="1" s="1"/>
  <c r="AE42" i="1"/>
  <c r="AF42" i="1" s="1"/>
  <c r="AH42" i="1" s="1"/>
  <c r="AE254" i="1"/>
  <c r="AF254" i="1" s="1"/>
  <c r="AH254" i="1" s="1"/>
  <c r="AE112" i="1"/>
  <c r="AF112" i="1" s="1"/>
  <c r="AH112" i="1" s="1"/>
  <c r="AE111" i="1"/>
  <c r="AF111" i="1" s="1"/>
  <c r="AH111" i="1" s="1"/>
  <c r="AE26" i="1"/>
  <c r="AF26" i="1" s="1"/>
  <c r="AH26" i="1" s="1"/>
  <c r="AE207" i="1"/>
  <c r="AF207" i="1" s="1"/>
  <c r="AH207" i="1" s="1"/>
  <c r="AE130" i="1"/>
  <c r="AF130" i="1" s="1"/>
  <c r="AH130" i="1" s="1"/>
  <c r="AE114" i="1"/>
  <c r="AF114" i="1" s="1"/>
  <c r="AH114" i="1" s="1"/>
  <c r="AE29" i="1"/>
  <c r="AF29" i="1" s="1"/>
  <c r="AH29" i="1" s="1"/>
  <c r="AE168" i="1"/>
  <c r="AF168" i="1" s="1"/>
  <c r="AH168" i="1" s="1"/>
  <c r="AE138" i="1"/>
  <c r="AF138" i="1" s="1"/>
  <c r="AH138" i="1" s="1"/>
  <c r="AE78" i="1"/>
  <c r="AF78" i="1" s="1"/>
  <c r="AH78" i="1" s="1"/>
  <c r="AE17" i="1"/>
  <c r="AF17" i="1" s="1"/>
  <c r="AH17" i="1" s="1"/>
  <c r="AE259" i="1"/>
  <c r="AF259" i="1" s="1"/>
  <c r="AH259" i="1" s="1"/>
  <c r="AE161" i="1"/>
  <c r="AF161" i="1" s="1"/>
  <c r="AH161" i="1" s="1"/>
  <c r="AE221" i="1"/>
  <c r="AF221" i="1" s="1"/>
  <c r="AH221" i="1" s="1"/>
  <c r="AE20" i="1"/>
  <c r="AF20" i="1" s="1"/>
  <c r="AH20" i="1" s="1"/>
  <c r="AE166" i="1"/>
  <c r="AF166" i="1" s="1"/>
  <c r="AH166" i="1" s="1"/>
  <c r="AE60" i="1"/>
  <c r="AF60" i="1" s="1"/>
  <c r="AH60" i="1" s="1"/>
  <c r="AE155" i="1"/>
  <c r="AF155" i="1" s="1"/>
  <c r="AH155" i="1" s="1"/>
  <c r="AE40" i="1"/>
  <c r="AF40" i="1" s="1"/>
  <c r="AH40" i="1" s="1"/>
  <c r="AE158" i="1"/>
  <c r="AF158" i="1" s="1"/>
  <c r="AH158" i="1" s="1"/>
  <c r="AE156" i="1"/>
  <c r="AF156" i="1" s="1"/>
  <c r="AH156" i="1" s="1"/>
  <c r="AE58" i="1"/>
  <c r="AF58" i="1" s="1"/>
  <c r="AH58" i="1" s="1"/>
  <c r="AE271" i="1"/>
  <c r="AF271" i="1" s="1"/>
  <c r="AH271" i="1" s="1"/>
  <c r="AE282" i="1"/>
  <c r="AF282" i="1" s="1"/>
  <c r="AH282" i="1" s="1"/>
  <c r="AE67" i="1"/>
  <c r="AF67" i="1" s="1"/>
  <c r="AH67" i="1" s="1"/>
  <c r="AE68" i="1"/>
  <c r="AF68" i="1" s="1"/>
  <c r="AH68" i="1" s="1"/>
  <c r="AE275" i="1"/>
  <c r="AF275" i="1" s="1"/>
  <c r="AH275" i="1" s="1"/>
  <c r="AE250" i="1"/>
  <c r="AF250" i="1" s="1"/>
  <c r="AH250" i="1" s="1"/>
  <c r="AE281" i="1"/>
  <c r="AF281" i="1" s="1"/>
  <c r="AH281" i="1" s="1"/>
  <c r="AE223" i="1"/>
  <c r="AF223" i="1" s="1"/>
  <c r="AH223" i="1" s="1"/>
  <c r="AE274" i="1"/>
  <c r="AF274" i="1" s="1"/>
  <c r="AH274" i="1" s="1"/>
  <c r="AE71" i="1"/>
  <c r="AF71" i="1" s="1"/>
  <c r="AH71" i="1" s="1"/>
  <c r="AE70" i="1"/>
  <c r="AF70" i="1" s="1"/>
  <c r="AH70" i="1" s="1"/>
  <c r="AE65" i="1"/>
  <c r="AF65" i="1" s="1"/>
  <c r="AH65" i="1" s="1"/>
  <c r="AE72" i="1"/>
  <c r="AF72" i="1" s="1"/>
  <c r="AH72" i="1" s="1"/>
  <c r="AE77" i="1"/>
  <c r="AF77" i="1" s="1"/>
  <c r="AH77" i="1" s="1"/>
  <c r="AE50" i="1"/>
  <c r="AF50" i="1" s="1"/>
  <c r="AH50" i="1" s="1"/>
  <c r="AE270" i="1"/>
  <c r="AF270" i="1" s="1"/>
  <c r="AH270" i="1" s="1"/>
  <c r="AE237" i="1"/>
  <c r="AF237" i="1" s="1"/>
  <c r="AH237" i="1" s="1"/>
  <c r="AE238" i="1"/>
  <c r="AF238" i="1" s="1"/>
  <c r="AH238" i="1" s="1"/>
  <c r="AE66" i="1"/>
  <c r="AF66" i="1" s="1"/>
  <c r="AH66" i="1" s="1"/>
  <c r="AE226" i="1"/>
  <c r="AF226" i="1" s="1"/>
  <c r="AH226" i="1" s="1"/>
  <c r="AE47" i="1"/>
  <c r="AF47" i="1" s="1"/>
  <c r="AH47" i="1" s="1"/>
  <c r="AE162" i="1"/>
  <c r="AF162" i="1" s="1"/>
  <c r="AH162" i="1" s="1"/>
  <c r="AE202" i="1"/>
  <c r="AF202" i="1" s="1"/>
  <c r="AH202" i="1" s="1"/>
  <c r="AE55" i="1"/>
  <c r="AF55" i="1" s="1"/>
  <c r="AH55" i="1" s="1"/>
  <c r="AE154" i="1"/>
  <c r="AF154" i="1" s="1"/>
  <c r="AH154" i="1" s="1"/>
  <c r="AE149" i="1"/>
  <c r="AF149" i="1" s="1"/>
  <c r="AH149" i="1" s="1"/>
  <c r="AE75" i="1"/>
  <c r="AF75" i="1" s="1"/>
  <c r="AH75" i="1" s="1"/>
  <c r="AE73" i="1"/>
  <c r="AF73" i="1" s="1"/>
  <c r="AH73" i="1" s="1"/>
  <c r="AE48" i="1"/>
  <c r="AF48" i="1" s="1"/>
  <c r="AH48" i="1" s="1"/>
  <c r="AE137" i="1"/>
  <c r="AF137" i="1" s="1"/>
  <c r="AH137" i="1" s="1"/>
  <c r="AE160" i="1"/>
  <c r="AF160" i="1" s="1"/>
  <c r="AH160" i="1" s="1"/>
  <c r="AE59" i="1"/>
  <c r="AF59" i="1" s="1"/>
  <c r="AH59" i="1" s="1"/>
  <c r="AE277" i="1"/>
  <c r="AF277" i="1" s="1"/>
  <c r="AH277" i="1" s="1"/>
  <c r="AE110" i="1"/>
  <c r="AF110" i="1" s="1"/>
  <c r="AH110" i="1" s="1"/>
  <c r="AE80" i="1"/>
  <c r="AF80" i="1" s="1"/>
  <c r="AH80" i="1" s="1"/>
  <c r="AE262" i="1"/>
  <c r="AF262" i="1" s="1"/>
  <c r="AH262" i="1" s="1"/>
  <c r="AE142" i="1"/>
  <c r="AF142" i="1" s="1"/>
  <c r="AH142" i="1" s="1"/>
  <c r="AE61" i="1"/>
  <c r="AF61" i="1" s="1"/>
  <c r="AH61" i="1" s="1"/>
  <c r="AE121" i="1"/>
  <c r="AF121" i="1" s="1"/>
  <c r="AH121" i="1" s="1"/>
  <c r="AE174" i="1"/>
  <c r="AF174" i="1" s="1"/>
  <c r="AH174" i="1" s="1"/>
  <c r="AE141" i="1"/>
  <c r="AF141" i="1" s="1"/>
  <c r="AH141" i="1" s="1"/>
  <c r="AE103" i="1"/>
  <c r="AF103" i="1" s="1"/>
  <c r="AH103" i="1" s="1"/>
  <c r="AE263" i="1"/>
  <c r="AF263" i="1" s="1"/>
  <c r="AH263" i="1" s="1"/>
  <c r="AE157" i="1"/>
  <c r="AF157" i="1" s="1"/>
  <c r="AH157" i="1" s="1"/>
  <c r="AE39" i="1"/>
  <c r="AF39" i="1" s="1"/>
  <c r="AH39" i="1" s="1"/>
  <c r="AE107" i="1"/>
  <c r="AF107" i="1" s="1"/>
  <c r="AH107" i="1" s="1"/>
  <c r="AE19" i="1"/>
  <c r="AF19" i="1" s="1"/>
  <c r="AH19" i="1" s="1"/>
  <c r="AE82" i="1"/>
  <c r="AF82" i="1" s="1"/>
  <c r="AH82" i="1" s="1"/>
  <c r="AE187" i="1"/>
  <c r="AF187" i="1" s="1"/>
  <c r="AH187" i="1" s="1"/>
  <c r="AE119" i="1"/>
  <c r="AF119" i="1" s="1"/>
  <c r="AH119" i="1" s="1"/>
  <c r="AE136" i="1"/>
  <c r="AF136" i="1" s="1"/>
  <c r="AH136" i="1" s="1"/>
  <c r="AE79" i="1"/>
  <c r="AF79" i="1" s="1"/>
  <c r="AH79" i="1" s="1"/>
  <c r="AE257" i="1"/>
  <c r="AF257" i="1" s="1"/>
  <c r="AH257" i="1" s="1"/>
  <c r="AE124" i="1"/>
  <c r="AF124" i="1" s="1"/>
  <c r="AH124" i="1" s="1"/>
  <c r="AE126" i="1"/>
  <c r="AF126" i="1" s="1"/>
  <c r="AH126" i="1" s="1"/>
  <c r="AE173" i="1"/>
  <c r="AF173" i="1" s="1"/>
  <c r="AH173" i="1" s="1"/>
  <c r="AE279" i="1"/>
  <c r="AF279" i="1" s="1"/>
  <c r="AH279" i="1" s="1"/>
  <c r="AE106" i="1"/>
  <c r="AF106" i="1" s="1"/>
  <c r="AH106" i="1" s="1"/>
  <c r="AE13" i="1"/>
  <c r="AF13" i="1" s="1"/>
  <c r="AH13" i="1" s="1"/>
  <c r="AE235" i="1"/>
  <c r="AF235" i="1" s="1"/>
  <c r="AH235" i="1" s="1"/>
  <c r="AE190" i="1"/>
  <c r="AF190" i="1" s="1"/>
  <c r="AH190" i="1" s="1"/>
  <c r="AE35" i="1"/>
  <c r="AF35" i="1" s="1"/>
  <c r="AH35" i="1" s="1"/>
  <c r="AE97" i="1"/>
  <c r="AF97" i="1" s="1"/>
  <c r="AH97" i="1" s="1"/>
  <c r="AE178" i="1"/>
  <c r="AF178" i="1" s="1"/>
  <c r="AH178" i="1" s="1"/>
  <c r="AE236" i="1"/>
  <c r="AF236" i="1" s="1"/>
  <c r="AH236" i="1" s="1"/>
  <c r="AE33" i="1"/>
  <c r="AF33" i="1" s="1"/>
  <c r="AH33" i="1" s="1"/>
  <c r="AE76" i="1"/>
  <c r="AF76" i="1" s="1"/>
  <c r="AH76" i="1" s="1"/>
  <c r="AE120" i="1"/>
  <c r="AF120" i="1" s="1"/>
  <c r="AH120" i="1" s="1"/>
  <c r="AE203" i="1"/>
  <c r="AF203" i="1" s="1"/>
  <c r="AH203" i="1" s="1"/>
  <c r="AE165" i="1"/>
  <c r="AF165" i="1" s="1"/>
  <c r="AH165" i="1" s="1"/>
  <c r="AE278" i="1"/>
  <c r="AF278" i="1" s="1"/>
  <c r="AH278" i="1" s="1"/>
  <c r="AE213" i="1"/>
  <c r="AF213" i="1" s="1"/>
  <c r="AH213" i="1" s="1"/>
  <c r="AE189" i="1"/>
  <c r="AF189" i="1" s="1"/>
  <c r="AH189" i="1" s="1"/>
  <c r="AE144" i="1"/>
  <c r="AF144" i="1" s="1"/>
  <c r="AH144" i="1" s="1"/>
  <c r="AE242" i="1"/>
  <c r="AF242" i="1" s="1"/>
  <c r="AH242" i="1" s="1"/>
  <c r="AE204" i="1"/>
  <c r="AF204" i="1" s="1"/>
  <c r="AH204" i="1" s="1"/>
  <c r="AE212" i="1"/>
  <c r="AF212" i="1" s="1"/>
  <c r="AH212" i="1" s="1"/>
  <c r="AE143" i="1"/>
  <c r="AF143" i="1" s="1"/>
  <c r="AH143" i="1" s="1"/>
  <c r="AE125" i="1"/>
  <c r="AF125" i="1" s="1"/>
  <c r="AH125" i="1" s="1"/>
  <c r="AE64" i="1"/>
  <c r="AF64" i="1" s="1"/>
  <c r="AH64" i="1" s="1"/>
  <c r="AE191" i="1"/>
  <c r="AF191" i="1" s="1"/>
  <c r="AH191" i="1" s="1"/>
  <c r="AE87" i="1"/>
  <c r="AF87" i="1" s="1"/>
  <c r="AH87" i="1" s="1"/>
  <c r="AE57" i="1"/>
  <c r="AF57" i="1" s="1"/>
  <c r="AH57" i="1" s="1"/>
  <c r="AE127" i="1"/>
  <c r="AF127" i="1" s="1"/>
  <c r="AH127" i="1" s="1"/>
  <c r="AE102" i="1"/>
  <c r="AF102" i="1" s="1"/>
  <c r="AH102" i="1" s="1"/>
  <c r="AE86" i="1"/>
  <c r="AF86" i="1" s="1"/>
  <c r="AH86" i="1" s="1"/>
  <c r="AE3" i="1"/>
  <c r="AF3" i="1" s="1"/>
  <c r="AH3" i="1" s="1"/>
  <c r="AE260" i="1"/>
  <c r="AF260" i="1" s="1"/>
  <c r="AH260" i="1" s="1"/>
  <c r="AE98" i="1"/>
  <c r="AF98" i="1" s="1"/>
  <c r="AH98" i="1" s="1"/>
  <c r="AE261" i="1"/>
  <c r="AF261" i="1" s="1"/>
  <c r="AH261" i="1" s="1"/>
  <c r="AE27" i="1"/>
  <c r="AF27" i="1" s="1"/>
  <c r="AH27" i="1" s="1"/>
  <c r="AE117" i="1"/>
  <c r="AF117" i="1" s="1"/>
  <c r="AH117" i="1" s="1"/>
  <c r="AE32" i="1"/>
  <c r="AF32" i="1" s="1"/>
  <c r="AH32" i="1" s="1"/>
  <c r="AE122" i="1"/>
  <c r="AF122" i="1" s="1"/>
  <c r="AH122" i="1" s="1"/>
  <c r="AE133" i="1"/>
  <c r="AF133" i="1" s="1"/>
  <c r="AH133" i="1" s="1"/>
  <c r="AE2" i="1"/>
  <c r="AF2" i="1" s="1"/>
  <c r="AH2" i="1" s="1"/>
  <c r="AE123" i="1"/>
  <c r="AF123" i="1" s="1"/>
  <c r="AH123" i="1" s="1"/>
  <c r="AE54" i="1"/>
  <c r="AF54" i="1" s="1"/>
  <c r="AH54" i="1" s="1"/>
  <c r="AE116" i="1"/>
  <c r="AF116" i="1" s="1"/>
  <c r="AH116" i="1" s="1"/>
  <c r="AE43" i="1"/>
  <c r="AF43" i="1" s="1"/>
  <c r="AH43" i="1" s="1"/>
  <c r="AE276" i="1"/>
  <c r="AF276" i="1" s="1"/>
  <c r="AH276" i="1" s="1"/>
  <c r="AE18" i="1"/>
  <c r="AF18" i="1" s="1"/>
  <c r="AH18" i="1" s="1"/>
  <c r="AE56" i="1"/>
  <c r="AF56" i="1" s="1"/>
  <c r="AH56" i="1" s="1"/>
  <c r="AE63" i="1"/>
  <c r="AF63" i="1" s="1"/>
  <c r="AH63" i="1" s="1"/>
  <c r="AE49" i="1"/>
  <c r="AF49" i="1" s="1"/>
  <c r="AH49" i="1" s="1"/>
  <c r="AE164" i="1"/>
  <c r="AF164" i="1" s="1"/>
  <c r="AH164" i="1" s="1"/>
  <c r="AE109" i="1"/>
  <c r="AF109" i="1" s="1"/>
  <c r="AH109" i="1" s="1"/>
  <c r="AE151" i="1"/>
  <c r="AF151" i="1" s="1"/>
  <c r="AH151" i="1" s="1"/>
  <c r="AE163" i="1"/>
  <c r="AF163" i="1" s="1"/>
  <c r="AH163" i="1" s="1"/>
  <c r="AE234" i="1"/>
  <c r="AF234" i="1" s="1"/>
  <c r="AH234" i="1" s="1"/>
  <c r="AE88" i="1"/>
  <c r="AF88" i="1" s="1"/>
  <c r="AH88" i="1" s="1"/>
  <c r="AE172" i="1"/>
  <c r="AF172" i="1" s="1"/>
  <c r="AH172" i="1" s="1"/>
  <c r="AE4" i="1"/>
  <c r="AF4" i="1" s="1"/>
  <c r="AH4" i="1" s="1"/>
  <c r="AE225" i="1"/>
  <c r="AF225" i="1" s="1"/>
  <c r="AH225" i="1" s="1"/>
  <c r="AE170" i="1"/>
  <c r="AF170" i="1" s="1"/>
  <c r="AH170" i="1" s="1"/>
  <c r="AE171" i="1"/>
  <c r="AF171" i="1" s="1"/>
  <c r="AH171" i="1" s="1"/>
  <c r="AE108" i="1"/>
  <c r="AF108" i="1" s="1"/>
  <c r="AH108" i="1" s="1"/>
  <c r="AE148" i="1"/>
  <c r="AF148" i="1" s="1"/>
  <c r="AH148" i="1" s="1"/>
  <c r="AE233" i="1"/>
  <c r="AF233" i="1" s="1"/>
  <c r="AH233" i="1" s="1"/>
  <c r="AE152" i="1"/>
  <c r="AF152" i="1" s="1"/>
  <c r="AH152" i="1" s="1"/>
  <c r="AE145" i="1"/>
  <c r="AF145" i="1" s="1"/>
  <c r="AH145" i="1" s="1"/>
  <c r="AE283" i="1"/>
  <c r="AF283" i="1" s="1"/>
  <c r="AH283" i="1" s="1"/>
  <c r="AE180" i="1"/>
  <c r="AF180" i="1" s="1"/>
  <c r="AH180" i="1" s="1"/>
  <c r="AE219" i="1"/>
  <c r="AF219" i="1" s="1"/>
  <c r="AH219" i="1" s="1"/>
  <c r="AE31" i="1"/>
  <c r="AF31" i="1" s="1"/>
  <c r="AH31" i="1" s="1"/>
  <c r="AE201" i="1"/>
  <c r="AF201" i="1" s="1"/>
  <c r="AH201" i="1" s="1"/>
  <c r="AE246" i="1"/>
  <c r="AF246" i="1" s="1"/>
  <c r="AH246" i="1" s="1"/>
  <c r="AE244" i="1"/>
  <c r="AF244" i="1" s="1"/>
  <c r="AH244" i="1" s="1"/>
  <c r="AE181" i="1"/>
  <c r="AF181" i="1" s="1"/>
  <c r="AH181" i="1" s="1"/>
  <c r="AE195" i="1"/>
  <c r="AF195" i="1" s="1"/>
  <c r="AH195" i="1" s="1"/>
  <c r="AE194" i="1"/>
  <c r="AF194" i="1" s="1"/>
  <c r="AH194" i="1" s="1"/>
  <c r="AE197" i="1"/>
  <c r="AF197" i="1" s="1"/>
  <c r="AH197" i="1" s="1"/>
  <c r="AE267" i="1"/>
  <c r="AF267" i="1" s="1"/>
  <c r="AH267" i="1" s="1"/>
  <c r="AE265" i="1"/>
  <c r="AF265" i="1" s="1"/>
  <c r="AH265" i="1" s="1"/>
  <c r="AE182" i="1"/>
  <c r="AF182" i="1" s="1"/>
  <c r="AH182" i="1" s="1"/>
  <c r="AE183" i="1"/>
  <c r="AF183" i="1" s="1"/>
  <c r="AH183" i="1" s="1"/>
  <c r="AE184" i="1"/>
  <c r="AF184" i="1" s="1"/>
  <c r="AH184" i="1" s="1"/>
  <c r="AE268" i="1"/>
  <c r="AF268" i="1" s="1"/>
  <c r="AH268" i="1" s="1"/>
  <c r="AE264" i="1"/>
  <c r="AF264" i="1" s="1"/>
  <c r="AH264" i="1" s="1"/>
  <c r="AE245" i="1"/>
  <c r="AF245" i="1" s="1"/>
  <c r="AH245" i="1" s="1"/>
  <c r="AE258" i="1"/>
  <c r="AF258" i="1" s="1"/>
  <c r="AH258" i="1" s="1"/>
  <c r="AE266" i="1"/>
  <c r="AF266" i="1" s="1"/>
  <c r="AH266" i="1" s="1"/>
  <c r="AE196" i="1"/>
  <c r="AF196" i="1" s="1"/>
  <c r="AH196" i="1" s="1"/>
  <c r="AJ196" i="1" l="1"/>
  <c r="AP196" i="1"/>
  <c r="AJ264" i="1"/>
  <c r="AP264" i="1"/>
  <c r="AJ182" i="1"/>
  <c r="AP182" i="1"/>
  <c r="AJ194" i="1"/>
  <c r="AP194" i="1"/>
  <c r="AJ246" i="1"/>
  <c r="AP246" i="1"/>
  <c r="AJ180" i="1"/>
  <c r="AP180" i="1"/>
  <c r="AJ233" i="1"/>
  <c r="AP233" i="1"/>
  <c r="AJ170" i="1"/>
  <c r="AP170" i="1"/>
  <c r="AJ88" i="1"/>
  <c r="AP88" i="1"/>
  <c r="AJ109" i="1"/>
  <c r="AP109" i="1"/>
  <c r="AJ56" i="1"/>
  <c r="AP56" i="1"/>
  <c r="AJ116" i="1"/>
  <c r="AP116" i="1"/>
  <c r="AJ133" i="1"/>
  <c r="AP133" i="1"/>
  <c r="AJ27" i="1"/>
  <c r="AP27" i="1"/>
  <c r="AJ3" i="1"/>
  <c r="AP3" i="1"/>
  <c r="AJ57" i="1"/>
  <c r="AP57" i="1"/>
  <c r="AJ125" i="1"/>
  <c r="AP125" i="1"/>
  <c r="AJ242" i="1"/>
  <c r="AP242" i="1"/>
  <c r="AJ278" i="1"/>
  <c r="AP278" i="1"/>
  <c r="AJ76" i="1"/>
  <c r="AP76" i="1"/>
  <c r="AJ97" i="1"/>
  <c r="AP97" i="1"/>
  <c r="AJ13" i="1"/>
  <c r="AP13" i="1"/>
  <c r="AJ126" i="1"/>
  <c r="AP126" i="1"/>
  <c r="AJ136" i="1"/>
  <c r="AP136" i="1"/>
  <c r="AJ19" i="1"/>
  <c r="AP19" i="1"/>
  <c r="AJ263" i="1"/>
  <c r="AP263" i="1"/>
  <c r="AJ121" i="1"/>
  <c r="AP121" i="1"/>
  <c r="AJ80" i="1"/>
  <c r="AP80" i="1"/>
  <c r="AJ160" i="1"/>
  <c r="AP160" i="1"/>
  <c r="AJ75" i="1"/>
  <c r="AP75" i="1"/>
  <c r="AJ202" i="1"/>
  <c r="AP202" i="1"/>
  <c r="AJ66" i="1"/>
  <c r="AP66" i="1"/>
  <c r="AJ50" i="1"/>
  <c r="AP50" i="1"/>
  <c r="AJ70" i="1"/>
  <c r="AP70" i="1"/>
  <c r="AJ281" i="1"/>
  <c r="AP281" i="1"/>
  <c r="AJ67" i="1"/>
  <c r="AP67" i="1"/>
  <c r="AJ156" i="1"/>
  <c r="AP156" i="1"/>
  <c r="AJ60" i="1"/>
  <c r="AP60" i="1"/>
  <c r="AJ161" i="1"/>
  <c r="AP161" i="1"/>
  <c r="AJ138" i="1"/>
  <c r="AP138" i="1"/>
  <c r="AJ130" i="1"/>
  <c r="AP130" i="1"/>
  <c r="AJ112" i="1"/>
  <c r="AP112" i="1"/>
  <c r="AJ93" i="1"/>
  <c r="AP93" i="1"/>
  <c r="AJ8" i="1"/>
  <c r="AP8" i="1"/>
  <c r="AJ255" i="1"/>
  <c r="AP255" i="1"/>
  <c r="AJ46" i="1"/>
  <c r="AP46" i="1"/>
  <c r="AJ28" i="1"/>
  <c r="AP28" i="1"/>
  <c r="AJ231" i="1"/>
  <c r="AP231" i="1"/>
  <c r="AJ37" i="1"/>
  <c r="AP37" i="1"/>
  <c r="AJ95" i="1"/>
  <c r="AP95" i="1"/>
  <c r="AJ11" i="1"/>
  <c r="AP11" i="1"/>
  <c r="AJ22" i="1"/>
  <c r="AP22" i="1"/>
  <c r="AJ99" i="1"/>
  <c r="AP99" i="1"/>
  <c r="AJ249" i="1"/>
  <c r="AP249" i="1"/>
  <c r="AJ44" i="1"/>
  <c r="AP44" i="1"/>
  <c r="AJ227" i="1"/>
  <c r="AP227" i="1"/>
  <c r="AJ74" i="1"/>
  <c r="AP74" i="1"/>
  <c r="AJ253" i="1"/>
  <c r="AP253" i="1"/>
  <c r="AJ206" i="1"/>
  <c r="AP206" i="1"/>
  <c r="AJ91" i="1"/>
  <c r="AP91" i="1"/>
  <c r="AJ266" i="1"/>
  <c r="AP266" i="1"/>
  <c r="AJ268" i="1"/>
  <c r="AP268" i="1"/>
  <c r="AJ265" i="1"/>
  <c r="AP265" i="1"/>
  <c r="AJ195" i="1"/>
  <c r="AP195" i="1"/>
  <c r="AJ201" i="1"/>
  <c r="AP201" i="1"/>
  <c r="AJ283" i="1"/>
  <c r="AP283" i="1"/>
  <c r="AJ148" i="1"/>
  <c r="AP148" i="1"/>
  <c r="AJ225" i="1"/>
  <c r="AP225" i="1"/>
  <c r="AJ234" i="1"/>
  <c r="AP234" i="1"/>
  <c r="AJ164" i="1"/>
  <c r="AP164" i="1"/>
  <c r="AJ18" i="1"/>
  <c r="AP18" i="1"/>
  <c r="AJ54" i="1"/>
  <c r="AP54" i="1"/>
  <c r="AJ122" i="1"/>
  <c r="AP122" i="1"/>
  <c r="AJ261" i="1"/>
  <c r="AP261" i="1"/>
  <c r="AJ86" i="1"/>
  <c r="AP86" i="1"/>
  <c r="AJ87" i="1"/>
  <c r="AP87" i="1"/>
  <c r="AJ143" i="1"/>
  <c r="AP143" i="1"/>
  <c r="AJ144" i="1"/>
  <c r="AP144" i="1"/>
  <c r="AJ165" i="1"/>
  <c r="AP165" i="1"/>
  <c r="AJ33" i="1"/>
  <c r="AP33" i="1"/>
  <c r="AJ35" i="1"/>
  <c r="AP35" i="1"/>
  <c r="AJ106" i="1"/>
  <c r="AP106" i="1"/>
  <c r="AJ124" i="1"/>
  <c r="AP124" i="1"/>
  <c r="AJ119" i="1"/>
  <c r="AP119" i="1"/>
  <c r="AJ107" i="1"/>
  <c r="AP107" i="1"/>
  <c r="AJ103" i="1"/>
  <c r="AP103" i="1"/>
  <c r="AJ61" i="1"/>
  <c r="AP61" i="1"/>
  <c r="AJ110" i="1"/>
  <c r="AP110" i="1"/>
  <c r="AJ137" i="1"/>
  <c r="AP137" i="1"/>
  <c r="AJ149" i="1"/>
  <c r="AP149" i="1"/>
  <c r="AJ162" i="1"/>
  <c r="AP162" i="1"/>
  <c r="AJ238" i="1"/>
  <c r="AP238" i="1"/>
  <c r="AJ77" i="1"/>
  <c r="AP77" i="1"/>
  <c r="AJ71" i="1"/>
  <c r="AP71" i="1"/>
  <c r="AJ250" i="1"/>
  <c r="AP250" i="1"/>
  <c r="AJ282" i="1"/>
  <c r="AP282" i="1"/>
  <c r="AJ158" i="1"/>
  <c r="AP158" i="1"/>
  <c r="AJ166" i="1"/>
  <c r="AP166" i="1"/>
  <c r="AJ259" i="1"/>
  <c r="AP259" i="1"/>
  <c r="AJ168" i="1"/>
  <c r="AP168" i="1"/>
  <c r="AJ207" i="1"/>
  <c r="AP207" i="1"/>
  <c r="AJ254" i="1"/>
  <c r="AP254" i="1"/>
  <c r="AJ232" i="1"/>
  <c r="AP232" i="1"/>
  <c r="AJ6" i="1"/>
  <c r="AP6" i="1"/>
  <c r="AJ241" i="1"/>
  <c r="AP241" i="1"/>
  <c r="AJ208" i="1"/>
  <c r="AP208" i="1"/>
  <c r="AJ131" i="1"/>
  <c r="AP131" i="1"/>
  <c r="AJ16" i="1"/>
  <c r="AP16" i="1"/>
  <c r="AJ228" i="1"/>
  <c r="AP228" i="1"/>
  <c r="AJ89" i="1"/>
  <c r="AP89" i="1"/>
  <c r="AJ45" i="1"/>
  <c r="AP45" i="1"/>
  <c r="AJ21" i="1"/>
  <c r="AP21" i="1"/>
  <c r="AJ15" i="1"/>
  <c r="AP15" i="1"/>
  <c r="AJ220" i="1"/>
  <c r="AP220" i="1"/>
  <c r="AJ248" i="1"/>
  <c r="AP248" i="1"/>
  <c r="AJ85" i="1"/>
  <c r="AP85" i="1"/>
  <c r="AJ24" i="1"/>
  <c r="AP24" i="1"/>
  <c r="AJ36" i="1"/>
  <c r="AP36" i="1"/>
  <c r="AJ256" i="1"/>
  <c r="AP256" i="1"/>
  <c r="AJ10" i="1"/>
  <c r="AP10" i="1"/>
  <c r="AJ258" i="1"/>
  <c r="AP258" i="1"/>
  <c r="AJ184" i="1"/>
  <c r="AP184" i="1"/>
  <c r="AJ267" i="1"/>
  <c r="AP267" i="1"/>
  <c r="AJ181" i="1"/>
  <c r="AP181" i="1"/>
  <c r="AJ31" i="1"/>
  <c r="AP31" i="1"/>
  <c r="AJ145" i="1"/>
  <c r="AP145" i="1"/>
  <c r="AJ108" i="1"/>
  <c r="AP108" i="1"/>
  <c r="AJ4" i="1"/>
  <c r="AP4" i="1"/>
  <c r="AJ163" i="1"/>
  <c r="AP163" i="1"/>
  <c r="AJ49" i="1"/>
  <c r="AP49" i="1"/>
  <c r="AJ276" i="1"/>
  <c r="AP276" i="1"/>
  <c r="AJ123" i="1"/>
  <c r="AP123" i="1"/>
  <c r="AJ32" i="1"/>
  <c r="AP32" i="1"/>
  <c r="AJ98" i="1"/>
  <c r="AP98" i="1"/>
  <c r="AJ102" i="1"/>
  <c r="AP102" i="1"/>
  <c r="AJ191" i="1"/>
  <c r="AP191" i="1"/>
  <c r="AJ212" i="1"/>
  <c r="AP212" i="1"/>
  <c r="AJ189" i="1"/>
  <c r="AP189" i="1"/>
  <c r="AJ203" i="1"/>
  <c r="AP203" i="1"/>
  <c r="AJ236" i="1"/>
  <c r="AP236" i="1"/>
  <c r="AJ190" i="1"/>
  <c r="AP190" i="1"/>
  <c r="AJ279" i="1"/>
  <c r="AP279" i="1"/>
  <c r="AJ257" i="1"/>
  <c r="AP257" i="1"/>
  <c r="AJ187" i="1"/>
  <c r="AP187" i="1"/>
  <c r="AJ39" i="1"/>
  <c r="AP39" i="1"/>
  <c r="AJ141" i="1"/>
  <c r="AP141" i="1"/>
  <c r="AJ142" i="1"/>
  <c r="AP142" i="1"/>
  <c r="AJ277" i="1"/>
  <c r="AP277" i="1"/>
  <c r="AJ48" i="1"/>
  <c r="AP48" i="1"/>
  <c r="AJ154" i="1"/>
  <c r="AP154" i="1"/>
  <c r="AJ47" i="1"/>
  <c r="AP47" i="1"/>
  <c r="AJ237" i="1"/>
  <c r="AP237" i="1"/>
  <c r="AJ72" i="1"/>
  <c r="AP72" i="1"/>
  <c r="AJ274" i="1"/>
  <c r="AP274" i="1"/>
  <c r="AJ275" i="1"/>
  <c r="AP275" i="1"/>
  <c r="AJ271" i="1"/>
  <c r="AP271" i="1"/>
  <c r="AJ40" i="1"/>
  <c r="AP40" i="1"/>
  <c r="AJ20" i="1"/>
  <c r="AP20" i="1"/>
  <c r="AJ17" i="1"/>
  <c r="AP17" i="1"/>
  <c r="AJ29" i="1"/>
  <c r="AP29" i="1"/>
  <c r="AJ26" i="1"/>
  <c r="AP26" i="1"/>
  <c r="AJ42" i="1"/>
  <c r="AP42" i="1"/>
  <c r="AJ209" i="1"/>
  <c r="AP209" i="1"/>
  <c r="AJ115" i="1"/>
  <c r="AP115" i="1"/>
  <c r="AJ229" i="1"/>
  <c r="AP229" i="1"/>
  <c r="AJ215" i="1"/>
  <c r="AP215" i="1"/>
  <c r="AJ211" i="1"/>
  <c r="AP211" i="1"/>
  <c r="AJ251" i="1"/>
  <c r="AP251" i="1"/>
  <c r="AJ96" i="1"/>
  <c r="AP96" i="1"/>
  <c r="AJ100" i="1"/>
  <c r="AP100" i="1"/>
  <c r="AJ5" i="1"/>
  <c r="AP5" i="1"/>
  <c r="AJ53" i="1"/>
  <c r="AP53" i="1"/>
  <c r="AJ25" i="1"/>
  <c r="AP25" i="1"/>
  <c r="AJ230" i="1"/>
  <c r="AP230" i="1"/>
  <c r="AJ14" i="1"/>
  <c r="AP14" i="1"/>
  <c r="AJ90" i="1"/>
  <c r="AP90" i="1"/>
  <c r="AJ247" i="1"/>
  <c r="AP247" i="1"/>
  <c r="AJ7" i="1"/>
  <c r="AP7" i="1"/>
  <c r="AJ12" i="1"/>
  <c r="AP12" i="1"/>
  <c r="AJ240" i="1"/>
  <c r="AP240" i="1"/>
  <c r="AJ245" i="1"/>
  <c r="AP245" i="1"/>
  <c r="AJ183" i="1"/>
  <c r="AP183" i="1"/>
  <c r="AJ197" i="1"/>
  <c r="AP197" i="1"/>
  <c r="AJ244" i="1"/>
  <c r="AP244" i="1"/>
  <c r="AJ219" i="1"/>
  <c r="AP219" i="1"/>
  <c r="AJ152" i="1"/>
  <c r="AP152" i="1"/>
  <c r="AJ171" i="1"/>
  <c r="AP171" i="1"/>
  <c r="AJ172" i="1"/>
  <c r="AP172" i="1"/>
  <c r="AJ151" i="1"/>
  <c r="AP151" i="1"/>
  <c r="AJ63" i="1"/>
  <c r="AP63" i="1"/>
  <c r="AJ43" i="1"/>
  <c r="AP43" i="1"/>
  <c r="AJ2" i="1"/>
  <c r="AP2" i="1"/>
  <c r="AJ117" i="1"/>
  <c r="AP117" i="1"/>
  <c r="AJ260" i="1"/>
  <c r="AP260" i="1"/>
  <c r="AJ127" i="1"/>
  <c r="AP127" i="1"/>
  <c r="AJ64" i="1"/>
  <c r="AP64" i="1"/>
  <c r="AJ204" i="1"/>
  <c r="AP204" i="1"/>
  <c r="AJ213" i="1"/>
  <c r="AP213" i="1"/>
  <c r="AJ120" i="1"/>
  <c r="AP120" i="1"/>
  <c r="AJ178" i="1"/>
  <c r="AP178" i="1"/>
  <c r="AJ235" i="1"/>
  <c r="AP235" i="1"/>
  <c r="AJ173" i="1"/>
  <c r="AP173" i="1"/>
  <c r="AJ79" i="1"/>
  <c r="AP79" i="1"/>
  <c r="AJ82" i="1"/>
  <c r="AP82" i="1"/>
  <c r="AJ157" i="1"/>
  <c r="AP157" i="1"/>
  <c r="AJ174" i="1"/>
  <c r="AP174" i="1"/>
  <c r="AJ262" i="1"/>
  <c r="AP262" i="1"/>
  <c r="AJ59" i="1"/>
  <c r="AP59" i="1"/>
  <c r="AJ73" i="1"/>
  <c r="AP73" i="1"/>
  <c r="AJ55" i="1"/>
  <c r="AP55" i="1"/>
  <c r="AJ226" i="1"/>
  <c r="AP226" i="1"/>
  <c r="AJ270" i="1"/>
  <c r="AP270" i="1"/>
  <c r="AJ65" i="1"/>
  <c r="AP65" i="1"/>
  <c r="AJ223" i="1"/>
  <c r="AP223" i="1"/>
  <c r="AJ68" i="1"/>
  <c r="AP68" i="1"/>
  <c r="AJ58" i="1"/>
  <c r="AP58" i="1"/>
  <c r="AJ155" i="1"/>
  <c r="AP155" i="1"/>
  <c r="AJ221" i="1"/>
  <c r="AP221" i="1"/>
  <c r="AJ78" i="1"/>
  <c r="AP78" i="1"/>
  <c r="AJ114" i="1"/>
  <c r="AP114" i="1"/>
  <c r="AJ111" i="1"/>
  <c r="AP111" i="1"/>
  <c r="AJ9" i="1"/>
  <c r="AP9" i="1"/>
  <c r="AJ84" i="1"/>
  <c r="AP84" i="1"/>
  <c r="AJ52" i="1"/>
  <c r="AP52" i="1"/>
  <c r="AJ150" i="1"/>
  <c r="AP150" i="1"/>
  <c r="AJ83" i="1"/>
  <c r="AP83" i="1"/>
  <c r="AJ101" i="1"/>
  <c r="AP101" i="1"/>
  <c r="AJ113" i="1"/>
  <c r="AP113" i="1"/>
  <c r="AJ94" i="1"/>
  <c r="AP94" i="1"/>
  <c r="AJ104" i="1"/>
  <c r="AP104" i="1"/>
  <c r="AJ216" i="1"/>
  <c r="AP216" i="1"/>
  <c r="AJ30" i="1"/>
  <c r="AP30" i="1"/>
  <c r="AJ252" i="1"/>
  <c r="AP252" i="1"/>
  <c r="AJ92" i="1"/>
  <c r="AP92" i="1"/>
  <c r="AJ210" i="1"/>
  <c r="AP210" i="1"/>
  <c r="AJ23" i="1"/>
  <c r="AP23" i="1"/>
  <c r="AJ105" i="1"/>
  <c r="AP105" i="1"/>
  <c r="AJ129" i="1"/>
  <c r="AP129" i="1"/>
  <c r="AJ200" i="1"/>
  <c r="AP200" i="1"/>
  <c r="A2" i="14" l="1" a="1"/>
  <c r="A2" i="1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<sst xmlns="http://schemas.openxmlformats.org/spreadsheetml/2006/main" count="19957" uniqueCount="876">
  <si>
    <t>Purchase Type</t>
  </si>
  <si>
    <t>Supplier Name</t>
  </si>
  <si>
    <t>PO Date</t>
  </si>
  <si>
    <t>Document Internal ID</t>
  </si>
  <si>
    <t>PO No</t>
  </si>
  <si>
    <t>Item No.</t>
  </si>
  <si>
    <t>Item Name</t>
  </si>
  <si>
    <t>Quantity</t>
  </si>
  <si>
    <t>Price</t>
  </si>
  <si>
    <t>Value</t>
  </si>
  <si>
    <t>Expected Date</t>
  </si>
  <si>
    <t>Item Status</t>
  </si>
  <si>
    <t>UOM</t>
  </si>
  <si>
    <t>Payment Terms(in words)</t>
  </si>
  <si>
    <t>GRPO Date</t>
  </si>
  <si>
    <t>GRPO No</t>
  </si>
  <si>
    <t>Item/Service Description</t>
  </si>
  <si>
    <t>Approval Status</t>
  </si>
  <si>
    <t>Payment_terms</t>
  </si>
  <si>
    <t>Item_Category</t>
  </si>
  <si>
    <t>Quantity Variance(%)</t>
  </si>
  <si>
    <t>Quantity Rating</t>
  </si>
  <si>
    <t xml:space="preserve">Delivery time(in days) </t>
  </si>
  <si>
    <t>Delivery Rating</t>
  </si>
  <si>
    <t>Lead time(in days)</t>
  </si>
  <si>
    <t>Quality Score(%)</t>
  </si>
  <si>
    <t>Shipment count</t>
  </si>
  <si>
    <t>Quality Rating</t>
  </si>
  <si>
    <t>Currency</t>
  </si>
  <si>
    <t>Weighted Rating</t>
  </si>
  <si>
    <t>Year</t>
  </si>
  <si>
    <t>Helper column 1</t>
  </si>
  <si>
    <t>Helper column 2</t>
  </si>
  <si>
    <t>RM/PM</t>
  </si>
  <si>
    <t>Ami Enterprises</t>
  </si>
  <si>
    <t>27/04/23</t>
  </si>
  <si>
    <t>HPM0000037</t>
  </si>
  <si>
    <t>ACECEL Paper Bags (3 Years)</t>
  </si>
  <si>
    <t>Closed</t>
  </si>
  <si>
    <t>Nos</t>
  </si>
  <si>
    <t>30 Days Credit from the date of Supply</t>
  </si>
  <si>
    <t>29/04/23</t>
  </si>
  <si>
    <t>Accepted</t>
  </si>
  <si>
    <t>INR</t>
  </si>
  <si>
    <t>Surat Ammonia &amp; Chemical Co.</t>
  </si>
  <si>
    <t>17/06/23</t>
  </si>
  <si>
    <t>HCC0000008</t>
  </si>
  <si>
    <t>AMMONIA gas</t>
  </si>
  <si>
    <t>Kg</t>
  </si>
  <si>
    <t>30 Days Credit from the date of Invoice</t>
  </si>
  <si>
    <t>11/07/23</t>
  </si>
  <si>
    <t>The Singareni Collieries Company Ltd</t>
  </si>
  <si>
    <t>16/08/23</t>
  </si>
  <si>
    <t>HFU0000018</t>
  </si>
  <si>
    <t>COAL G7 RND</t>
  </si>
  <si>
    <t>100% before lot allotment</t>
  </si>
  <si>
    <t>04/08/23</t>
  </si>
  <si>
    <t>03/08/23</t>
  </si>
  <si>
    <t>01/08/23</t>
  </si>
  <si>
    <t>05/08/23</t>
  </si>
  <si>
    <t>26/06/23</t>
  </si>
  <si>
    <t>HFU0000006</t>
  </si>
  <si>
    <t>G8 ROM COAL</t>
  </si>
  <si>
    <t>24/06/23</t>
  </si>
  <si>
    <t>Epic Polymers</t>
  </si>
  <si>
    <t>19/04/23</t>
  </si>
  <si>
    <t>HPM0000010</t>
  </si>
  <si>
    <t>ACECEL HDPE BAGS</t>
  </si>
  <si>
    <t>Open</t>
  </si>
  <si>
    <t>30 Days from date of receipt of material</t>
  </si>
  <si>
    <t>24/04/23</t>
  </si>
  <si>
    <t>22/06/23</t>
  </si>
  <si>
    <t>23/06/23</t>
  </si>
  <si>
    <t>Nilkamal Limited</t>
  </si>
  <si>
    <t>11/08/23</t>
  </si>
  <si>
    <t>HPM0000017</t>
  </si>
  <si>
    <t>PLASTIC PALLETS</t>
  </si>
  <si>
    <t>100% Against delivery</t>
  </si>
  <si>
    <t>24/08/23</t>
  </si>
  <si>
    <t>R L Chloro Sales Pvt Ltd</t>
  </si>
  <si>
    <t>14/04/23</t>
  </si>
  <si>
    <t>HCC0000009</t>
  </si>
  <si>
    <t>Hydrochloric Acid</t>
  </si>
  <si>
    <t>100% advance along with PO.</t>
  </si>
  <si>
    <t>21/04/23</t>
  </si>
  <si>
    <t>HPM0000039</t>
  </si>
  <si>
    <t>ACECEL BAGS (3 Years)</t>
  </si>
  <si>
    <t>12/07/23</t>
  </si>
  <si>
    <t>04/07/23</t>
  </si>
  <si>
    <t>05/07/23</t>
  </si>
  <si>
    <t>06/07/23</t>
  </si>
  <si>
    <t>09/07/23</t>
  </si>
  <si>
    <t>HPM0000005</t>
  </si>
  <si>
    <t>ACECEL Paper Bags</t>
  </si>
  <si>
    <t>07/08/23</t>
  </si>
  <si>
    <t>Woodpulp</t>
  </si>
  <si>
    <t>G P Cellulose GMBH</t>
  </si>
  <si>
    <t>11/04/23</t>
  </si>
  <si>
    <t>HRM0000005</t>
  </si>
  <si>
    <t>ALABAMA RIVER</t>
  </si>
  <si>
    <t>30/07/23</t>
  </si>
  <si>
    <t>MT</t>
  </si>
  <si>
    <t>60 days credit from Arrival Date at POD</t>
  </si>
  <si>
    <t>06/09/23</t>
  </si>
  <si>
    <t>USD</t>
  </si>
  <si>
    <t>25/08/23</t>
  </si>
  <si>
    <t>09/09/23</t>
  </si>
  <si>
    <t>KAPILA INDUSTRIES</t>
  </si>
  <si>
    <t>10/05/23</t>
  </si>
  <si>
    <t>100% Against Delivery</t>
  </si>
  <si>
    <t>31/05/23</t>
  </si>
  <si>
    <t>Trading</t>
  </si>
  <si>
    <t>NEELKANTH FINECHEM LLP</t>
  </si>
  <si>
    <t>HCC0000029</t>
  </si>
  <si>
    <t>TALC USP</t>
  </si>
  <si>
    <t>net 30 days from date of receipt of material</t>
  </si>
  <si>
    <t>18/07/23</t>
  </si>
  <si>
    <t>07/07/23</t>
  </si>
  <si>
    <t>HPM0000003</t>
  </si>
  <si>
    <t>Paper Bag Plain 20 Kgs</t>
  </si>
  <si>
    <t>20/07/23</t>
  </si>
  <si>
    <t>10/08/23</t>
  </si>
  <si>
    <t>Plastocon Industries Pvt Ltd</t>
  </si>
  <si>
    <t>100% Along with PO</t>
  </si>
  <si>
    <t>18/04/23</t>
  </si>
  <si>
    <t>HPM0000006</t>
  </si>
  <si>
    <t>HICEL HDPE BAGS</t>
  </si>
  <si>
    <t>02/08/23</t>
  </si>
  <si>
    <t>Shree Chemicals</t>
  </si>
  <si>
    <t>HCC0000007</t>
  </si>
  <si>
    <t>LIME</t>
  </si>
  <si>
    <t>24/07/23</t>
  </si>
  <si>
    <t>100% Advance along with PO</t>
  </si>
  <si>
    <t>06/06/23</t>
  </si>
  <si>
    <t>08/06/23</t>
  </si>
  <si>
    <t>HFU0000010</t>
  </si>
  <si>
    <t>COAL G9 ROM</t>
  </si>
  <si>
    <t>26/05/23</t>
  </si>
  <si>
    <t>28/05/23</t>
  </si>
  <si>
    <t>28/06/23</t>
  </si>
  <si>
    <t>Sappi Paper Holdings GMBH</t>
  </si>
  <si>
    <t>08/05/23</t>
  </si>
  <si>
    <t>HRM0000001</t>
  </si>
  <si>
    <t>SAPPI</t>
  </si>
  <si>
    <t>30 Days from B/L Date</t>
  </si>
  <si>
    <t>07/05/23</t>
  </si>
  <si>
    <t>09/05/23</t>
  </si>
  <si>
    <t>Navodaya Packing Industries</t>
  </si>
  <si>
    <t>HPM0000024</t>
  </si>
  <si>
    <t>""Fibre Drum 14x20"""</t>
  </si>
  <si>
    <t>Venkatadurga Enterprises</t>
  </si>
  <si>
    <t>14/09/23</t>
  </si>
  <si>
    <t>HFU0000007</t>
  </si>
  <si>
    <t>G7 RND COAL</t>
  </si>
  <si>
    <t>20/09/23</t>
  </si>
  <si>
    <t>30 Days credit form the date of delivery.</t>
  </si>
  <si>
    <t>18/09/23</t>
  </si>
  <si>
    <t>ZED CHEM PVT LTD</t>
  </si>
  <si>
    <t>HCC0000011</t>
  </si>
  <si>
    <t>Sodium Chlorite</t>
  </si>
  <si>
    <t>05/06/23</t>
  </si>
  <si>
    <t>03/06/23</t>
  </si>
  <si>
    <t>29/06/23</t>
  </si>
  <si>
    <t>30/08/23</t>
  </si>
  <si>
    <t>08/09/23</t>
  </si>
  <si>
    <t>07/06/23</t>
  </si>
  <si>
    <t>HPM0000038</t>
  </si>
  <si>
    <t>HICEL Paper Bags (3 Years)</t>
  </si>
  <si>
    <t>17/04/23</t>
  </si>
  <si>
    <t>25/05/23</t>
  </si>
  <si>
    <t>HPM0000001</t>
  </si>
  <si>
    <t>NEUTRAL HDPE BAGS</t>
  </si>
  <si>
    <t>06/04/23</t>
  </si>
  <si>
    <t>Billerud AB</t>
  </si>
  <si>
    <t>16/05/23</t>
  </si>
  <si>
    <t>HRM0000046</t>
  </si>
  <si>
    <t>Billerud NBSK Skarblacka</t>
  </si>
  <si>
    <t>D/P (Documents against payment)</t>
  </si>
  <si>
    <t>01/09/23</t>
  </si>
  <si>
    <t>23/05/23</t>
  </si>
  <si>
    <t>15/07/23</t>
  </si>
  <si>
    <t>21/09/23</t>
  </si>
  <si>
    <t>13/06/23</t>
  </si>
  <si>
    <t>30 Days form the date of delivery.</t>
  </si>
  <si>
    <t>16/06/23</t>
  </si>
  <si>
    <t>SAI RAM FOOD GRADE PACKAGING INDUSTRIES</t>
  </si>
  <si>
    <t>HPM0000011</t>
  </si>
  <si>
    <t>Polythene Liner</t>
  </si>
  <si>
    <t>30 Days from date of receipt material</t>
  </si>
  <si>
    <t>17/09/23</t>
  </si>
  <si>
    <t>Documents against payment</t>
  </si>
  <si>
    <t>28/08/23</t>
  </si>
  <si>
    <t>14/08/23</t>
  </si>
  <si>
    <t>17/07/23</t>
  </si>
  <si>
    <t>26/09/23</t>
  </si>
  <si>
    <t>15/06/23</t>
  </si>
  <si>
    <t>HFU0000019</t>
  </si>
  <si>
    <t>Chandrapur Coal -Slack</t>
  </si>
  <si>
    <t>31/07/23</t>
  </si>
  <si>
    <t>26/08/23</t>
  </si>
  <si>
    <t>Foldpack India Private Limited</t>
  </si>
  <si>
    <t>01/07/23</t>
  </si>
  <si>
    <t>09/08/23</t>
  </si>
  <si>
    <t>16/07/23</t>
  </si>
  <si>
    <t>HPM0000033</t>
  </si>
  <si>
    <t>SODIUM STARCH GLYCOLATE – STARGEL Paper Bag</t>
  </si>
  <si>
    <t>13/09/23</t>
  </si>
  <si>
    <t>13/08/23</t>
  </si>
  <si>
    <t>12/08/23</t>
  </si>
  <si>
    <t>05/05/23</t>
  </si>
  <si>
    <t>13/05/23</t>
  </si>
  <si>
    <t>14/05/23</t>
  </si>
  <si>
    <t>HPM0000004</t>
  </si>
  <si>
    <t>HICEL Paper Bags</t>
  </si>
  <si>
    <t>HFU0000008</t>
  </si>
  <si>
    <t>G8 CRR COAL</t>
  </si>
  <si>
    <t>HPM0000028</t>
  </si>
  <si>
    <t>MAGNESIUM STEARATE PAPER BAGS</t>
  </si>
  <si>
    <t>HPM0000040</t>
  </si>
  <si>
    <t>HICEL HDPE BAGS (3 Years)</t>
  </si>
  <si>
    <t>07/10/23</t>
  </si>
  <si>
    <t>21/08/23</t>
  </si>
  <si>
    <t>19/05/23</t>
  </si>
  <si>
    <t>17/05/23</t>
  </si>
  <si>
    <t>18/05/23</t>
  </si>
  <si>
    <t>11/05/23</t>
  </si>
  <si>
    <t>11/09/23</t>
  </si>
  <si>
    <t>25/07/23</t>
  </si>
  <si>
    <t>22/09/23</t>
  </si>
  <si>
    <t>30/09/23</t>
  </si>
  <si>
    <t>03/10/23</t>
  </si>
  <si>
    <t>09/06/23</t>
  </si>
  <si>
    <t>HPM0000018</t>
  </si>
  <si>
    <t>FAC COATCEL Bags</t>
  </si>
  <si>
    <t>Sbf pharma</t>
  </si>
  <si>
    <t>HTRM000026</t>
  </si>
  <si>
    <t>Dibasic Calcium Phosphate Dihydrate USP/BP</t>
  </si>
  <si>
    <t>100% Advance</t>
  </si>
  <si>
    <t>04/05/23</t>
  </si>
  <si>
    <t>24/05/23</t>
  </si>
  <si>
    <t>HPM0000032</t>
  </si>
  <si>
    <t>HiLose Paper Bags (Gazzet Printed) (CCS)</t>
  </si>
  <si>
    <t>G.A.Paper International Inc.</t>
  </si>
  <si>
    <t>HRM0000038</t>
  </si>
  <si>
    <t>Stora Enso - SUPREME Pulp</t>
  </si>
  <si>
    <t>Documents Against Payment</t>
  </si>
  <si>
    <t>12/09/23</t>
  </si>
  <si>
    <t>05/10/23</t>
  </si>
  <si>
    <t>Sanjay Chem Products</t>
  </si>
  <si>
    <t>21/06/23</t>
  </si>
  <si>
    <t>HPM0000041</t>
  </si>
  <si>
    <t>HDPE Drum - 50 Ltrs (25 Kgs)</t>
  </si>
  <si>
    <t>30/06/23</t>
  </si>
  <si>
    <t>10/10/23</t>
  </si>
  <si>
    <t>14/10/23</t>
  </si>
  <si>
    <t>HPM0000031</t>
  </si>
  <si>
    <t>HiCel Paper Bags (Gazzet Printed)(MCCS)</t>
  </si>
  <si>
    <t>27/06/23</t>
  </si>
  <si>
    <t>BLUECRAFT AGRO PRIVATE LIMIMITED</t>
  </si>
  <si>
    <t>HTRM000001</t>
  </si>
  <si>
    <t>SODIUM STARCH GLYCOLATE (MAIZE BASED) IP</t>
  </si>
  <si>
    <t>30days</t>
  </si>
  <si>
    <t>02/05/23</t>
  </si>
  <si>
    <t>09/10/23</t>
  </si>
  <si>
    <t>Sunshine Organic Pvt Ltd</t>
  </si>
  <si>
    <t>10/04/23</t>
  </si>
  <si>
    <t>HTRM000004</t>
  </si>
  <si>
    <t>MAGLUB - Magnesium stearate</t>
  </si>
  <si>
    <t>100% against Delivery</t>
  </si>
  <si>
    <t>15/05/23</t>
  </si>
  <si>
    <t>16/09/23</t>
  </si>
  <si>
    <t>11/06/23</t>
  </si>
  <si>
    <t>25/09/23</t>
  </si>
  <si>
    <t>100% against delivery</t>
  </si>
  <si>
    <t>Pragati Poly Plast India (Pvt) Ltd</t>
  </si>
  <si>
    <t>12/06/23</t>
  </si>
  <si>
    <t>Cellulose Solutions Pvt Ltd</t>
  </si>
  <si>
    <t>HCC0000023</t>
  </si>
  <si>
    <t>SODIUM CMC(viscous- 3000-3500 CPS)</t>
  </si>
  <si>
    <t>19/09/23</t>
  </si>
  <si>
    <t>Karthik Enterprises</t>
  </si>
  <si>
    <t>05/09/23</t>
  </si>
  <si>
    <t>HCC0000032</t>
  </si>
  <si>
    <t>R O Water</t>
  </si>
  <si>
    <t>04/09/23</t>
  </si>
  <si>
    <t>Ltr</t>
  </si>
  <si>
    <t>31/08/23</t>
  </si>
  <si>
    <t>Sri Venkateshwara Enterprises</t>
  </si>
  <si>
    <t>18/08/23</t>
  </si>
  <si>
    <t>N.E. IMPEX PRIVATE LIMITED</t>
  </si>
  <si>
    <t>HRM0000031</t>
  </si>
  <si>
    <t>BH Kraft Pulp (RIAU)</t>
  </si>
  <si>
    <t>100% Against receipt of material.</t>
  </si>
  <si>
    <t>22/08/23</t>
  </si>
  <si>
    <t>23/08/23</t>
  </si>
  <si>
    <t>50% advance and 50% against delivery</t>
  </si>
  <si>
    <t>Ascot Pharmachem Pvt Ltd</t>
  </si>
  <si>
    <t>HTRM000009</t>
  </si>
  <si>
    <t>SODIUM STARCH GLYCOLATE (POTATO BASED)</t>
  </si>
  <si>
    <t>60 DAYS</t>
  </si>
  <si>
    <t>12/05/23</t>
  </si>
  <si>
    <t>Uttej Polymers &amp; Chemicals</t>
  </si>
  <si>
    <t>HCC0000031</t>
  </si>
  <si>
    <t>Coal Additive</t>
  </si>
  <si>
    <t>Ramya Group</t>
  </si>
  <si>
    <t>HCC0000012</t>
  </si>
  <si>
    <t>Hydrogen Peroxide</t>
  </si>
  <si>
    <t>100% Advance along with PO.</t>
  </si>
  <si>
    <t>10/06/23</t>
  </si>
  <si>
    <t>Prachin Chemicals_Vendor</t>
  </si>
  <si>
    <t>HTRM000007</t>
  </si>
  <si>
    <t>CROSSCARMELLOSE SODIUM USP</t>
  </si>
  <si>
    <t>30% Advance and Balance 30 Days Credit for date of receipt of material.</t>
  </si>
  <si>
    <t>15/10/23</t>
  </si>
  <si>
    <t>HCC0000010</t>
  </si>
  <si>
    <t>Caustic Soda Flakes</t>
  </si>
  <si>
    <t>HPM0000055</t>
  </si>
  <si>
    <t>ACEFIBER PAPER BAGS</t>
  </si>
  <si>
    <t>30 days</t>
  </si>
  <si>
    <t>19/06/23</t>
  </si>
  <si>
    <t>28/09/23</t>
  </si>
  <si>
    <t>HCC0000033</t>
  </si>
  <si>
    <t>BO Water</t>
  </si>
  <si>
    <t>15/09/23</t>
  </si>
  <si>
    <t>20/06/23</t>
  </si>
  <si>
    <t>16/10/23</t>
  </si>
  <si>
    <t>HCC0000005</t>
  </si>
  <si>
    <t>SODIUM CMC(M. viscous)</t>
  </si>
  <si>
    <t>14/06/23</t>
  </si>
  <si>
    <t>25/06/23</t>
  </si>
  <si>
    <t>23/09/23</t>
  </si>
  <si>
    <t>17/10/23</t>
  </si>
  <si>
    <t>29/08/23</t>
  </si>
  <si>
    <t>HPM0000035</t>
  </si>
  <si>
    <t>PURIFIED TALC – PURETALC Paper Bag</t>
  </si>
  <si>
    <t>HPM0000019</t>
  </si>
  <si>
    <t>FAC Alpha Cellulose Bags</t>
  </si>
  <si>
    <t>S S Enterprises (Water)</t>
  </si>
  <si>
    <t>03/05/23</t>
  </si>
  <si>
    <t>Delivery time(in days)</t>
  </si>
  <si>
    <t>DPM0000036</t>
  </si>
  <si>
    <t>PAPER BAG HiLose</t>
  </si>
  <si>
    <t>30 DAYS</t>
  </si>
  <si>
    <t>12/04/23</t>
  </si>
  <si>
    <t>04/04/23</t>
  </si>
  <si>
    <t>DPM0000055</t>
  </si>
  <si>
    <t>PAPER BAG HILOSE SMALL SIZE 15.5 X 4 X 31</t>
  </si>
  <si>
    <t>Bharat Petroleum Corporation Ltd</t>
  </si>
  <si>
    <t>27/05/23</t>
  </si>
  <si>
    <t>DFU0000001</t>
  </si>
  <si>
    <t>FURNACE OIL (180 CST)</t>
  </si>
  <si>
    <t>advance</t>
  </si>
  <si>
    <t>02/06/23</t>
  </si>
  <si>
    <t>Akar Multi Form</t>
  </si>
  <si>
    <t>03/07/23</t>
  </si>
  <si>
    <t>DCN0000089</t>
  </si>
  <si>
    <t>PLAIN STICKER 4 X 6 WITH RIBBON</t>
  </si>
  <si>
    <t>30/05/23</t>
  </si>
  <si>
    <t>Sigachi Industries Limited</t>
  </si>
  <si>
    <t>DRM0000001</t>
  </si>
  <si>
    <t>WOOD PULP SAPPI</t>
  </si>
  <si>
    <t>Against Delivery</t>
  </si>
  <si>
    <t>DPM0000017</t>
  </si>
  <si>
    <t>PLASTIC PALLET 1200 MM X 1000 MM</t>
  </si>
  <si>
    <t>30 DAYS NET</t>
  </si>
  <si>
    <t>29/07/23</t>
  </si>
  <si>
    <t>SKYWIN ENTERPRISE</t>
  </si>
  <si>
    <t>29/05/23</t>
  </si>
  <si>
    <t>DFU0000002</t>
  </si>
  <si>
    <t>COAL SIZE - 0-50 MM</t>
  </si>
  <si>
    <t>15 DAYS</t>
  </si>
  <si>
    <t>SHREE ACID AND CHEMICALS</t>
  </si>
  <si>
    <t>DCC0000003</t>
  </si>
  <si>
    <t>HYDROCHLORIC ACID 30% - 33%</t>
  </si>
  <si>
    <t>13/04/23</t>
  </si>
  <si>
    <t>DFG0000078</t>
  </si>
  <si>
    <t>CROSSCARMELLOSE SODIUM</t>
  </si>
  <si>
    <t>30% Advance and Balance 30 Days form date of Receipt of Material.</t>
  </si>
  <si>
    <t>15/04/23</t>
  </si>
  <si>
    <t>DFG0000099</t>
  </si>
  <si>
    <t>Sodium Starch Glycolate Maize - Type A</t>
  </si>
  <si>
    <t>30 Days</t>
  </si>
  <si>
    <t>Aerochem Laboratories</t>
  </si>
  <si>
    <t>DCC0000001</t>
  </si>
  <si>
    <t>ANHYDROUS AMMONIA GAS</t>
  </si>
  <si>
    <t>Duttchem Enterprise</t>
  </si>
  <si>
    <t>Shree Shyam Enterprises</t>
  </si>
  <si>
    <t>DPM0000023</t>
  </si>
  <si>
    <t>GI PACKING CLIP 16MM</t>
  </si>
  <si>
    <t>DRM0000003</t>
  </si>
  <si>
    <t>WOOD PULP CELLUFLEX</t>
  </si>
  <si>
    <t>14/07/23</t>
  </si>
  <si>
    <t>DFU0000003</t>
  </si>
  <si>
    <t>COAL 20-50MM</t>
  </si>
  <si>
    <t>17/08/23</t>
  </si>
  <si>
    <t>Crystal coal corporation</t>
  </si>
  <si>
    <t>07/04/23</t>
  </si>
  <si>
    <t>05/04/23</t>
  </si>
  <si>
    <t>01/05/23</t>
  </si>
  <si>
    <t>DPM0000014</t>
  </si>
  <si>
    <t>2 PLY CORRUGATE SHEETS</t>
  </si>
  <si>
    <t>VITTAL PHARMA CHEM</t>
  </si>
  <si>
    <t>DQC0000998</t>
  </si>
  <si>
    <t>Metoprolol Succinate USP/BP/EP Grade</t>
  </si>
  <si>
    <t>28/04/23</t>
  </si>
  <si>
    <t>DPM0000016</t>
  </si>
  <si>
    <t>PLASTIC PALLET 1100MM X 1100MM</t>
  </si>
  <si>
    <t>26/07/23</t>
  </si>
  <si>
    <t>08/08/23</t>
  </si>
  <si>
    <t>Patkar Extrusions Pvt Ltd</t>
  </si>
  <si>
    <t>DPM0000015</t>
  </si>
  <si>
    <t>WRAPPING 23 MICORN 450 MM</t>
  </si>
  <si>
    <t>DCN0000963</t>
  </si>
  <si>
    <t>NON FERRIC ALUM</t>
  </si>
  <si>
    <t>01/06/23</t>
  </si>
  <si>
    <t>21/05/23</t>
  </si>
  <si>
    <t>20/05/23</t>
  </si>
  <si>
    <t>16/04/23</t>
  </si>
  <si>
    <t>RADHA KRISHNA CHEMICALS</t>
  </si>
  <si>
    <t>22/04/23</t>
  </si>
  <si>
    <t>DCC0000007</t>
  </si>
  <si>
    <t>HYDROGEN PEROXIDE 50%</t>
  </si>
  <si>
    <t>23/04/23</t>
  </si>
  <si>
    <t>22/07/23</t>
  </si>
  <si>
    <t>DPM0000060</t>
  </si>
  <si>
    <t>Paper Bag BARETAB PH</t>
  </si>
  <si>
    <t>08/07/23</t>
  </si>
  <si>
    <t>01/04/23</t>
  </si>
  <si>
    <t>03/04/23</t>
  </si>
  <si>
    <t>HELIK ENTERPRISE</t>
  </si>
  <si>
    <t>DCC0000006</t>
  </si>
  <si>
    <t>LIME 85%</t>
  </si>
  <si>
    <t>22/05/23</t>
  </si>
  <si>
    <t>DCC0000005</t>
  </si>
  <si>
    <t>SODIUM CHLORITE 80%</t>
  </si>
  <si>
    <t>ADVANCE</t>
  </si>
  <si>
    <t>Shree Gopal Celluchem Pvt Ltd</t>
  </si>
  <si>
    <t>DPM0000008</t>
  </si>
  <si>
    <t>POLYTHENE LINER 26 X 42</t>
  </si>
  <si>
    <t>20/04/23</t>
  </si>
  <si>
    <t>DCN0000964</t>
  </si>
  <si>
    <t>PP ROPE 08 MM YELLOW</t>
  </si>
  <si>
    <t>25/04/23</t>
  </si>
  <si>
    <t>DRM0000324</t>
  </si>
  <si>
    <t>Alabama</t>
  </si>
  <si>
    <t>DFG0000101</t>
  </si>
  <si>
    <t>Sodium Starch Glycolate Potato - Type A</t>
  </si>
  <si>
    <t>04/06/23</t>
  </si>
  <si>
    <t>Ganpati Energy Pvt Ltd</t>
  </si>
  <si>
    <t>02/07/23</t>
  </si>
  <si>
    <t>DPM0000019</t>
  </si>
  <si>
    <t>PP THREAD</t>
  </si>
  <si>
    <t>ENVEE DRUGS PVT LTD</t>
  </si>
  <si>
    <t>DQC0001001</t>
  </si>
  <si>
    <t>Lithium Carbonate USP/BP/EP Grade</t>
  </si>
  <si>
    <t>10/07/23</t>
  </si>
  <si>
    <t>GEM Pharma Machineries</t>
  </si>
  <si>
    <t>DEN0003339</t>
  </si>
  <si>
    <t>316 L Mesh No 30 (340 mm x 340 mm) Round Shape for Vibro Sifter  With Certificate</t>
  </si>
  <si>
    <t>100% against Delevery</t>
  </si>
  <si>
    <t>DPM0000001</t>
  </si>
  <si>
    <t>PAPER BAG HICEL</t>
  </si>
  <si>
    <t>DEN0003341</t>
  </si>
  <si>
    <t>316 L Mesh No 100 (340 mm x 340 mm) Round Shape for Vibro Sifter  With Certificate</t>
  </si>
  <si>
    <t>DEN0003342</t>
  </si>
  <si>
    <t>316 L Mesh No 150 (340 mm x 340 mm) Round Shape for Vibro Sifter  With Certificate</t>
  </si>
  <si>
    <t>DEN0003340</t>
  </si>
  <si>
    <t>316 L Mesh No 40 (340 mm x 340 mm) Round Shape for Vibro Sifter  With Certificate</t>
  </si>
  <si>
    <t>18/06/23</t>
  </si>
  <si>
    <t>13/07/23</t>
  </si>
  <si>
    <t>30 Days Credit</t>
  </si>
  <si>
    <t>DPM0000003</t>
  </si>
  <si>
    <t>PAPER BAG SMCC</t>
  </si>
  <si>
    <t>DPM0000006</t>
  </si>
  <si>
    <t>PAPER BAG PLAIN WHITE</t>
  </si>
  <si>
    <t>19/07/23</t>
  </si>
  <si>
    <t>15/08/23</t>
  </si>
  <si>
    <t>26/04/23</t>
  </si>
  <si>
    <t>21/07/23</t>
  </si>
  <si>
    <t>DENETP0165</t>
  </si>
  <si>
    <t>SODA ASH</t>
  </si>
  <si>
    <t>Rejected</t>
  </si>
  <si>
    <t>07/09/23</t>
  </si>
  <si>
    <t>JUPITER PETROCHEM</t>
  </si>
  <si>
    <t>100 % ADVANCE</t>
  </si>
  <si>
    <t>DPM0000032</t>
  </si>
  <si>
    <t>""HICEL PRINTED WHITE PAPER BAG 21"" X 36"" WITHOUT LINER (RETEST 3 YEARS)"</t>
  </si>
  <si>
    <t>06/08/23</t>
  </si>
  <si>
    <t>DEN0003338</t>
  </si>
  <si>
    <t>316 L Mesh No 20 (340 mm x 340 mm) Round Shape for Vibro Sifter With Certificate</t>
  </si>
  <si>
    <t>DEN0003343</t>
  </si>
  <si>
    <t>316 L Mesh No 200 (340 mm x 340 mm) Round Shape for Vibro Sifter  With Certificate</t>
  </si>
  <si>
    <t>Avinashi Enterprise</t>
  </si>
  <si>
    <t>03/09/23</t>
  </si>
  <si>
    <t>DPM0000022</t>
  </si>
  <si>
    <t>""PP STRAPPING ROLLS 16MM PRINTED ""DAHEJ SEZ"""</t>
  </si>
  <si>
    <t>02/09/23</t>
  </si>
  <si>
    <t>DPM0000030</t>
  </si>
  <si>
    <t>HDPE BLUE COLOUR BAG SIZE 24'' X 40'',WEIGHT 120 GRAM</t>
  </si>
  <si>
    <t>DPM0000031</t>
  </si>
  <si>
    <t>HDPE YELLOW COLOUR BAG SIZE 24'' X 40'',WEIGHT 120 GRAM</t>
  </si>
  <si>
    <t>20/08/23</t>
  </si>
  <si>
    <t>DPM0000052</t>
  </si>
  <si>
    <t>PAPER BAG HICEL HFE</t>
  </si>
  <si>
    <t>DPM0000056</t>
  </si>
  <si>
    <t>Paper Bag Stargel SMALL SIZE 15.5 X 4 X 31</t>
  </si>
  <si>
    <t>09/04/23</t>
  </si>
  <si>
    <t>DTFG0000002</t>
  </si>
  <si>
    <t>PURE TALC</t>
  </si>
  <si>
    <t>30 days after material received</t>
  </si>
  <si>
    <t>DPM0000021</t>
  </si>
  <si>
    <t>PLYWOOD SHEET 1100MM X 1100MM X 6-8MM</t>
  </si>
  <si>
    <t>24/09/23</t>
  </si>
  <si>
    <t>J.K.Marketing</t>
  </si>
  <si>
    <t>DCC0000004</t>
  </si>
  <si>
    <t>CAUSTIC SODA LYE 48%</t>
  </si>
  <si>
    <t>01/10/23</t>
  </si>
  <si>
    <t>DPM0000038</t>
  </si>
  <si>
    <t>""PAPER BAG 21"" X 36"" ""PURE TALC"""</t>
  </si>
  <si>
    <t>29/09/23</t>
  </si>
  <si>
    <t>Hari Krishna Stationery</t>
  </si>
  <si>
    <t>Rayonier A M Sales &amp; Technology Inc</t>
  </si>
  <si>
    <t>DRM0000339</t>
  </si>
  <si>
    <t>WOOD PULP Raywhite Sulfatate Pulp</t>
  </si>
  <si>
    <t>90 days from B/L date</t>
  </si>
  <si>
    <t>19/08/23</t>
  </si>
  <si>
    <t>13/10/23</t>
  </si>
  <si>
    <t>06/10/23</t>
  </si>
  <si>
    <t>DPM0000025</t>
  </si>
  <si>
    <t>""HICEL PRINTED WHITE PAPER BAG 21"" X 36"" WITHOUT LINER (5 YEARS)"</t>
  </si>
  <si>
    <t>08/10/23</t>
  </si>
  <si>
    <t>10/09/23</t>
  </si>
  <si>
    <t>15 days</t>
  </si>
  <si>
    <t>Mercury Industries</t>
  </si>
  <si>
    <t>DPM0000026</t>
  </si>
  <si>
    <t>""PLASTIC LINER BAG 26"" X 42"" GSM-85"</t>
  </si>
  <si>
    <t>27/09/23</t>
  </si>
  <si>
    <t>11/10/23</t>
  </si>
  <si>
    <t>45 days</t>
  </si>
  <si>
    <t>12/10/23</t>
  </si>
  <si>
    <t>27/08/23</t>
  </si>
  <si>
    <t>45 Days</t>
  </si>
  <si>
    <t>27/07/23</t>
  </si>
  <si>
    <t>28/07/23</t>
  </si>
  <si>
    <t>20/10/23</t>
  </si>
  <si>
    <t>DCN0000011</t>
  </si>
  <si>
    <t>COTTON WASTE</t>
  </si>
  <si>
    <t>19/10/23</t>
  </si>
  <si>
    <t>02/10/23</t>
  </si>
  <si>
    <t>21/10/23</t>
  </si>
  <si>
    <t>04/10/23</t>
  </si>
  <si>
    <t xml:space="preserve">Helper column 2 </t>
  </si>
  <si>
    <t>JCC0000001</t>
  </si>
  <si>
    <t>HYDROCHLORIC ACID 30%-33%</t>
  </si>
  <si>
    <t>JPM0000004</t>
  </si>
  <si>
    <t>HDPE BAG  ACE CEL  ( JHAGADIA) 24 x 40  (Wieght -120gm + -5)</t>
  </si>
  <si>
    <t>30 Days Net</t>
  </si>
  <si>
    <t>Jaysons Chemical Industries Vapi</t>
  </si>
  <si>
    <t>JCC0000002</t>
  </si>
  <si>
    <t>ANHYDROUS AMMONIA</t>
  </si>
  <si>
    <t>JPM0000001</t>
  </si>
  <si>
    <t>HDPE BAG GLOCEL Size 24 x40 (Wieght -120gm + -5)</t>
  </si>
  <si>
    <t>30/04/23</t>
  </si>
  <si>
    <t>JCC0000003</t>
  </si>
  <si>
    <t>Caustic Soda Lye</t>
  </si>
  <si>
    <t>JPM0000009</t>
  </si>
  <si>
    <t>PLASTIC PALLET ( Size  1100mm x 1100mm x 120mm) Black Colour</t>
  </si>
  <si>
    <t>JPM0000008</t>
  </si>
  <si>
    <t>""Liner Bags  Size 26 x 48    (Wieght -75g + -5)</t>
  </si>
  <si>
    <t>JFU0000002</t>
  </si>
  <si>
    <t>IMPORTED COAL 20 to 50 MM</t>
  </si>
  <si>
    <t>JRM0000006</t>
  </si>
  <si>
    <t>JPM0000024</t>
  </si>
  <si>
    <t>""PAPER BAG ""ACECEL""   ( JHAGADIA ADDRESS) Size 21 x 36"""""""</t>
  </si>
  <si>
    <t>IMMEDIATE</t>
  </si>
  <si>
    <t>JRM0000008</t>
  </si>
  <si>
    <t>JPM0000012</t>
  </si>
  <si>
    <t>Corrugated Sheet ( 1100mmx 1100mm)</t>
  </si>
  <si>
    <t>JPM0000010</t>
  </si>
  <si>
    <t>""Stretch wrapping film 18 width 23 Micron"""""""</t>
  </si>
  <si>
    <t>Dhanalaxmi Roto Spinners Ltd</t>
  </si>
  <si>
    <t>JCC0000005</t>
  </si>
  <si>
    <t>SLAKED LIME 85%</t>
  </si>
  <si>
    <t>JCC0000004</t>
  </si>
  <si>
    <t>100% ADVANCE</t>
  </si>
  <si>
    <t>JRM0000005</t>
  </si>
  <si>
    <t>ALABAMA</t>
  </si>
  <si>
    <t>JTFG0000004</t>
  </si>
  <si>
    <t>SODIUM STARCH GLYCOLATE TYPE - A (POTATO BASED) BP/EP/USP</t>
  </si>
  <si>
    <t>CELLPAP MERCANTILE LLP</t>
  </si>
  <si>
    <t>100% on handing over high sea sale agreement orginel along with non negotiable documents.</t>
  </si>
  <si>
    <t>JTFG0000013</t>
  </si>
  <si>
    <t>UNIVERSAL CHEM</t>
  </si>
  <si>
    <t>JRM0000013</t>
  </si>
  <si>
    <t>JPM0000006</t>
  </si>
  <si>
    <t>""PAPER BAG ""ACECEL""   ( HYDERABAD ADDRESS) Size 21 x 36"</t>
  </si>
  <si>
    <t>60 days credit from Arival Date at POD</t>
  </si>
  <si>
    <t>JPM0000003</t>
  </si>
  <si>
    <t>HDPE BAG PLAIN 24x 40   (Wieght -120gm + -5)</t>
  </si>
  <si>
    <t>23/07/23</t>
  </si>
  <si>
    <t>JCN0000626</t>
  </si>
  <si>
    <t>Plywood Sheet 1080mm x 1080mm</t>
  </si>
  <si>
    <t>""Liner Bags  Size 26 x 48    (Wieght -75g + -5)"""""</t>
  </si>
  <si>
    <t>18/10/23</t>
  </si>
  <si>
    <t>02/04/23</t>
  </si>
  <si>
    <t>08/04/23</t>
  </si>
  <si>
    <t>GeneralItems01</t>
  </si>
  <si>
    <t>General Items</t>
  </si>
  <si>
    <t>NOS</t>
  </si>
  <si>
    <t>HUFORT HEALTHCARE PRIVATE LIMITED</t>
  </si>
  <si>
    <t>SURM0000097</t>
  </si>
  <si>
    <t>Vitamin B12 (Cyanocobalamin)</t>
  </si>
  <si>
    <t>KP MANISH GLOBAL INGREDIENTS PRIVATE LIMITED</t>
  </si>
  <si>
    <t>SURM0000157</t>
  </si>
  <si>
    <t>Lycopene</t>
  </si>
  <si>
    <t>Safepack Industries Limited</t>
  </si>
  <si>
    <t>SUPM0000020</t>
  </si>
  <si>
    <t>Alluminium Pouch-20W*28H</t>
  </si>
  <si>
    <t>Nos.</t>
  </si>
  <si>
    <t>New Alliance Fine Chem Pvt Ltd</t>
  </si>
  <si>
    <t>SURM0000042</t>
  </si>
  <si>
    <t>Ferric Sodium EDTA</t>
  </si>
  <si>
    <t>S K ENTERPRISES</t>
  </si>
  <si>
    <t>SURM0000129</t>
  </si>
  <si>
    <t>Copper Nitrate</t>
  </si>
  <si>
    <t>ARIHANT PURECHEM PVT. LTD.</t>
  </si>
  <si>
    <t>SURM0000099</t>
  </si>
  <si>
    <t>Ferric pyrophosphate</t>
  </si>
  <si>
    <t>KG</t>
  </si>
  <si>
    <t>M N CHEMICALS LTD</t>
  </si>
  <si>
    <t>SURM0000128</t>
  </si>
  <si>
    <t>Sodium Chloride</t>
  </si>
  <si>
    <t>SMRITI CHEMICALS</t>
  </si>
  <si>
    <t>SURM0000010</t>
  </si>
  <si>
    <t>Ferrous sulphate -general grade</t>
  </si>
  <si>
    <t>MSC Chemicals</t>
  </si>
  <si>
    <t>SURM0000045</t>
  </si>
  <si>
    <t>L-lysine HCL</t>
  </si>
  <si>
    <t>Immediate</t>
  </si>
  <si>
    <t>VISHNUPRIYA CHEMICALS PRIVATE LIMITED</t>
  </si>
  <si>
    <t>SURM0000127</t>
  </si>
  <si>
    <t>Potassium Sulphate</t>
  </si>
  <si>
    <t>JUBILANT INGREVIALIMITED</t>
  </si>
  <si>
    <t>SURM0000031</t>
  </si>
  <si>
    <t>Niacinamide</t>
  </si>
  <si>
    <t>Forbes Pharmaceuticals</t>
  </si>
  <si>
    <t>SURM0000130</t>
  </si>
  <si>
    <t>Zinc Sulphate</t>
  </si>
  <si>
    <t>CHEMLIFE INNOVATIONS PRIVATE LIMITED</t>
  </si>
  <si>
    <t>SURM0000063</t>
  </si>
  <si>
    <t>Chromium (III) Nicotinamide</t>
  </si>
  <si>
    <t>kg</t>
  </si>
  <si>
    <t>DIVINE PHARMA</t>
  </si>
  <si>
    <t>SURM0000025</t>
  </si>
  <si>
    <t>Folic Acid</t>
  </si>
  <si>
    <t>30 Day Credit</t>
  </si>
  <si>
    <t>MACSEN DRUGS</t>
  </si>
  <si>
    <t>SURM0000159</t>
  </si>
  <si>
    <t>Selenious Acid</t>
  </si>
  <si>
    <t>VITAL THEARAPEUTICS PVT LTD</t>
  </si>
  <si>
    <t>SURM0000012</t>
  </si>
  <si>
    <t>Immediate After Delivery</t>
  </si>
  <si>
    <t>Folic acid</t>
  </si>
  <si>
    <t>Valaji Pharma Chem</t>
  </si>
  <si>
    <t>SURM0000083</t>
  </si>
  <si>
    <t>Copper Sulphate Anhydrous</t>
  </si>
  <si>
    <t>DHRUV CHEMICALS</t>
  </si>
  <si>
    <t>SURM0000070</t>
  </si>
  <si>
    <t>Sodium Molybdate</t>
  </si>
  <si>
    <t>CALIBRE CHEMICALS PVT. LTD.</t>
  </si>
  <si>
    <t>SURM0000108</t>
  </si>
  <si>
    <t>Potassium Iodide</t>
  </si>
  <si>
    <t>SURM0000153</t>
  </si>
  <si>
    <t>Vitamin K</t>
  </si>
  <si>
    <t>KRONOX LAB SCIENCES LIMITED</t>
  </si>
  <si>
    <t>SURM0000133</t>
  </si>
  <si>
    <t>Magnesium Phosphate Dibasic</t>
  </si>
  <si>
    <t>SURM0000131</t>
  </si>
  <si>
    <t>Calcium Sulphate Anhydrous</t>
  </si>
  <si>
    <t>Akruthi Enterprises</t>
  </si>
  <si>
    <t>SUPM0000056</t>
  </si>
  <si>
    <t>Green Colour HDPE Drum with lid and side handle (50ltr Capacity)</t>
  </si>
  <si>
    <t>SURM0000086</t>
  </si>
  <si>
    <t>Potassium carbonate anhydrous</t>
  </si>
  <si>
    <t>Against delivery</t>
  </si>
  <si>
    <t>KARNATAKA CHEMICAL INDUSTRIES</t>
  </si>
  <si>
    <t>SURM0000037</t>
  </si>
  <si>
    <t>Pyridoxine Hydrochloride</t>
  </si>
  <si>
    <t>Annapurna Sales Company</t>
  </si>
  <si>
    <t>SUPM0000057</t>
  </si>
  <si>
    <t>Printed Strapping Roll Size 12mm Width transparent</t>
  </si>
  <si>
    <t>100% Advance Along With PO</t>
  </si>
  <si>
    <t>EDGE PACK SOLUTIONS</t>
  </si>
  <si>
    <t>SUPM0000031</t>
  </si>
  <si>
    <t>Edge Board - 50 X 50 X 5 X 960</t>
  </si>
  <si>
    <t>SUDEEP NUTRITION PVT. LTD.</t>
  </si>
  <si>
    <t>SURM0000032</t>
  </si>
  <si>
    <t>Vitamin A Acetate 325 CWS</t>
  </si>
  <si>
    <t>30 DAYS CREDIT</t>
  </si>
  <si>
    <t>SURM0000001</t>
  </si>
  <si>
    <t>Cellulose gel (Micro crystalline cellulose)</t>
  </si>
  <si>
    <t>SURM0000119</t>
  </si>
  <si>
    <t>Sodium molybdate.2H2O</t>
  </si>
  <si>
    <t>Agarwal Life Science Pvt Ltd</t>
  </si>
  <si>
    <t>SURM0000023</t>
  </si>
  <si>
    <t>Ferrous Fumarate</t>
  </si>
  <si>
    <t>VITAL THERAPEUTICS AND FORMULATIONS PRIVATE LIMITED</t>
  </si>
  <si>
    <t>SURM0000078</t>
  </si>
  <si>
    <t>Vitamin B12 1% 99% Starch</t>
  </si>
  <si>
    <t>GD Nutricare</t>
  </si>
  <si>
    <t>SURM0000036</t>
  </si>
  <si>
    <t>Calcium d Pantothenate</t>
  </si>
  <si>
    <t>SUPM0000032</t>
  </si>
  <si>
    <t>Edge Board - 50 X 50 X 5 X 820</t>
  </si>
  <si>
    <t>SURM0000104</t>
  </si>
  <si>
    <t>Magnesium stearate</t>
  </si>
  <si>
    <t>HIMACHAL POLYOLEFINS LTD .</t>
  </si>
  <si>
    <t>SURM0000059</t>
  </si>
  <si>
    <t>Calcium Carbonate Anhydrous</t>
  </si>
  <si>
    <t>SURM0000138</t>
  </si>
  <si>
    <t>Tri basic calcium phosphate</t>
  </si>
  <si>
    <t>Mangalam Chemicals</t>
  </si>
  <si>
    <t>SURM0000112</t>
  </si>
  <si>
    <t>Manganese Chloride</t>
  </si>
  <si>
    <t>CHRISTY FRIEDGRAM INDUSTRY</t>
  </si>
  <si>
    <t>SURM0000109</t>
  </si>
  <si>
    <t>Wheat starch</t>
  </si>
  <si>
    <t>SURM0000139</t>
  </si>
  <si>
    <t>Dibasic calcium phosphate anhydrous</t>
  </si>
  <si>
    <t>SALVI CHEMICAL INDUSTRIES LIMITED</t>
  </si>
  <si>
    <t>SURM0000118</t>
  </si>
  <si>
    <t>Sodium selenite.5H2O</t>
  </si>
  <si>
    <t>SURM0000085</t>
  </si>
  <si>
    <t>Dicalcium Phosphate anhydrous</t>
  </si>
  <si>
    <t>Supreem Pharmaceuticals Mysore Pvt. Ltd.</t>
  </si>
  <si>
    <t>SURM0000033</t>
  </si>
  <si>
    <t>Vitamin D3 100 CWS</t>
  </si>
  <si>
    <t>SUPM0000054</t>
  </si>
  <si>
    <t>Yellow Colour HDPE Drum with lid and side handle(50Ltr capacity)</t>
  </si>
  <si>
    <t>SUN LIFE SCIENCES</t>
  </si>
  <si>
    <t>SUPM0000053</t>
  </si>
  <si>
    <t>PLASTIC PALLET (Size 1000 MM X 1000MM)</t>
  </si>
  <si>
    <t>SURM0000027</t>
  </si>
  <si>
    <t>Vit A Palmitate 250 CWS</t>
  </si>
  <si>
    <t>MINERVA BIOGENIX PVT LTD</t>
  </si>
  <si>
    <t>SURM0000113</t>
  </si>
  <si>
    <t>Vitamin E 50% CWS</t>
  </si>
  <si>
    <t>UNIVERSAL STARCH CHEM ALLIED LIMITED</t>
  </si>
  <si>
    <t>SURM0000052</t>
  </si>
  <si>
    <t>Maize Starch</t>
  </si>
  <si>
    <t>kG</t>
  </si>
  <si>
    <t>Nandu Chemicals Pvt Ltd</t>
  </si>
  <si>
    <t>SURM0000136</t>
  </si>
  <si>
    <t>Magnesium sulfate heptahydrate</t>
  </si>
  <si>
    <t>SURM0000106</t>
  </si>
  <si>
    <t>Tricalcium Phosphate Anhydrous</t>
  </si>
  <si>
    <t>SURM0000151</t>
  </si>
  <si>
    <t>Sodium Citrate</t>
  </si>
  <si>
    <t>SURM0000117</t>
  </si>
  <si>
    <t>Zinc sulphate monohydrate</t>
  </si>
  <si>
    <t>ANNEXE CHEM PRIVATE LIMITED</t>
  </si>
  <si>
    <t>SURM0000135</t>
  </si>
  <si>
    <t>Magnesium Gluconate</t>
  </si>
  <si>
    <t>SURM0000096</t>
  </si>
  <si>
    <t>Chromium (III) Chloride hexahydrate</t>
  </si>
  <si>
    <t>100% Advance Payment</t>
  </si>
  <si>
    <t>SURM0000061</t>
  </si>
  <si>
    <t>Magnesium Citrate</t>
  </si>
  <si>
    <t>SURM0000134</t>
  </si>
  <si>
    <t>Calcium Gluconate</t>
  </si>
  <si>
    <t>SURM0000069</t>
  </si>
  <si>
    <t>Magnesium Oxide</t>
  </si>
  <si>
    <t>SURM0000116</t>
  </si>
  <si>
    <t>Vitamin A Palmitate 250 CWS</t>
  </si>
  <si>
    <t>NIMBASIA STABILIZERS</t>
  </si>
  <si>
    <t>SURM0000087</t>
  </si>
  <si>
    <t>Magnesium Oxide anhydrous</t>
  </si>
  <si>
    <t>SURM0000144</t>
  </si>
  <si>
    <t>Chromium picolinate</t>
  </si>
  <si>
    <t>SURM0000137</t>
  </si>
  <si>
    <t>Ferric pyrophasphate of white insoluble</t>
  </si>
  <si>
    <t>Nandlal Bankatlal Pvt ltd</t>
  </si>
  <si>
    <t>SURM0000126</t>
  </si>
  <si>
    <t>Vitamin A Acetate Powder Bead let</t>
  </si>
  <si>
    <t>BDJ OXIDES PRIVATE LIMITED</t>
  </si>
  <si>
    <t>SURM0000024</t>
  </si>
  <si>
    <t>Zinc Oxide</t>
  </si>
  <si>
    <t>SURM0000110</t>
  </si>
  <si>
    <t>Potassium Citrate</t>
  </si>
  <si>
    <t>INDUSTRIAL METAL POWDER (INDIA) PVT LTD</t>
  </si>
  <si>
    <t>SURM0000105</t>
  </si>
  <si>
    <t>Electrolytic Iron</t>
  </si>
  <si>
    <t>SURM0000035</t>
  </si>
  <si>
    <t>Vitamin K1 5% CWS</t>
  </si>
  <si>
    <t>60 Days From Invoice</t>
  </si>
  <si>
    <t>Gangotri Inorganic P Ltd</t>
  </si>
  <si>
    <t>SKC CHEMIE PRIVATE LIMITED</t>
  </si>
  <si>
    <t>SURM0000132</t>
  </si>
  <si>
    <t>Di - Potassium Hydrogen Orthophosphate Anhydrous</t>
  </si>
  <si>
    <t>Category</t>
  </si>
  <si>
    <t>Bags</t>
  </si>
  <si>
    <t>Gas</t>
  </si>
  <si>
    <t>Coal materials</t>
  </si>
  <si>
    <t>Pallets</t>
  </si>
  <si>
    <t>HCL</t>
  </si>
  <si>
    <t>Wood pulp</t>
  </si>
  <si>
    <t>Talc</t>
  </si>
  <si>
    <t>Lime</t>
  </si>
  <si>
    <t>Fibre drum</t>
  </si>
  <si>
    <t>Sodium salts</t>
  </si>
  <si>
    <t>Liner</t>
  </si>
  <si>
    <t>SSG-Bags</t>
  </si>
  <si>
    <t>Calcium salts</t>
  </si>
  <si>
    <t>HDPE</t>
  </si>
  <si>
    <t>SSG - Maize</t>
  </si>
  <si>
    <t>CMC</t>
  </si>
  <si>
    <t>R O water</t>
  </si>
  <si>
    <t>SSG - Potato</t>
  </si>
  <si>
    <t>Peroxide</t>
  </si>
  <si>
    <t>Oil</t>
  </si>
  <si>
    <t>Sticker</t>
  </si>
  <si>
    <t>Clips</t>
  </si>
  <si>
    <t>Ply sheets</t>
  </si>
  <si>
    <t xml:space="preserve">Metoprolol Succinate </t>
  </si>
  <si>
    <t>Wrapping 23</t>
  </si>
  <si>
    <t>PP rope</t>
  </si>
  <si>
    <t>PP thread</t>
  </si>
  <si>
    <t xml:space="preserve">Lithium salts </t>
  </si>
  <si>
    <t>Mesh vibro sifter</t>
  </si>
  <si>
    <t>Soda Ash</t>
  </si>
  <si>
    <t>Strapping rolls</t>
  </si>
  <si>
    <t>HDPE blue bag</t>
  </si>
  <si>
    <t>HDPE yellow bag</t>
  </si>
  <si>
    <t xml:space="preserve">Caustic Soda </t>
  </si>
  <si>
    <t>Cotton waste</t>
  </si>
  <si>
    <t>HDPE bag acecel</t>
  </si>
  <si>
    <t>Anhydrous Ammonia</t>
  </si>
  <si>
    <t>HDPE bag glocel</t>
  </si>
  <si>
    <t>Corrugated sheet</t>
  </si>
  <si>
    <t>Film</t>
  </si>
  <si>
    <t>HDPE plain bag</t>
  </si>
  <si>
    <t>Plywood sheets</t>
  </si>
  <si>
    <t>Pouch</t>
  </si>
  <si>
    <t>EDTA sodium</t>
  </si>
  <si>
    <t>lysine HCL</t>
  </si>
  <si>
    <t>PT</t>
  </si>
  <si>
    <t>Pyment_terms</t>
  </si>
  <si>
    <t>Payment term</t>
  </si>
  <si>
    <t>Count(Hyderabad)</t>
  </si>
  <si>
    <t>Count(Dahej)</t>
  </si>
  <si>
    <t>Count(Jhagadia)</t>
  </si>
  <si>
    <t>Count(Sultanpur)</t>
  </si>
  <si>
    <t>Percentage(Hyderabad)</t>
  </si>
  <si>
    <t>Percentage(Dahej)</t>
  </si>
  <si>
    <t>Percentage(Jhagadia)</t>
  </si>
  <si>
    <t>Percentage(Sultanpur)</t>
  </si>
  <si>
    <t>Plant</t>
  </si>
  <si>
    <t>Approval status</t>
  </si>
  <si>
    <t xml:space="preserve">Payment_terms </t>
  </si>
  <si>
    <t>Item_category</t>
  </si>
  <si>
    <t>Quantity_variance(%)</t>
  </si>
  <si>
    <t>Quantity_Rating</t>
  </si>
  <si>
    <t>Hyderabad</t>
  </si>
  <si>
    <t>Dahej</t>
  </si>
  <si>
    <t>Jhagadia</t>
  </si>
  <si>
    <t>Percentage_Rejection(%)</t>
  </si>
  <si>
    <t>Month</t>
  </si>
  <si>
    <t>days</t>
  </si>
  <si>
    <t>Quantity approved(%)</t>
  </si>
  <si>
    <t>Month number</t>
  </si>
  <si>
    <t>Supplier Name (in terms of quality)</t>
  </si>
  <si>
    <t>Supplier Name (in terms of quantity)</t>
  </si>
  <si>
    <t>Supplier Name (in terms of Delivery)</t>
  </si>
  <si>
    <t>Helper Column 3</t>
  </si>
  <si>
    <t>Helper Column 4</t>
  </si>
  <si>
    <t>Helper Column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</si>
</sst>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1" applyNumberFormat="1" applyFont="1" applyFill="1"/>
    <xf numFmtId="0" fontId="0" fillId="4" borderId="0" xfId="0" applyFill="1"/>
    <xf numFmtId="9" fontId="0" fillId="0" borderId="0" xfId="1" applyFont="1"/>
    <xf numFmtId="9" fontId="0" fillId="2" borderId="0" xfId="1" applyFont="1" applyFill="1"/>
    <xf numFmtId="14" fontId="0" fillId="0" borderId="0" xfId="0" applyNumberFormat="1"/>
    <xf numFmtId="164" fontId="0" fillId="2" borderId="0" xfId="0" applyNumberFormat="1" applyFill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/>
    <xf numFmtId="0" fontId="2" fillId="5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B5E0-73EE-46C9-8A88-9867EA03DA10}">
  <sheetPr>
    <tabColor theme="5"/>
  </sheetPr>
  <dimension ref="A1:AR283"/>
  <sheetViews>
    <sheetView tabSelected="1" topLeftCell="N1" workbookViewId="0">
      <selection activeCell="W1" sqref="W1"/>
    </sheetView>
  </sheetViews>
  <sheetFormatPr defaultRowHeight="14.4" x14ac:dyDescent="0.3"/>
  <cols>
    <col min="1" max="1" width="19.6640625" customWidth="1"/>
    <col min="2" max="2" width="40.44140625" bestFit="1" customWidth="1"/>
    <col min="3" max="3" width="9.88671875" customWidth="1"/>
    <col min="4" max="4" width="20.88671875" customWidth="1"/>
    <col min="5" max="5" width="9" customWidth="1"/>
    <col min="6" max="6" width="12" customWidth="1"/>
    <col min="7" max="7" width="43.44140625" customWidth="1"/>
    <col min="8" max="8" width="10.33203125" customWidth="1"/>
    <col min="9" max="9" width="10" customWidth="1"/>
    <col min="10" max="10" width="11" customWidth="1"/>
    <col min="11" max="11" width="15" customWidth="1"/>
    <col min="12" max="12" width="12.44140625" customWidth="1"/>
    <col min="13" max="13" width="7.5546875" customWidth="1"/>
    <col min="14" max="14" width="60.88671875" customWidth="1"/>
    <col min="15" max="15" width="12.33203125" customWidth="1"/>
    <col min="16" max="16" width="10.6640625" customWidth="1"/>
    <col min="17" max="17" width="12" customWidth="1"/>
    <col min="18" max="18" width="43.44140625" customWidth="1"/>
    <col min="19" max="19" width="10.33203125" customWidth="1"/>
    <col min="20" max="20" width="10" customWidth="1"/>
    <col min="21" max="21" width="11" customWidth="1"/>
    <col min="22" max="22" width="16" customWidth="1"/>
    <col min="23" max="23" width="16.109375" customWidth="1"/>
    <col min="24" max="24" width="25.109375" customWidth="1"/>
    <col min="25" max="25" width="20.5546875" style="5" customWidth="1"/>
    <col min="26" max="26" width="15.88671875" customWidth="1"/>
    <col min="27" max="27" width="21.33203125" customWidth="1"/>
    <col min="28" max="28" width="15.44140625" customWidth="1"/>
    <col min="29" max="29" width="18" customWidth="1"/>
    <col min="30" max="30" width="16.6640625" style="5" customWidth="1"/>
    <col min="31" max="31" width="24.6640625" style="5" customWidth="1"/>
    <col min="32" max="32" width="25.21875" style="5" customWidth="1"/>
    <col min="33" max="33" width="16.6640625" customWidth="1"/>
    <col min="34" max="34" width="14.5546875" bestFit="1" customWidth="1"/>
    <col min="35" max="35" width="10.44140625" bestFit="1" customWidth="1"/>
    <col min="36" max="38" width="17" customWidth="1"/>
    <col min="40" max="40" width="36.6640625" customWidth="1"/>
    <col min="41" max="41" width="21.88671875" customWidth="1"/>
    <col min="42" max="42" width="23.33203125" customWidth="1"/>
    <col min="43" max="43" width="17.109375" customWidth="1"/>
    <col min="44" max="44" width="19.3320312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7</v>
      </c>
      <c r="T1" s="1" t="s">
        <v>8</v>
      </c>
      <c r="U1" s="1" t="s">
        <v>9</v>
      </c>
      <c r="V1" s="1" t="s">
        <v>17</v>
      </c>
      <c r="W1" s="1" t="s">
        <v>18</v>
      </c>
      <c r="X1" s="3" t="s">
        <v>19</v>
      </c>
      <c r="Y1" s="6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6" t="s">
        <v>25</v>
      </c>
      <c r="AE1" s="6" t="s">
        <v>868</v>
      </c>
      <c r="AF1" s="6" t="s">
        <v>865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869</v>
      </c>
      <c r="AL1" s="3" t="s">
        <v>866</v>
      </c>
      <c r="AM1" s="3" t="s">
        <v>30</v>
      </c>
      <c r="AN1" s="3" t="s">
        <v>31</v>
      </c>
      <c r="AO1" s="3" t="s">
        <v>32</v>
      </c>
      <c r="AP1" s="3" t="s">
        <v>873</v>
      </c>
      <c r="AQ1" s="3" t="s">
        <v>874</v>
      </c>
      <c r="AR1" s="3" t="s">
        <v>875</v>
      </c>
    </row>
    <row r="2" spans="1:44" x14ac:dyDescent="0.3">
      <c r="A2" t="s">
        <v>33</v>
      </c>
      <c r="B2" t="s">
        <v>34</v>
      </c>
      <c r="C2" t="s">
        <v>35</v>
      </c>
      <c r="D2">
        <v>1661</v>
      </c>
      <c r="E2">
        <v>23120014</v>
      </c>
      <c r="F2" t="s">
        <v>36</v>
      </c>
      <c r="G2" t="s">
        <v>37</v>
      </c>
      <c r="H2">
        <v>4197</v>
      </c>
      <c r="I2">
        <v>35.75</v>
      </c>
      <c r="J2">
        <v>150042.75</v>
      </c>
      <c r="K2" s="7" t="str">
        <f>IFERROR(IF(B2&lt;&gt;"", TEXT(VLOOKUP(B2, 'Expected Date'!A:B, 2, FALSE) + DATE(RIGHT(C2,2),MID(C2,4,2),LEFT(C2,2)), "dd/mm/yy"), ""), "")</f>
        <v>07/05/23</v>
      </c>
      <c r="L2" t="s">
        <v>38</v>
      </c>
      <c r="M2" t="s">
        <v>39</v>
      </c>
      <c r="N2" t="s">
        <v>40</v>
      </c>
      <c r="O2" s="7" t="s">
        <v>41</v>
      </c>
      <c r="P2">
        <v>23190139</v>
      </c>
      <c r="Q2" t="s">
        <v>36</v>
      </c>
      <c r="R2" t="s">
        <v>37</v>
      </c>
      <c r="S2">
        <v>2140</v>
      </c>
      <c r="T2">
        <v>35.75</v>
      </c>
      <c r="U2">
        <v>76505</v>
      </c>
      <c r="V2" t="s">
        <v>42</v>
      </c>
      <c r="W2">
        <f>IFERROR(VLOOKUP(N2, Payment_Terms!A:B, 2, FALSE), "Payment term not found!")</f>
        <v>30</v>
      </c>
      <c r="X2" t="str">
        <f>IFERROR(VLOOKUP(R2, Item_Category!A:B, 2, FALSE), "Uncategorized")</f>
        <v>Bags</v>
      </c>
      <c r="Y2" s="5">
        <f>IFERROR(IF(AND(E2&lt;&gt;"", G2&lt;&gt;""), MAX(0, (H2-SUMIFS(S:S, E:E, E2, G:G, G2))/H2), ""), (H2-S2)/H2)</f>
        <v>0</v>
      </c>
      <c r="Z2">
        <f t="shared" ref="Z2:Z65" si="0">IF(Y2&lt;=0%,5,(IF(AND(Y2&gt;0%,Y2&lt;=2%),4,IF(AND(Y2&gt;2%,Y2&lt;=5%),3,IF(AND(Y2&gt;5%,Y2&lt;10%),2,1)))))</f>
        <v>5</v>
      </c>
      <c r="AA2">
        <f t="shared" ref="AA2:AA65" si="1">DATE(RIGHT(O2,2),MID(O2,4,2),LEFT(O2,2)) - DATE(RIGHT(K2,2),MID(K2,4,2),LEFT(K2,2))</f>
        <v>-8</v>
      </c>
      <c r="AB2">
        <f t="shared" ref="AB2:AB65" si="2">IF(AA2 &lt;= 2, 5, IF(AA2 &lt;= 4, 4, IF(AA2 &lt;= 7, 3, IF(AA2&lt;=10,2,1))))</f>
        <v>5</v>
      </c>
      <c r="AC2" s="10">
        <f t="shared" ref="AC2:AC65" si="3">ABS(DATE(RIGHT(O2,2),MID(O2,4,2),LEFT(O2,2)) - DATE(RIGHT(C2,2),MID(C2,4,2),LEFT(C2,2)))</f>
        <v>2</v>
      </c>
      <c r="AD2" s="5">
        <f t="shared" ref="AD2:AD65" si="4">IF(V2="Accepted",1,0)</f>
        <v>1</v>
      </c>
      <c r="AE2" s="5">
        <f t="shared" ref="AE2:AE65" si="5">ROUNDUP((SUMIFS(S:S, B:B, B2, V:V, "Accepted")/SUMIF(B:B,B2,S:S)),2)</f>
        <v>1</v>
      </c>
      <c r="AF2" s="5">
        <f t="shared" ref="AF2:AF65" si="6">ROUNDUP(ABS(100%-AE2),2)</f>
        <v>0</v>
      </c>
      <c r="AG2">
        <f>IF(B2&lt;&gt;"", COUNTIFS($B$2:B2, B2), "")</f>
        <v>1</v>
      </c>
      <c r="AH2">
        <f t="shared" ref="AH2:AH65" si="7">IF(AF2=0%,5,IF(AND(AF2&gt;0%,AF2&lt;=2%),4,IF(AND(AF2&gt;2%,AF2&lt;=5%),3,IF(AND(AF2&gt;5%,AF2&lt;10%),2,1))))</f>
        <v>5</v>
      </c>
      <c r="AI2" t="str">
        <f>VLOOKUP(B2, Currency!A:B, 2, FALSE)</f>
        <v>INR</v>
      </c>
      <c r="AJ2">
        <f t="shared" ref="AJ2:AJ65" si="8">_xlfn.CEILING.MATH(((0.4*AH2)+(0.3*Z2)+(0.3*AB2)),1)</f>
        <v>5</v>
      </c>
      <c r="AK2">
        <f>MONTH(DATE(RIGHT(C2,2),MID(C2,4,2),LEFT(C2,2)))</f>
        <v>4</v>
      </c>
      <c r="AL2" t="str">
        <f t="shared" ref="AL2:AL65" si="9">TEXT(DATE(RIGHT(C2,2),MID(C2,4,2),LEFT(C2,2)),"mmmm")</f>
        <v>April</v>
      </c>
      <c r="AM2">
        <f>YEAR(DATE(VALUE(MID(C2,7,2))+2000, MID(C2,4,2), MID(C2,1,2)))</f>
        <v>2023</v>
      </c>
      <c r="AN2" t="str">
        <f t="shared" ref="AN2:AN65" si="10">W2&amp;B2</f>
        <v>30Ami Enterprises</v>
      </c>
      <c r="AO2">
        <f>IF(COUNTIF($AN$2:AN2, AN2)=1, 1, 0)</f>
        <v>1</v>
      </c>
      <c r="AP2" t="str">
        <f>IF(AH2&lt;=3,"&lt;=3","&gt;3")</f>
        <v>&gt;3</v>
      </c>
      <c r="AQ2" t="str">
        <f>IF(Z2&lt;=3,"&lt;=3","&gt;3")</f>
        <v>&gt;3</v>
      </c>
      <c r="AR2" t="str">
        <f>IF(AB2&lt;=3,"&lt;=3","&gt;3")</f>
        <v>&gt;3</v>
      </c>
    </row>
    <row r="3" spans="1:44" x14ac:dyDescent="0.3">
      <c r="A3" t="s">
        <v>33</v>
      </c>
      <c r="B3" t="s">
        <v>34</v>
      </c>
      <c r="C3" t="s">
        <v>35</v>
      </c>
      <c r="D3">
        <v>1661</v>
      </c>
      <c r="E3">
        <v>23120014</v>
      </c>
      <c r="F3" t="s">
        <v>36</v>
      </c>
      <c r="G3" t="s">
        <v>37</v>
      </c>
      <c r="H3">
        <v>4197</v>
      </c>
      <c r="I3">
        <v>35.75</v>
      </c>
      <c r="J3">
        <v>150042.75</v>
      </c>
      <c r="K3" s="7" t="str">
        <f>IFERROR(IF(B3&lt;&gt;"", TEXT(VLOOKUP(B3, 'Expected Date'!A:B, 2, FALSE) + DATE(RIGHT(C3,2),MID(C3,4,2),LEFT(C3,2)), "dd/mm/yy"), ""), "")</f>
        <v>07/05/23</v>
      </c>
      <c r="L3" t="s">
        <v>38</v>
      </c>
      <c r="M3" t="s">
        <v>39</v>
      </c>
      <c r="N3" t="s">
        <v>40</v>
      </c>
      <c r="O3" t="s">
        <v>41</v>
      </c>
      <c r="P3">
        <v>23190140</v>
      </c>
      <c r="Q3" t="s">
        <v>36</v>
      </c>
      <c r="R3" t="s">
        <v>37</v>
      </c>
      <c r="S3">
        <v>2057</v>
      </c>
      <c r="T3">
        <v>35.75</v>
      </c>
      <c r="U3">
        <v>73537.75</v>
      </c>
      <c r="V3" t="str">
        <f t="shared" ref="V3:V66" si="11">V2</f>
        <v>Accepted</v>
      </c>
      <c r="W3">
        <f>IFERROR(VLOOKUP(N3, Payment_Terms!A:B, 2, FALSE), "Payment term not found!")</f>
        <v>30</v>
      </c>
      <c r="X3" t="str">
        <f>IFERROR(VLOOKUP(R3, Item_Category!A:B, 2, FALSE), "Uncategorized")</f>
        <v>Bags</v>
      </c>
      <c r="Y3" s="5">
        <f t="shared" ref="Y3:Y65" si="12">IFERROR(IF(AND(E3&lt;&gt;"", G3&lt;&gt;""), MAX(0, (H3-SUMIFS(S:S, E:E, E3, G:G, G3))/H3), ""), (H3-S3)/H3)</f>
        <v>0</v>
      </c>
      <c r="Z3">
        <f t="shared" si="0"/>
        <v>5</v>
      </c>
      <c r="AA3">
        <f t="shared" si="1"/>
        <v>-8</v>
      </c>
      <c r="AB3">
        <f t="shared" si="2"/>
        <v>5</v>
      </c>
      <c r="AC3" s="10">
        <f t="shared" si="3"/>
        <v>2</v>
      </c>
      <c r="AD3" s="5">
        <f t="shared" si="4"/>
        <v>1</v>
      </c>
      <c r="AE3" s="5">
        <f t="shared" si="5"/>
        <v>1</v>
      </c>
      <c r="AF3" s="5">
        <f t="shared" si="6"/>
        <v>0</v>
      </c>
      <c r="AG3">
        <f>IF(B3&lt;&gt;"", COUNTIFS($B$2:B3, B3), "")</f>
        <v>2</v>
      </c>
      <c r="AH3">
        <f t="shared" si="7"/>
        <v>5</v>
      </c>
      <c r="AI3" t="str">
        <f>VLOOKUP(B3, Currency!A:B, 2, FALSE)</f>
        <v>INR</v>
      </c>
      <c r="AJ3">
        <f t="shared" si="8"/>
        <v>5</v>
      </c>
      <c r="AK3">
        <f t="shared" ref="AK3:AK65" si="13">MONTH(DATE(RIGHT(C3,2),MID(C3,4,2),LEFT(C3,2)))</f>
        <v>4</v>
      </c>
      <c r="AL3" t="str">
        <f t="shared" si="9"/>
        <v>April</v>
      </c>
      <c r="AM3">
        <f t="shared" ref="AM3:AM66" si="14">YEAR(DATE(VALUE(MID(C3,7,2))+2000, MID(C3,4,2), MID(C3,1,2)))</f>
        <v>2023</v>
      </c>
      <c r="AN3" t="str">
        <f t="shared" si="10"/>
        <v>30Ami Enterprises</v>
      </c>
      <c r="AO3">
        <f>IF(COUNTIF($AN$2:AN3, AN3)=1, 1, 0)</f>
        <v>0</v>
      </c>
      <c r="AP3" t="str">
        <f t="shared" ref="AP3:AP66" si="15">IF(AH3&lt;=3,"&lt;=3","&gt;3")</f>
        <v>&gt;3</v>
      </c>
      <c r="AQ3" t="str">
        <f t="shared" ref="AQ3:AQ66" si="16">IF(Z3&lt;=3,"&lt;=3","&gt;3")</f>
        <v>&gt;3</v>
      </c>
      <c r="AR3" t="str">
        <f t="shared" ref="AR3:AR66" si="17">IF(AB3&lt;=3,"&lt;=3","&gt;3")</f>
        <v>&gt;3</v>
      </c>
    </row>
    <row r="4" spans="1:44" x14ac:dyDescent="0.3">
      <c r="A4" t="s">
        <v>33</v>
      </c>
      <c r="B4" t="s">
        <v>44</v>
      </c>
      <c r="C4" t="s">
        <v>45</v>
      </c>
      <c r="D4">
        <v>2483</v>
      </c>
      <c r="E4">
        <v>23120047</v>
      </c>
      <c r="F4" t="s">
        <v>46</v>
      </c>
      <c r="G4" t="s">
        <v>47</v>
      </c>
      <c r="H4">
        <v>600</v>
      </c>
      <c r="I4">
        <v>70</v>
      </c>
      <c r="J4">
        <v>42000</v>
      </c>
      <c r="K4" s="7" t="str">
        <f>IFERROR(IF(B4&lt;&gt;"", TEXT(VLOOKUP(B4, 'Expected Date'!A:B, 2, FALSE) + DATE(RIGHT(C4,2),MID(C4,4,2),LEFT(C4,2)), "dd/mm/yy"), ""), "")</f>
        <v>22/06/23</v>
      </c>
      <c r="L4" t="s">
        <v>38</v>
      </c>
      <c r="M4" t="s">
        <v>48</v>
      </c>
      <c r="N4" t="s">
        <v>49</v>
      </c>
      <c r="O4" t="s">
        <v>50</v>
      </c>
      <c r="P4">
        <v>23190629</v>
      </c>
      <c r="Q4" t="s">
        <v>46</v>
      </c>
      <c r="R4" t="s">
        <v>47</v>
      </c>
      <c r="S4">
        <v>300</v>
      </c>
      <c r="T4">
        <v>70</v>
      </c>
      <c r="U4">
        <v>21000</v>
      </c>
      <c r="V4" t="str">
        <f t="shared" si="11"/>
        <v>Accepted</v>
      </c>
      <c r="W4">
        <f>IFERROR(VLOOKUP(N4, Payment_Terms!A:B, 2, FALSE), "Payment term not found!")</f>
        <v>30</v>
      </c>
      <c r="X4" t="str">
        <f>IFERROR(VLOOKUP(R4, Item_Category!A:B, 2, FALSE), "Uncategorized")</f>
        <v>Gas</v>
      </c>
      <c r="Y4" s="5">
        <f t="shared" si="12"/>
        <v>0</v>
      </c>
      <c r="Z4">
        <f t="shared" si="0"/>
        <v>5</v>
      </c>
      <c r="AA4">
        <f t="shared" si="1"/>
        <v>19</v>
      </c>
      <c r="AB4">
        <f t="shared" si="2"/>
        <v>1</v>
      </c>
      <c r="AC4" s="10">
        <f t="shared" si="3"/>
        <v>24</v>
      </c>
      <c r="AD4" s="5">
        <f t="shared" si="4"/>
        <v>1</v>
      </c>
      <c r="AE4" s="5">
        <f t="shared" si="5"/>
        <v>1</v>
      </c>
      <c r="AF4" s="5">
        <f t="shared" si="6"/>
        <v>0</v>
      </c>
      <c r="AG4">
        <f>IF(B4&lt;&gt;"", COUNTIFS($B$2:B4, B4), "")</f>
        <v>1</v>
      </c>
      <c r="AH4">
        <f t="shared" si="7"/>
        <v>5</v>
      </c>
      <c r="AI4" t="str">
        <f>VLOOKUP(B4, Currency!A:B, 2, FALSE)</f>
        <v>INR</v>
      </c>
      <c r="AJ4">
        <f t="shared" si="8"/>
        <v>4</v>
      </c>
      <c r="AK4">
        <f t="shared" si="13"/>
        <v>6</v>
      </c>
      <c r="AL4" t="str">
        <f t="shared" si="9"/>
        <v>June</v>
      </c>
      <c r="AM4">
        <f t="shared" si="14"/>
        <v>2023</v>
      </c>
      <c r="AN4" t="str">
        <f t="shared" si="10"/>
        <v>30Surat Ammonia &amp; Chemical Co.</v>
      </c>
      <c r="AO4">
        <f>IF(COUNTIF($AN$2:AN4, AN4)=1, 1, 0)</f>
        <v>1</v>
      </c>
      <c r="AP4" t="str">
        <f t="shared" si="15"/>
        <v>&gt;3</v>
      </c>
      <c r="AQ4" t="str">
        <f t="shared" si="16"/>
        <v>&gt;3</v>
      </c>
      <c r="AR4" t="str">
        <f t="shared" si="17"/>
        <v>&lt;=3</v>
      </c>
    </row>
    <row r="5" spans="1:44" x14ac:dyDescent="0.3">
      <c r="A5" t="s">
        <v>33</v>
      </c>
      <c r="B5" t="s">
        <v>51</v>
      </c>
      <c r="C5" t="s">
        <v>52</v>
      </c>
      <c r="D5">
        <v>3768</v>
      </c>
      <c r="E5">
        <v>23120100</v>
      </c>
      <c r="F5" t="s">
        <v>53</v>
      </c>
      <c r="G5" t="s">
        <v>54</v>
      </c>
      <c r="H5">
        <v>435.83</v>
      </c>
      <c r="I5">
        <v>7412.17</v>
      </c>
      <c r="J5">
        <v>3230446.05</v>
      </c>
      <c r="K5" s="7" t="str">
        <f>IFERROR(IF(B5&lt;&gt;"", TEXT(VLOOKUP(B5, 'Expected Date'!A:B, 2, FALSE) + DATE(RIGHT(C5,2),MID(C5,4,2),LEFT(C5,2)), "dd/mm/yy"), ""), "")</f>
        <v>05/09/23</v>
      </c>
      <c r="L5" t="s">
        <v>38</v>
      </c>
      <c r="M5" t="s">
        <v>48</v>
      </c>
      <c r="N5" t="s">
        <v>55</v>
      </c>
      <c r="O5" t="s">
        <v>56</v>
      </c>
      <c r="P5">
        <v>23190861</v>
      </c>
      <c r="Q5" t="s">
        <v>53</v>
      </c>
      <c r="R5" t="s">
        <v>54</v>
      </c>
      <c r="S5">
        <v>30.38</v>
      </c>
      <c r="T5">
        <v>7412.17</v>
      </c>
      <c r="U5">
        <v>225181.72</v>
      </c>
      <c r="V5" t="str">
        <f t="shared" si="11"/>
        <v>Accepted</v>
      </c>
      <c r="W5">
        <f>IFERROR(VLOOKUP(N5, Payment_Terms!A:B, 2, FALSE), "Payment term not found!")</f>
        <v>0</v>
      </c>
      <c r="X5" t="str">
        <f>IFERROR(VLOOKUP(R5, Item_Category!A:B, 2, FALSE), "Uncategorized")</f>
        <v>Coal materials</v>
      </c>
      <c r="Y5" s="5">
        <f t="shared" si="12"/>
        <v>1.3042566794577706E-16</v>
      </c>
      <c r="Z5">
        <f t="shared" si="0"/>
        <v>4</v>
      </c>
      <c r="AA5">
        <f t="shared" si="1"/>
        <v>-32</v>
      </c>
      <c r="AB5">
        <f t="shared" si="2"/>
        <v>5</v>
      </c>
      <c r="AC5" s="10">
        <f t="shared" si="3"/>
        <v>12</v>
      </c>
      <c r="AD5" s="5">
        <f t="shared" si="4"/>
        <v>1</v>
      </c>
      <c r="AE5" s="5">
        <f t="shared" si="5"/>
        <v>1</v>
      </c>
      <c r="AF5" s="5">
        <f t="shared" si="6"/>
        <v>0</v>
      </c>
      <c r="AG5">
        <f>IF(B5&lt;&gt;"", COUNTIFS($B$2:B5, B5), "")</f>
        <v>1</v>
      </c>
      <c r="AH5">
        <f t="shared" si="7"/>
        <v>5</v>
      </c>
      <c r="AI5" t="str">
        <f>VLOOKUP(B5, Currency!A:B, 2, FALSE)</f>
        <v>INR</v>
      </c>
      <c r="AJ5">
        <f t="shared" si="8"/>
        <v>5</v>
      </c>
      <c r="AK5">
        <f t="shared" si="13"/>
        <v>8</v>
      </c>
      <c r="AL5" t="str">
        <f t="shared" si="9"/>
        <v>August</v>
      </c>
      <c r="AM5">
        <f t="shared" si="14"/>
        <v>2023</v>
      </c>
      <c r="AN5" t="str">
        <f t="shared" si="10"/>
        <v>0The Singareni Collieries Company Ltd</v>
      </c>
      <c r="AO5">
        <f>IF(COUNTIF($AN$2:AN5, AN5)=1, 1, 0)</f>
        <v>1</v>
      </c>
      <c r="AP5" t="str">
        <f t="shared" si="15"/>
        <v>&gt;3</v>
      </c>
      <c r="AQ5" t="str">
        <f t="shared" si="16"/>
        <v>&gt;3</v>
      </c>
      <c r="AR5" t="str">
        <f t="shared" si="17"/>
        <v>&gt;3</v>
      </c>
    </row>
    <row r="6" spans="1:44" x14ac:dyDescent="0.3">
      <c r="A6" t="s">
        <v>33</v>
      </c>
      <c r="B6" t="s">
        <v>51</v>
      </c>
      <c r="C6" t="s">
        <v>52</v>
      </c>
      <c r="D6">
        <v>3768</v>
      </c>
      <c r="E6">
        <v>23120100</v>
      </c>
      <c r="F6" t="s">
        <v>53</v>
      </c>
      <c r="G6" t="s">
        <v>54</v>
      </c>
      <c r="H6">
        <v>435.83</v>
      </c>
      <c r="I6">
        <v>7412.17</v>
      </c>
      <c r="J6">
        <v>3230446.05</v>
      </c>
      <c r="K6" s="7" t="str">
        <f>IFERROR(IF(B6&lt;&gt;"", TEXT(VLOOKUP(B6, 'Expected Date'!A:B, 2, FALSE) + DATE(RIGHT(C6,2),MID(C6,4,2),LEFT(C6,2)), "dd/mm/yy"), ""), "")</f>
        <v>05/09/23</v>
      </c>
      <c r="L6" t="s">
        <v>38</v>
      </c>
      <c r="M6" t="s">
        <v>48</v>
      </c>
      <c r="N6" t="s">
        <v>55</v>
      </c>
      <c r="O6" t="s">
        <v>56</v>
      </c>
      <c r="P6">
        <v>23190860</v>
      </c>
      <c r="Q6" t="s">
        <v>53</v>
      </c>
      <c r="R6" t="s">
        <v>54</v>
      </c>
      <c r="S6">
        <v>30.6</v>
      </c>
      <c r="T6">
        <v>7412.17</v>
      </c>
      <c r="U6">
        <v>226812.4</v>
      </c>
      <c r="V6" t="str">
        <f t="shared" si="11"/>
        <v>Accepted</v>
      </c>
      <c r="W6">
        <f>IFERROR(VLOOKUP(N6, Payment_Terms!A:B, 2, FALSE), "Payment term not found!")</f>
        <v>0</v>
      </c>
      <c r="X6" t="str">
        <f>IFERROR(VLOOKUP(R6, Item_Category!A:B, 2, FALSE), "Uncategorized")</f>
        <v>Coal materials</v>
      </c>
      <c r="Y6" s="5">
        <f t="shared" si="12"/>
        <v>1.3042566794577706E-16</v>
      </c>
      <c r="Z6">
        <f t="shared" si="0"/>
        <v>4</v>
      </c>
      <c r="AA6">
        <f t="shared" si="1"/>
        <v>-32</v>
      </c>
      <c r="AB6">
        <f t="shared" si="2"/>
        <v>5</v>
      </c>
      <c r="AC6" s="10">
        <f t="shared" si="3"/>
        <v>12</v>
      </c>
      <c r="AD6" s="5">
        <f t="shared" si="4"/>
        <v>1</v>
      </c>
      <c r="AE6" s="5">
        <f t="shared" si="5"/>
        <v>1</v>
      </c>
      <c r="AF6" s="5">
        <f t="shared" si="6"/>
        <v>0</v>
      </c>
      <c r="AG6">
        <f>IF(B6&lt;&gt;"", COUNTIFS($B$2:B6, B6), "")</f>
        <v>2</v>
      </c>
      <c r="AH6">
        <f t="shared" si="7"/>
        <v>5</v>
      </c>
      <c r="AI6" t="str">
        <f>VLOOKUP(B6, Currency!A:B, 2, FALSE)</f>
        <v>INR</v>
      </c>
      <c r="AJ6">
        <f t="shared" si="8"/>
        <v>5</v>
      </c>
      <c r="AK6">
        <f t="shared" si="13"/>
        <v>8</v>
      </c>
      <c r="AL6" t="str">
        <f t="shared" si="9"/>
        <v>August</v>
      </c>
      <c r="AM6">
        <f t="shared" si="14"/>
        <v>2023</v>
      </c>
      <c r="AN6" t="str">
        <f t="shared" si="10"/>
        <v>0The Singareni Collieries Company Ltd</v>
      </c>
      <c r="AO6">
        <f>IF(COUNTIF($AN$2:AN6, AN6)=1, 1, 0)</f>
        <v>0</v>
      </c>
      <c r="AP6" t="str">
        <f t="shared" si="15"/>
        <v>&gt;3</v>
      </c>
      <c r="AQ6" t="str">
        <f t="shared" si="16"/>
        <v>&gt;3</v>
      </c>
      <c r="AR6" t="str">
        <f t="shared" si="17"/>
        <v>&gt;3</v>
      </c>
    </row>
    <row r="7" spans="1:44" x14ac:dyDescent="0.3">
      <c r="A7" t="s">
        <v>33</v>
      </c>
      <c r="B7" t="s">
        <v>51</v>
      </c>
      <c r="C7" t="s">
        <v>52</v>
      </c>
      <c r="D7">
        <v>3768</v>
      </c>
      <c r="E7">
        <v>23120100</v>
      </c>
      <c r="F7" t="s">
        <v>53</v>
      </c>
      <c r="G7" t="s">
        <v>54</v>
      </c>
      <c r="H7">
        <v>435.83</v>
      </c>
      <c r="I7">
        <v>7412.17</v>
      </c>
      <c r="J7">
        <v>3230446.05</v>
      </c>
      <c r="K7" s="7" t="str">
        <f>IFERROR(IF(B7&lt;&gt;"", TEXT(VLOOKUP(B7, 'Expected Date'!A:B, 2, FALSE) + DATE(RIGHT(C7,2),MID(C7,4,2),LEFT(C7,2)), "dd/mm/yy"), ""), "")</f>
        <v>05/09/23</v>
      </c>
      <c r="L7" t="s">
        <v>38</v>
      </c>
      <c r="M7" t="s">
        <v>48</v>
      </c>
      <c r="N7" t="s">
        <v>55</v>
      </c>
      <c r="O7" t="s">
        <v>57</v>
      </c>
      <c r="P7">
        <v>23190859</v>
      </c>
      <c r="Q7" t="s">
        <v>53</v>
      </c>
      <c r="R7" t="s">
        <v>54</v>
      </c>
      <c r="S7">
        <v>30.84</v>
      </c>
      <c r="T7">
        <v>7412.17</v>
      </c>
      <c r="U7">
        <v>228591.32</v>
      </c>
      <c r="V7" t="str">
        <f t="shared" si="11"/>
        <v>Accepted</v>
      </c>
      <c r="W7">
        <f>IFERROR(VLOOKUP(N7, Payment_Terms!A:B, 2, FALSE), "Payment term not found!")</f>
        <v>0</v>
      </c>
      <c r="X7" t="str">
        <f>IFERROR(VLOOKUP(R7, Item_Category!A:B, 2, FALSE), "Uncategorized")</f>
        <v>Coal materials</v>
      </c>
      <c r="Y7" s="5">
        <f t="shared" si="12"/>
        <v>1.3042566794577706E-16</v>
      </c>
      <c r="Z7">
        <f t="shared" si="0"/>
        <v>4</v>
      </c>
      <c r="AA7">
        <f t="shared" si="1"/>
        <v>-33</v>
      </c>
      <c r="AB7">
        <f t="shared" si="2"/>
        <v>5</v>
      </c>
      <c r="AC7" s="10">
        <f t="shared" si="3"/>
        <v>13</v>
      </c>
      <c r="AD7" s="5">
        <f t="shared" si="4"/>
        <v>1</v>
      </c>
      <c r="AE7" s="5">
        <f t="shared" si="5"/>
        <v>1</v>
      </c>
      <c r="AF7" s="5">
        <f t="shared" si="6"/>
        <v>0</v>
      </c>
      <c r="AG7">
        <f>IF(B7&lt;&gt;"", COUNTIFS($B$2:B7, B7), "")</f>
        <v>3</v>
      </c>
      <c r="AH7">
        <f t="shared" si="7"/>
        <v>5</v>
      </c>
      <c r="AI7" t="str">
        <f>VLOOKUP(B7, Currency!A:B, 2, FALSE)</f>
        <v>INR</v>
      </c>
      <c r="AJ7">
        <f t="shared" si="8"/>
        <v>5</v>
      </c>
      <c r="AK7">
        <f t="shared" si="13"/>
        <v>8</v>
      </c>
      <c r="AL7" t="str">
        <f t="shared" si="9"/>
        <v>August</v>
      </c>
      <c r="AM7">
        <f t="shared" si="14"/>
        <v>2023</v>
      </c>
      <c r="AN7" t="str">
        <f t="shared" si="10"/>
        <v>0The Singareni Collieries Company Ltd</v>
      </c>
      <c r="AO7">
        <f>IF(COUNTIF($AN$2:AN7, AN7)=1, 1, 0)</f>
        <v>0</v>
      </c>
      <c r="AP7" t="str">
        <f t="shared" si="15"/>
        <v>&gt;3</v>
      </c>
      <c r="AQ7" t="str">
        <f t="shared" si="16"/>
        <v>&gt;3</v>
      </c>
      <c r="AR7" t="str">
        <f t="shared" si="17"/>
        <v>&gt;3</v>
      </c>
    </row>
    <row r="8" spans="1:44" x14ac:dyDescent="0.3">
      <c r="A8" t="s">
        <v>33</v>
      </c>
      <c r="B8" t="s">
        <v>51</v>
      </c>
      <c r="C8" t="s">
        <v>52</v>
      </c>
      <c r="D8">
        <v>3768</v>
      </c>
      <c r="E8">
        <v>23120100</v>
      </c>
      <c r="F8" t="s">
        <v>53</v>
      </c>
      <c r="G8" t="s">
        <v>54</v>
      </c>
      <c r="H8">
        <v>435.83</v>
      </c>
      <c r="I8">
        <v>7412.17</v>
      </c>
      <c r="J8">
        <v>3230446.05</v>
      </c>
      <c r="K8" s="7" t="str">
        <f>IFERROR(IF(B8&lt;&gt;"", TEXT(VLOOKUP(B8, 'Expected Date'!A:B, 2, FALSE) + DATE(RIGHT(C8,2),MID(C8,4,2),LEFT(C8,2)), "dd/mm/yy"), ""), "")</f>
        <v>05/09/23</v>
      </c>
      <c r="L8" t="s">
        <v>38</v>
      </c>
      <c r="M8" t="s">
        <v>48</v>
      </c>
      <c r="N8" t="s">
        <v>55</v>
      </c>
      <c r="O8" t="s">
        <v>58</v>
      </c>
      <c r="P8">
        <v>23190858</v>
      </c>
      <c r="Q8" t="s">
        <v>53</v>
      </c>
      <c r="R8" t="s">
        <v>54</v>
      </c>
      <c r="S8">
        <v>30.86</v>
      </c>
      <c r="T8">
        <v>7412.17</v>
      </c>
      <c r="U8">
        <v>228739.57</v>
      </c>
      <c r="V8" t="str">
        <f t="shared" si="11"/>
        <v>Accepted</v>
      </c>
      <c r="W8">
        <f>IFERROR(VLOOKUP(N8, Payment_Terms!A:B, 2, FALSE), "Payment term not found!")</f>
        <v>0</v>
      </c>
      <c r="X8" t="str">
        <f>IFERROR(VLOOKUP(R8, Item_Category!A:B, 2, FALSE), "Uncategorized")</f>
        <v>Coal materials</v>
      </c>
      <c r="Y8" s="5">
        <f t="shared" si="12"/>
        <v>1.3042566794577706E-16</v>
      </c>
      <c r="Z8">
        <f t="shared" si="0"/>
        <v>4</v>
      </c>
      <c r="AA8">
        <f t="shared" si="1"/>
        <v>-35</v>
      </c>
      <c r="AB8">
        <f t="shared" si="2"/>
        <v>5</v>
      </c>
      <c r="AC8" s="10">
        <f t="shared" si="3"/>
        <v>15</v>
      </c>
      <c r="AD8" s="5">
        <f t="shared" si="4"/>
        <v>1</v>
      </c>
      <c r="AE8" s="5">
        <f t="shared" si="5"/>
        <v>1</v>
      </c>
      <c r="AF8" s="5">
        <f t="shared" si="6"/>
        <v>0</v>
      </c>
      <c r="AG8">
        <f>IF(B8&lt;&gt;"", COUNTIFS($B$2:B8, B8), "")</f>
        <v>4</v>
      </c>
      <c r="AH8">
        <f t="shared" si="7"/>
        <v>5</v>
      </c>
      <c r="AI8" t="str">
        <f>VLOOKUP(B8, Currency!A:B, 2, FALSE)</f>
        <v>INR</v>
      </c>
      <c r="AJ8">
        <f t="shared" si="8"/>
        <v>5</v>
      </c>
      <c r="AK8">
        <f t="shared" si="13"/>
        <v>8</v>
      </c>
      <c r="AL8" t="str">
        <f t="shared" si="9"/>
        <v>August</v>
      </c>
      <c r="AM8">
        <f t="shared" si="14"/>
        <v>2023</v>
      </c>
      <c r="AN8" t="str">
        <f t="shared" si="10"/>
        <v>0The Singareni Collieries Company Ltd</v>
      </c>
      <c r="AO8">
        <f>IF(COUNTIF($AN$2:AN8, AN8)=1, 1, 0)</f>
        <v>0</v>
      </c>
      <c r="AP8" t="str">
        <f t="shared" si="15"/>
        <v>&gt;3</v>
      </c>
      <c r="AQ8" t="str">
        <f t="shared" si="16"/>
        <v>&gt;3</v>
      </c>
      <c r="AR8" t="str">
        <f t="shared" si="17"/>
        <v>&gt;3</v>
      </c>
    </row>
    <row r="9" spans="1:44" x14ac:dyDescent="0.3">
      <c r="A9" t="s">
        <v>33</v>
      </c>
      <c r="B9" t="s">
        <v>51</v>
      </c>
      <c r="C9" t="s">
        <v>52</v>
      </c>
      <c r="D9">
        <v>3768</v>
      </c>
      <c r="E9">
        <v>23120100</v>
      </c>
      <c r="F9" t="s">
        <v>53</v>
      </c>
      <c r="G9" t="s">
        <v>54</v>
      </c>
      <c r="H9">
        <v>435.83</v>
      </c>
      <c r="I9">
        <v>7412.17</v>
      </c>
      <c r="J9">
        <v>3230446.05</v>
      </c>
      <c r="K9" s="7" t="str">
        <f>IFERROR(IF(B9&lt;&gt;"", TEXT(VLOOKUP(B9, 'Expected Date'!A:B, 2, FALSE) + DATE(RIGHT(C9,2),MID(C9,4,2),LEFT(C9,2)), "dd/mm/yy"), ""), "")</f>
        <v>05/09/23</v>
      </c>
      <c r="L9" t="s">
        <v>38</v>
      </c>
      <c r="M9" t="s">
        <v>48</v>
      </c>
      <c r="N9" t="s">
        <v>55</v>
      </c>
      <c r="O9" t="s">
        <v>59</v>
      </c>
      <c r="P9">
        <v>23190865</v>
      </c>
      <c r="Q9" t="s">
        <v>53</v>
      </c>
      <c r="R9" t="s">
        <v>54</v>
      </c>
      <c r="S9">
        <v>30.76</v>
      </c>
      <c r="T9">
        <v>7412.17</v>
      </c>
      <c r="U9">
        <v>227998.35</v>
      </c>
      <c r="V9" t="str">
        <f t="shared" si="11"/>
        <v>Accepted</v>
      </c>
      <c r="W9">
        <f>IFERROR(VLOOKUP(N9, Payment_Terms!A:B, 2, FALSE), "Payment term not found!")</f>
        <v>0</v>
      </c>
      <c r="X9" t="str">
        <f>IFERROR(VLOOKUP(R9, Item_Category!A:B, 2, FALSE), "Uncategorized")</f>
        <v>Coal materials</v>
      </c>
      <c r="Y9" s="5">
        <f t="shared" si="12"/>
        <v>1.3042566794577706E-16</v>
      </c>
      <c r="Z9">
        <f t="shared" si="0"/>
        <v>4</v>
      </c>
      <c r="AA9">
        <f t="shared" si="1"/>
        <v>-31</v>
      </c>
      <c r="AB9">
        <f t="shared" si="2"/>
        <v>5</v>
      </c>
      <c r="AC9" s="10">
        <f t="shared" si="3"/>
        <v>11</v>
      </c>
      <c r="AD9" s="5">
        <f t="shared" si="4"/>
        <v>1</v>
      </c>
      <c r="AE9" s="5">
        <f t="shared" si="5"/>
        <v>1</v>
      </c>
      <c r="AF9" s="5">
        <f t="shared" si="6"/>
        <v>0</v>
      </c>
      <c r="AG9">
        <f>IF(B9&lt;&gt;"", COUNTIFS($B$2:B9, B9), "")</f>
        <v>5</v>
      </c>
      <c r="AH9">
        <f t="shared" si="7"/>
        <v>5</v>
      </c>
      <c r="AI9" t="str">
        <f>VLOOKUP(B9, Currency!A:B, 2, FALSE)</f>
        <v>INR</v>
      </c>
      <c r="AJ9">
        <f t="shared" si="8"/>
        <v>5</v>
      </c>
      <c r="AK9">
        <f t="shared" si="13"/>
        <v>8</v>
      </c>
      <c r="AL9" t="str">
        <f t="shared" si="9"/>
        <v>August</v>
      </c>
      <c r="AM9">
        <f t="shared" si="14"/>
        <v>2023</v>
      </c>
      <c r="AN9" t="str">
        <f t="shared" si="10"/>
        <v>0The Singareni Collieries Company Ltd</v>
      </c>
      <c r="AO9">
        <f>IF(COUNTIF($AN$2:AN9, AN9)=1, 1, 0)</f>
        <v>0</v>
      </c>
      <c r="AP9" t="str">
        <f t="shared" si="15"/>
        <v>&gt;3</v>
      </c>
      <c r="AQ9" t="str">
        <f t="shared" si="16"/>
        <v>&gt;3</v>
      </c>
      <c r="AR9" t="str">
        <f t="shared" si="17"/>
        <v>&gt;3</v>
      </c>
    </row>
    <row r="10" spans="1:44" x14ac:dyDescent="0.3">
      <c r="A10" t="s">
        <v>33</v>
      </c>
      <c r="B10" t="s">
        <v>51</v>
      </c>
      <c r="C10" t="s">
        <v>60</v>
      </c>
      <c r="D10">
        <v>2658</v>
      </c>
      <c r="E10">
        <v>23120061</v>
      </c>
      <c r="F10" t="s">
        <v>61</v>
      </c>
      <c r="G10" t="s">
        <v>62</v>
      </c>
      <c r="H10">
        <v>21</v>
      </c>
      <c r="I10">
        <v>7368.4189999999999</v>
      </c>
      <c r="J10">
        <v>154736.79999999999</v>
      </c>
      <c r="K10" s="7" t="str">
        <f>IFERROR(IF(B10&lt;&gt;"", TEXT(VLOOKUP(B10, 'Expected Date'!A:B, 2, FALSE) + DATE(RIGHT(C10,2),MID(C10,4,2),LEFT(C10,2)), "dd/mm/yy"), ""), "")</f>
        <v>16/07/23</v>
      </c>
      <c r="L10" t="s">
        <v>38</v>
      </c>
      <c r="M10" t="s">
        <v>48</v>
      </c>
      <c r="N10" t="s">
        <v>55</v>
      </c>
      <c r="O10" t="s">
        <v>63</v>
      </c>
      <c r="P10">
        <v>23190500</v>
      </c>
      <c r="Q10" t="s">
        <v>61</v>
      </c>
      <c r="R10" t="s">
        <v>62</v>
      </c>
      <c r="S10">
        <v>21</v>
      </c>
      <c r="T10">
        <v>7368.4189999999999</v>
      </c>
      <c r="U10">
        <v>154736.79999999999</v>
      </c>
      <c r="V10" t="str">
        <f t="shared" si="11"/>
        <v>Accepted</v>
      </c>
      <c r="W10">
        <f>IFERROR(VLOOKUP(N10, Payment_Terms!A:B, 2, FALSE), "Payment term not found!")</f>
        <v>0</v>
      </c>
      <c r="X10" t="str">
        <f>IFERROR(VLOOKUP(R10, Item_Category!A:B, 2, FALSE), "Uncategorized")</f>
        <v>Coal materials</v>
      </c>
      <c r="Y10" s="5">
        <f t="shared" si="12"/>
        <v>0</v>
      </c>
      <c r="Z10">
        <f t="shared" si="0"/>
        <v>5</v>
      </c>
      <c r="AA10">
        <f t="shared" si="1"/>
        <v>-22</v>
      </c>
      <c r="AB10">
        <f t="shared" si="2"/>
        <v>5</v>
      </c>
      <c r="AC10" s="10">
        <f t="shared" si="3"/>
        <v>2</v>
      </c>
      <c r="AD10" s="5">
        <f t="shared" si="4"/>
        <v>1</v>
      </c>
      <c r="AE10" s="5">
        <f t="shared" si="5"/>
        <v>1</v>
      </c>
      <c r="AF10" s="5">
        <f t="shared" si="6"/>
        <v>0</v>
      </c>
      <c r="AG10">
        <f>IF(B10&lt;&gt;"", COUNTIFS($B$2:B10, B10), "")</f>
        <v>6</v>
      </c>
      <c r="AH10">
        <f t="shared" si="7"/>
        <v>5</v>
      </c>
      <c r="AI10" t="str">
        <f>VLOOKUP(B10, Currency!A:B, 2, FALSE)</f>
        <v>INR</v>
      </c>
      <c r="AJ10">
        <f t="shared" si="8"/>
        <v>5</v>
      </c>
      <c r="AK10">
        <f t="shared" si="13"/>
        <v>6</v>
      </c>
      <c r="AL10" t="str">
        <f t="shared" si="9"/>
        <v>June</v>
      </c>
      <c r="AM10">
        <f t="shared" si="14"/>
        <v>2023</v>
      </c>
      <c r="AN10" t="str">
        <f t="shared" si="10"/>
        <v>0The Singareni Collieries Company Ltd</v>
      </c>
      <c r="AO10">
        <f>IF(COUNTIF($AN$2:AN10, AN10)=1, 1, 0)</f>
        <v>0</v>
      </c>
      <c r="AP10" t="str">
        <f t="shared" si="15"/>
        <v>&gt;3</v>
      </c>
      <c r="AQ10" t="str">
        <f t="shared" si="16"/>
        <v>&gt;3</v>
      </c>
      <c r="AR10" t="str">
        <f t="shared" si="17"/>
        <v>&gt;3</v>
      </c>
    </row>
    <row r="11" spans="1:44" x14ac:dyDescent="0.3">
      <c r="A11" t="s">
        <v>33</v>
      </c>
      <c r="B11" t="s">
        <v>51</v>
      </c>
      <c r="C11" t="s">
        <v>52</v>
      </c>
      <c r="D11">
        <v>3768</v>
      </c>
      <c r="E11">
        <v>23120100</v>
      </c>
      <c r="F11" t="s">
        <v>53</v>
      </c>
      <c r="G11" t="s">
        <v>54</v>
      </c>
      <c r="H11">
        <v>435.83</v>
      </c>
      <c r="I11">
        <v>7412.17</v>
      </c>
      <c r="J11">
        <v>3230446.05</v>
      </c>
      <c r="K11" s="7" t="str">
        <f>IFERROR(IF(B11&lt;&gt;"", TEXT(VLOOKUP(B11, 'Expected Date'!A:B, 2, FALSE) + DATE(RIGHT(C11,2),MID(C11,4,2),LEFT(C11,2)), "dd/mm/yy"), ""), "")</f>
        <v>05/09/23</v>
      </c>
      <c r="L11" t="s">
        <v>38</v>
      </c>
      <c r="M11" t="s">
        <v>48</v>
      </c>
      <c r="N11" t="s">
        <v>55</v>
      </c>
      <c r="O11" t="s">
        <v>59</v>
      </c>
      <c r="P11">
        <v>23190864</v>
      </c>
      <c r="Q11" t="s">
        <v>53</v>
      </c>
      <c r="R11" t="s">
        <v>54</v>
      </c>
      <c r="S11">
        <v>25.96</v>
      </c>
      <c r="T11">
        <v>7412.17</v>
      </c>
      <c r="U11">
        <v>192419.93</v>
      </c>
      <c r="V11" t="str">
        <f t="shared" si="11"/>
        <v>Accepted</v>
      </c>
      <c r="W11">
        <f>IFERROR(VLOOKUP(N11, Payment_Terms!A:B, 2, FALSE), "Payment term not found!")</f>
        <v>0</v>
      </c>
      <c r="X11" t="str">
        <f>IFERROR(VLOOKUP(R11, Item_Category!A:B, 2, FALSE), "Uncategorized")</f>
        <v>Coal materials</v>
      </c>
      <c r="Y11" s="5">
        <f t="shared" si="12"/>
        <v>1.3042566794577706E-16</v>
      </c>
      <c r="Z11">
        <f t="shared" si="0"/>
        <v>4</v>
      </c>
      <c r="AA11">
        <f t="shared" si="1"/>
        <v>-31</v>
      </c>
      <c r="AB11">
        <f t="shared" si="2"/>
        <v>5</v>
      </c>
      <c r="AC11" s="10">
        <f t="shared" si="3"/>
        <v>11</v>
      </c>
      <c r="AD11" s="5">
        <f t="shared" si="4"/>
        <v>1</v>
      </c>
      <c r="AE11" s="5">
        <f t="shared" si="5"/>
        <v>1</v>
      </c>
      <c r="AF11" s="5">
        <f t="shared" si="6"/>
        <v>0</v>
      </c>
      <c r="AG11">
        <f>IF(B11&lt;&gt;"", COUNTIFS($B$2:B11, B11), "")</f>
        <v>7</v>
      </c>
      <c r="AH11">
        <f t="shared" si="7"/>
        <v>5</v>
      </c>
      <c r="AI11" t="str">
        <f>VLOOKUP(B11, Currency!A:B, 2, FALSE)</f>
        <v>INR</v>
      </c>
      <c r="AJ11">
        <f t="shared" si="8"/>
        <v>5</v>
      </c>
      <c r="AK11">
        <f t="shared" si="13"/>
        <v>8</v>
      </c>
      <c r="AL11" t="str">
        <f t="shared" si="9"/>
        <v>August</v>
      </c>
      <c r="AM11">
        <f t="shared" si="14"/>
        <v>2023</v>
      </c>
      <c r="AN11" t="str">
        <f t="shared" si="10"/>
        <v>0The Singareni Collieries Company Ltd</v>
      </c>
      <c r="AO11">
        <f>IF(COUNTIF($AN$2:AN11, AN11)=1, 1, 0)</f>
        <v>0</v>
      </c>
      <c r="AP11" t="str">
        <f t="shared" si="15"/>
        <v>&gt;3</v>
      </c>
      <c r="AQ11" t="str">
        <f t="shared" si="16"/>
        <v>&gt;3</v>
      </c>
      <c r="AR11" t="str">
        <f t="shared" si="17"/>
        <v>&gt;3</v>
      </c>
    </row>
    <row r="12" spans="1:44" x14ac:dyDescent="0.3">
      <c r="A12" t="s">
        <v>33</v>
      </c>
      <c r="B12" t="s">
        <v>51</v>
      </c>
      <c r="C12" t="s">
        <v>52</v>
      </c>
      <c r="D12">
        <v>3768</v>
      </c>
      <c r="E12">
        <v>23120100</v>
      </c>
      <c r="F12" t="s">
        <v>53</v>
      </c>
      <c r="G12" t="s">
        <v>54</v>
      </c>
      <c r="H12">
        <v>435.83</v>
      </c>
      <c r="I12">
        <v>7412.17</v>
      </c>
      <c r="J12">
        <v>3230446.05</v>
      </c>
      <c r="K12" s="7" t="str">
        <f>IFERROR(IF(B12&lt;&gt;"", TEXT(VLOOKUP(B12, 'Expected Date'!A:B, 2, FALSE) + DATE(RIGHT(C12,2),MID(C12,4,2),LEFT(C12,2)), "dd/mm/yy"), ""), "")</f>
        <v>05/09/23</v>
      </c>
      <c r="L12" t="s">
        <v>38</v>
      </c>
      <c r="M12" t="s">
        <v>48</v>
      </c>
      <c r="N12" t="s">
        <v>55</v>
      </c>
      <c r="O12" t="s">
        <v>56</v>
      </c>
      <c r="P12">
        <v>23190863</v>
      </c>
      <c r="Q12" t="s">
        <v>53</v>
      </c>
      <c r="R12" t="s">
        <v>54</v>
      </c>
      <c r="S12">
        <v>25.78</v>
      </c>
      <c r="T12">
        <v>7412.17</v>
      </c>
      <c r="U12">
        <v>191085.74</v>
      </c>
      <c r="V12" t="str">
        <f t="shared" si="11"/>
        <v>Accepted</v>
      </c>
      <c r="W12">
        <f>IFERROR(VLOOKUP(N12, Payment_Terms!A:B, 2, FALSE), "Payment term not found!")</f>
        <v>0</v>
      </c>
      <c r="X12" t="str">
        <f>IFERROR(VLOOKUP(R12, Item_Category!A:B, 2, FALSE), "Uncategorized")</f>
        <v>Coal materials</v>
      </c>
      <c r="Y12" s="5">
        <f t="shared" si="12"/>
        <v>1.3042566794577706E-16</v>
      </c>
      <c r="Z12">
        <f t="shared" si="0"/>
        <v>4</v>
      </c>
      <c r="AA12">
        <f t="shared" si="1"/>
        <v>-32</v>
      </c>
      <c r="AB12">
        <f t="shared" si="2"/>
        <v>5</v>
      </c>
      <c r="AC12" s="10">
        <f t="shared" si="3"/>
        <v>12</v>
      </c>
      <c r="AD12" s="5">
        <f t="shared" si="4"/>
        <v>1</v>
      </c>
      <c r="AE12" s="5">
        <f t="shared" si="5"/>
        <v>1</v>
      </c>
      <c r="AF12" s="5">
        <f t="shared" si="6"/>
        <v>0</v>
      </c>
      <c r="AG12">
        <f>IF(B12&lt;&gt;"", COUNTIFS($B$2:B12, B12), "")</f>
        <v>8</v>
      </c>
      <c r="AH12">
        <f t="shared" si="7"/>
        <v>5</v>
      </c>
      <c r="AI12" t="str">
        <f>VLOOKUP(B12, Currency!A:B, 2, FALSE)</f>
        <v>INR</v>
      </c>
      <c r="AJ12">
        <f t="shared" si="8"/>
        <v>5</v>
      </c>
      <c r="AK12">
        <f t="shared" si="13"/>
        <v>8</v>
      </c>
      <c r="AL12" t="str">
        <f t="shared" si="9"/>
        <v>August</v>
      </c>
      <c r="AM12">
        <f t="shared" si="14"/>
        <v>2023</v>
      </c>
      <c r="AN12" t="str">
        <f t="shared" si="10"/>
        <v>0The Singareni Collieries Company Ltd</v>
      </c>
      <c r="AO12">
        <f>IF(COUNTIF($AN$2:AN12, AN12)=1, 1, 0)</f>
        <v>0</v>
      </c>
      <c r="AP12" t="str">
        <f t="shared" si="15"/>
        <v>&gt;3</v>
      </c>
      <c r="AQ12" t="str">
        <f t="shared" si="16"/>
        <v>&gt;3</v>
      </c>
      <c r="AR12" t="str">
        <f t="shared" si="17"/>
        <v>&gt;3</v>
      </c>
    </row>
    <row r="13" spans="1:44" x14ac:dyDescent="0.3">
      <c r="A13" t="s">
        <v>33</v>
      </c>
      <c r="B13" t="s">
        <v>64</v>
      </c>
      <c r="C13" t="s">
        <v>65</v>
      </c>
      <c r="D13">
        <v>1352</v>
      </c>
      <c r="E13">
        <v>23120006</v>
      </c>
      <c r="F13" t="s">
        <v>66</v>
      </c>
      <c r="G13" t="s">
        <v>67</v>
      </c>
      <c r="H13">
        <v>6000</v>
      </c>
      <c r="I13">
        <v>22.5</v>
      </c>
      <c r="J13">
        <v>135000</v>
      </c>
      <c r="K13" s="7" t="str">
        <f>IFERROR(IF(B13&lt;&gt;"", TEXT(VLOOKUP(B13, 'Expected Date'!A:B, 2, FALSE) + DATE(RIGHT(C13,2),MID(C13,4,2),LEFT(C13,2)), "dd/mm/yy"), ""), "")</f>
        <v>29/04/23</v>
      </c>
      <c r="L13" t="s">
        <v>68</v>
      </c>
      <c r="M13" t="s">
        <v>39</v>
      </c>
      <c r="N13" t="s">
        <v>69</v>
      </c>
      <c r="O13" t="s">
        <v>70</v>
      </c>
      <c r="P13">
        <v>23190106</v>
      </c>
      <c r="Q13" t="s">
        <v>66</v>
      </c>
      <c r="R13" t="s">
        <v>67</v>
      </c>
      <c r="S13">
        <v>4800</v>
      </c>
      <c r="T13">
        <v>22.5</v>
      </c>
      <c r="U13">
        <v>108000</v>
      </c>
      <c r="V13" t="str">
        <f t="shared" si="11"/>
        <v>Accepted</v>
      </c>
      <c r="W13">
        <f>IFERROR(VLOOKUP(N13, Payment_Terms!A:B, 2, FALSE), "Payment term not found!")</f>
        <v>30</v>
      </c>
      <c r="X13" t="str">
        <f>IFERROR(VLOOKUP(R13, Item_Category!A:B, 2, FALSE), "Uncategorized")</f>
        <v>Bags</v>
      </c>
      <c r="Y13" s="5">
        <f t="shared" si="12"/>
        <v>0.2</v>
      </c>
      <c r="Z13">
        <f t="shared" si="0"/>
        <v>1</v>
      </c>
      <c r="AA13">
        <f t="shared" si="1"/>
        <v>-5</v>
      </c>
      <c r="AB13">
        <f t="shared" si="2"/>
        <v>5</v>
      </c>
      <c r="AC13" s="10">
        <f t="shared" si="3"/>
        <v>5</v>
      </c>
      <c r="AD13" s="5">
        <f t="shared" si="4"/>
        <v>1</v>
      </c>
      <c r="AE13" s="5">
        <f t="shared" si="5"/>
        <v>1</v>
      </c>
      <c r="AF13" s="5">
        <f t="shared" si="6"/>
        <v>0</v>
      </c>
      <c r="AG13">
        <f>IF(B13&lt;&gt;"", COUNTIFS($B$2:B13, B13), "")</f>
        <v>1</v>
      </c>
      <c r="AH13">
        <f t="shared" si="7"/>
        <v>5</v>
      </c>
      <c r="AI13" t="str">
        <f>VLOOKUP(B13, Currency!A:B, 2, FALSE)</f>
        <v>INR</v>
      </c>
      <c r="AJ13">
        <f t="shared" si="8"/>
        <v>4</v>
      </c>
      <c r="AK13">
        <f t="shared" si="13"/>
        <v>4</v>
      </c>
      <c r="AL13" t="str">
        <f t="shared" si="9"/>
        <v>April</v>
      </c>
      <c r="AM13">
        <f t="shared" si="14"/>
        <v>2023</v>
      </c>
      <c r="AN13" t="str">
        <f t="shared" si="10"/>
        <v>30Epic Polymers</v>
      </c>
      <c r="AO13">
        <f>IF(COUNTIF($AN$2:AN13, AN13)=1, 1, 0)</f>
        <v>1</v>
      </c>
      <c r="AP13" t="str">
        <f t="shared" si="15"/>
        <v>&gt;3</v>
      </c>
      <c r="AQ13" t="str">
        <f t="shared" si="16"/>
        <v>&lt;=3</v>
      </c>
      <c r="AR13" t="str">
        <f t="shared" si="17"/>
        <v>&gt;3</v>
      </c>
    </row>
    <row r="14" spans="1:44" x14ac:dyDescent="0.3">
      <c r="A14" t="s">
        <v>33</v>
      </c>
      <c r="B14" t="s">
        <v>51</v>
      </c>
      <c r="C14" t="s">
        <v>60</v>
      </c>
      <c r="D14">
        <v>2658</v>
      </c>
      <c r="E14">
        <v>23120061</v>
      </c>
      <c r="F14" t="s">
        <v>53</v>
      </c>
      <c r="G14" t="s">
        <v>54</v>
      </c>
      <c r="H14">
        <v>81</v>
      </c>
      <c r="I14">
        <v>7412.1710000000003</v>
      </c>
      <c r="J14">
        <v>600385.85</v>
      </c>
      <c r="K14" s="7" t="str">
        <f>IFERROR(IF(B14&lt;&gt;"", TEXT(VLOOKUP(B14, 'Expected Date'!A:B, 2, FALSE) + DATE(RIGHT(C14,2),MID(C14,4,2),LEFT(C14,2)), "dd/mm/yy"), ""), "")</f>
        <v>16/07/23</v>
      </c>
      <c r="L14" t="s">
        <v>38</v>
      </c>
      <c r="M14" t="s">
        <v>48</v>
      </c>
      <c r="N14" t="s">
        <v>55</v>
      </c>
      <c r="O14" t="s">
        <v>45</v>
      </c>
      <c r="P14">
        <v>23190488</v>
      </c>
      <c r="Q14" t="s">
        <v>53</v>
      </c>
      <c r="R14" t="s">
        <v>54</v>
      </c>
      <c r="S14">
        <v>25.53</v>
      </c>
      <c r="T14">
        <v>7412.1710000000003</v>
      </c>
      <c r="U14">
        <v>189232.73</v>
      </c>
      <c r="V14" t="str">
        <f t="shared" si="11"/>
        <v>Accepted</v>
      </c>
      <c r="W14">
        <f>IFERROR(VLOOKUP(N14, Payment_Terms!A:B, 2, FALSE), "Payment term not found!")</f>
        <v>0</v>
      </c>
      <c r="X14" t="str">
        <f>IFERROR(VLOOKUP(R14, Item_Category!A:B, 2, FALSE), "Uncategorized")</f>
        <v>Coal materials</v>
      </c>
      <c r="Y14" s="5">
        <f t="shared" si="12"/>
        <v>0</v>
      </c>
      <c r="Z14">
        <f t="shared" si="0"/>
        <v>5</v>
      </c>
      <c r="AA14">
        <f t="shared" si="1"/>
        <v>-29</v>
      </c>
      <c r="AB14">
        <f t="shared" si="2"/>
        <v>5</v>
      </c>
      <c r="AC14" s="10">
        <f t="shared" si="3"/>
        <v>9</v>
      </c>
      <c r="AD14" s="5">
        <f t="shared" si="4"/>
        <v>1</v>
      </c>
      <c r="AE14" s="5">
        <f t="shared" si="5"/>
        <v>1</v>
      </c>
      <c r="AF14" s="5">
        <f t="shared" si="6"/>
        <v>0</v>
      </c>
      <c r="AG14">
        <f>IF(B14&lt;&gt;"", COUNTIFS($B$2:B14, B14), "")</f>
        <v>9</v>
      </c>
      <c r="AH14">
        <f t="shared" si="7"/>
        <v>5</v>
      </c>
      <c r="AI14" t="str">
        <f>VLOOKUP(B14, Currency!A:B, 2, FALSE)</f>
        <v>INR</v>
      </c>
      <c r="AJ14">
        <f t="shared" si="8"/>
        <v>5</v>
      </c>
      <c r="AK14">
        <f t="shared" si="13"/>
        <v>6</v>
      </c>
      <c r="AL14" t="str">
        <f t="shared" si="9"/>
        <v>June</v>
      </c>
      <c r="AM14">
        <f t="shared" si="14"/>
        <v>2023</v>
      </c>
      <c r="AN14" t="str">
        <f t="shared" si="10"/>
        <v>0The Singareni Collieries Company Ltd</v>
      </c>
      <c r="AO14">
        <f>IF(COUNTIF($AN$2:AN14, AN14)=1, 1, 0)</f>
        <v>0</v>
      </c>
      <c r="AP14" t="str">
        <f t="shared" si="15"/>
        <v>&gt;3</v>
      </c>
      <c r="AQ14" t="str">
        <f t="shared" si="16"/>
        <v>&gt;3</v>
      </c>
      <c r="AR14" t="str">
        <f t="shared" si="17"/>
        <v>&gt;3</v>
      </c>
    </row>
    <row r="15" spans="1:44" x14ac:dyDescent="0.3">
      <c r="A15" t="s">
        <v>33</v>
      </c>
      <c r="B15" t="s">
        <v>51</v>
      </c>
      <c r="C15" t="s">
        <v>60</v>
      </c>
      <c r="D15">
        <v>2658</v>
      </c>
      <c r="E15">
        <v>23120061</v>
      </c>
      <c r="F15" t="s">
        <v>53</v>
      </c>
      <c r="G15" t="s">
        <v>54</v>
      </c>
      <c r="H15">
        <v>81</v>
      </c>
      <c r="I15">
        <v>7412.1710000000003</v>
      </c>
      <c r="J15">
        <v>600385.85</v>
      </c>
      <c r="K15" s="7" t="str">
        <f>IFERROR(IF(B15&lt;&gt;"", TEXT(VLOOKUP(B15, 'Expected Date'!A:B, 2, FALSE) + DATE(RIGHT(C15,2),MID(C15,4,2),LEFT(C15,2)), "dd/mm/yy"), ""), "")</f>
        <v>16/07/23</v>
      </c>
      <c r="L15" t="s">
        <v>38</v>
      </c>
      <c r="M15" t="s">
        <v>48</v>
      </c>
      <c r="N15" t="s">
        <v>55</v>
      </c>
      <c r="O15" t="s">
        <v>71</v>
      </c>
      <c r="P15">
        <v>23190489</v>
      </c>
      <c r="Q15" t="s">
        <v>53</v>
      </c>
      <c r="R15" t="s">
        <v>54</v>
      </c>
      <c r="S15">
        <v>29.5</v>
      </c>
      <c r="T15">
        <v>7412.1710000000003</v>
      </c>
      <c r="U15">
        <v>218659.04</v>
      </c>
      <c r="V15" t="str">
        <f t="shared" si="11"/>
        <v>Accepted</v>
      </c>
      <c r="W15">
        <f>IFERROR(VLOOKUP(N15, Payment_Terms!A:B, 2, FALSE), "Payment term not found!")</f>
        <v>0</v>
      </c>
      <c r="X15" t="str">
        <f>IFERROR(VLOOKUP(R15, Item_Category!A:B, 2, FALSE), "Uncategorized")</f>
        <v>Coal materials</v>
      </c>
      <c r="Y15" s="5">
        <f t="shared" si="12"/>
        <v>0</v>
      </c>
      <c r="Z15">
        <f t="shared" si="0"/>
        <v>5</v>
      </c>
      <c r="AA15">
        <f t="shared" si="1"/>
        <v>-24</v>
      </c>
      <c r="AB15">
        <f t="shared" si="2"/>
        <v>5</v>
      </c>
      <c r="AC15" s="10">
        <f t="shared" si="3"/>
        <v>4</v>
      </c>
      <c r="AD15" s="5">
        <f t="shared" si="4"/>
        <v>1</v>
      </c>
      <c r="AE15" s="5">
        <f t="shared" si="5"/>
        <v>1</v>
      </c>
      <c r="AF15" s="5">
        <f t="shared" si="6"/>
        <v>0</v>
      </c>
      <c r="AG15">
        <f>IF(B15&lt;&gt;"", COUNTIFS($B$2:B15, B15), "")</f>
        <v>10</v>
      </c>
      <c r="AH15">
        <f t="shared" si="7"/>
        <v>5</v>
      </c>
      <c r="AI15" t="str">
        <f>VLOOKUP(B15, Currency!A:B, 2, FALSE)</f>
        <v>INR</v>
      </c>
      <c r="AJ15">
        <f t="shared" si="8"/>
        <v>5</v>
      </c>
      <c r="AK15">
        <f t="shared" si="13"/>
        <v>6</v>
      </c>
      <c r="AL15" t="str">
        <f t="shared" si="9"/>
        <v>June</v>
      </c>
      <c r="AM15">
        <f t="shared" si="14"/>
        <v>2023</v>
      </c>
      <c r="AN15" t="str">
        <f t="shared" si="10"/>
        <v>0The Singareni Collieries Company Ltd</v>
      </c>
      <c r="AO15">
        <f>IF(COUNTIF($AN$2:AN15, AN15)=1, 1, 0)</f>
        <v>0</v>
      </c>
      <c r="AP15" t="str">
        <f t="shared" si="15"/>
        <v>&gt;3</v>
      </c>
      <c r="AQ15" t="str">
        <f t="shared" si="16"/>
        <v>&gt;3</v>
      </c>
      <c r="AR15" t="str">
        <f t="shared" si="17"/>
        <v>&gt;3</v>
      </c>
    </row>
    <row r="16" spans="1:44" x14ac:dyDescent="0.3">
      <c r="A16" t="s">
        <v>33</v>
      </c>
      <c r="B16" t="s">
        <v>51</v>
      </c>
      <c r="C16" t="s">
        <v>60</v>
      </c>
      <c r="D16">
        <v>2658</v>
      </c>
      <c r="E16">
        <v>23120061</v>
      </c>
      <c r="F16" t="s">
        <v>53</v>
      </c>
      <c r="G16" t="s">
        <v>54</v>
      </c>
      <c r="H16">
        <v>81</v>
      </c>
      <c r="I16">
        <v>7412.1710000000003</v>
      </c>
      <c r="J16">
        <v>600385.85</v>
      </c>
      <c r="K16" s="7" t="str">
        <f>IFERROR(IF(B16&lt;&gt;"", TEXT(VLOOKUP(B16, 'Expected Date'!A:B, 2, FALSE) + DATE(RIGHT(C16,2),MID(C16,4,2),LEFT(C16,2)), "dd/mm/yy"), ""), "")</f>
        <v>16/07/23</v>
      </c>
      <c r="L16" t="s">
        <v>38</v>
      </c>
      <c r="M16" t="s">
        <v>48</v>
      </c>
      <c r="N16" t="s">
        <v>55</v>
      </c>
      <c r="O16" t="s">
        <v>72</v>
      </c>
      <c r="P16">
        <v>23190490</v>
      </c>
      <c r="Q16" t="s">
        <v>53</v>
      </c>
      <c r="R16" t="s">
        <v>54</v>
      </c>
      <c r="S16">
        <v>25.97</v>
      </c>
      <c r="T16">
        <v>7412.1710000000003</v>
      </c>
      <c r="U16">
        <v>192494.07999999999</v>
      </c>
      <c r="V16" t="str">
        <f t="shared" si="11"/>
        <v>Accepted</v>
      </c>
      <c r="W16">
        <f>IFERROR(VLOOKUP(N16, Payment_Terms!A:B, 2, FALSE), "Payment term not found!")</f>
        <v>0</v>
      </c>
      <c r="X16" t="str">
        <f>IFERROR(VLOOKUP(R16, Item_Category!A:B, 2, FALSE), "Uncategorized")</f>
        <v>Coal materials</v>
      </c>
      <c r="Y16" s="5">
        <f t="shared" si="12"/>
        <v>0</v>
      </c>
      <c r="Z16">
        <f t="shared" si="0"/>
        <v>5</v>
      </c>
      <c r="AA16">
        <f t="shared" si="1"/>
        <v>-23</v>
      </c>
      <c r="AB16">
        <f t="shared" si="2"/>
        <v>5</v>
      </c>
      <c r="AC16" s="10">
        <f t="shared" si="3"/>
        <v>3</v>
      </c>
      <c r="AD16" s="5">
        <f t="shared" si="4"/>
        <v>1</v>
      </c>
      <c r="AE16" s="5">
        <f t="shared" si="5"/>
        <v>1</v>
      </c>
      <c r="AF16" s="5">
        <f t="shared" si="6"/>
        <v>0</v>
      </c>
      <c r="AG16">
        <f>IF(B16&lt;&gt;"", COUNTIFS($B$2:B16, B16), "")</f>
        <v>11</v>
      </c>
      <c r="AH16">
        <f t="shared" si="7"/>
        <v>5</v>
      </c>
      <c r="AI16" t="str">
        <f>VLOOKUP(B16, Currency!A:B, 2, FALSE)</f>
        <v>INR</v>
      </c>
      <c r="AJ16">
        <f t="shared" si="8"/>
        <v>5</v>
      </c>
      <c r="AK16">
        <f t="shared" si="13"/>
        <v>6</v>
      </c>
      <c r="AL16" t="str">
        <f t="shared" si="9"/>
        <v>June</v>
      </c>
      <c r="AM16">
        <f t="shared" si="14"/>
        <v>2023</v>
      </c>
      <c r="AN16" t="str">
        <f t="shared" si="10"/>
        <v>0The Singareni Collieries Company Ltd</v>
      </c>
      <c r="AO16">
        <f>IF(COUNTIF($AN$2:AN16, AN16)=1, 1, 0)</f>
        <v>0</v>
      </c>
      <c r="AP16" t="str">
        <f t="shared" si="15"/>
        <v>&gt;3</v>
      </c>
      <c r="AQ16" t="str">
        <f t="shared" si="16"/>
        <v>&gt;3</v>
      </c>
      <c r="AR16" t="str">
        <f t="shared" si="17"/>
        <v>&gt;3</v>
      </c>
    </row>
    <row r="17" spans="1:44" x14ac:dyDescent="0.3">
      <c r="A17" t="s">
        <v>33</v>
      </c>
      <c r="B17" t="s">
        <v>73</v>
      </c>
      <c r="C17" t="s">
        <v>74</v>
      </c>
      <c r="D17">
        <v>3662</v>
      </c>
      <c r="E17">
        <v>23120099</v>
      </c>
      <c r="F17" t="s">
        <v>75</v>
      </c>
      <c r="G17" t="s">
        <v>76</v>
      </c>
      <c r="H17">
        <v>60</v>
      </c>
      <c r="I17">
        <v>900</v>
      </c>
      <c r="J17">
        <v>54000</v>
      </c>
      <c r="K17" s="7" t="str">
        <f>IFERROR(IF(B17&lt;&gt;"", TEXT(VLOOKUP(B17, 'Expected Date'!A:B, 2, FALSE) + DATE(RIGHT(C17,2),MID(C17,4,2),LEFT(C17,2)), "dd/mm/yy"), ""), "")</f>
        <v>31/08/23</v>
      </c>
      <c r="L17" t="s">
        <v>38</v>
      </c>
      <c r="M17" t="s">
        <v>39</v>
      </c>
      <c r="N17" t="s">
        <v>77</v>
      </c>
      <c r="O17" t="s">
        <v>78</v>
      </c>
      <c r="P17">
        <v>23190960</v>
      </c>
      <c r="Q17" t="s">
        <v>75</v>
      </c>
      <c r="R17" t="s">
        <v>76</v>
      </c>
      <c r="S17">
        <v>60</v>
      </c>
      <c r="T17">
        <v>900</v>
      </c>
      <c r="U17">
        <v>54000</v>
      </c>
      <c r="V17" t="str">
        <f t="shared" si="11"/>
        <v>Accepted</v>
      </c>
      <c r="W17">
        <f>IFERROR(VLOOKUP(N17, Payment_Terms!A:B, 2, FALSE), "Payment term not found!")</f>
        <v>0</v>
      </c>
      <c r="X17" t="str">
        <f>IFERROR(VLOOKUP(R17, Item_Category!A:B, 2, FALSE), "Uncategorized")</f>
        <v>Pallets</v>
      </c>
      <c r="Y17" s="5">
        <f t="shared" si="12"/>
        <v>0</v>
      </c>
      <c r="Z17">
        <f t="shared" si="0"/>
        <v>5</v>
      </c>
      <c r="AA17">
        <f t="shared" si="1"/>
        <v>-7</v>
      </c>
      <c r="AB17">
        <f t="shared" si="2"/>
        <v>5</v>
      </c>
      <c r="AC17" s="10">
        <f t="shared" si="3"/>
        <v>13</v>
      </c>
      <c r="AD17" s="5">
        <f t="shared" si="4"/>
        <v>1</v>
      </c>
      <c r="AE17" s="5">
        <f t="shared" si="5"/>
        <v>1</v>
      </c>
      <c r="AF17" s="5">
        <f t="shared" si="6"/>
        <v>0</v>
      </c>
      <c r="AG17">
        <f>IF(B17&lt;&gt;"", COUNTIFS($B$2:B17, B17), "")</f>
        <v>1</v>
      </c>
      <c r="AH17">
        <f t="shared" si="7"/>
        <v>5</v>
      </c>
      <c r="AI17" t="str">
        <f>VLOOKUP(B17, Currency!A:B, 2, FALSE)</f>
        <v>INR</v>
      </c>
      <c r="AJ17">
        <f t="shared" si="8"/>
        <v>5</v>
      </c>
      <c r="AK17">
        <f t="shared" si="13"/>
        <v>8</v>
      </c>
      <c r="AL17" t="str">
        <f t="shared" si="9"/>
        <v>August</v>
      </c>
      <c r="AM17">
        <f t="shared" si="14"/>
        <v>2023</v>
      </c>
      <c r="AN17" t="str">
        <f t="shared" si="10"/>
        <v>0Nilkamal Limited</v>
      </c>
      <c r="AO17">
        <f>IF(COUNTIF($AN$2:AN17, AN17)=1, 1, 0)</f>
        <v>1</v>
      </c>
      <c r="AP17" t="str">
        <f t="shared" si="15"/>
        <v>&gt;3</v>
      </c>
      <c r="AQ17" t="str">
        <f t="shared" si="16"/>
        <v>&gt;3</v>
      </c>
      <c r="AR17" t="str">
        <f t="shared" si="17"/>
        <v>&gt;3</v>
      </c>
    </row>
    <row r="18" spans="1:44" x14ac:dyDescent="0.3">
      <c r="A18" t="s">
        <v>33</v>
      </c>
      <c r="B18" t="s">
        <v>79</v>
      </c>
      <c r="C18" t="s">
        <v>80</v>
      </c>
      <c r="D18">
        <v>1277</v>
      </c>
      <c r="E18">
        <v>23110025</v>
      </c>
      <c r="F18" t="s">
        <v>81</v>
      </c>
      <c r="G18" t="s">
        <v>82</v>
      </c>
      <c r="H18">
        <v>21000</v>
      </c>
      <c r="I18">
        <v>0.4</v>
      </c>
      <c r="J18">
        <v>8400</v>
      </c>
      <c r="K18" s="7" t="str">
        <f>IFERROR(IF(B18&lt;&gt;"", TEXT(VLOOKUP(B18, 'Expected Date'!A:B, 2, FALSE) + DATE(RIGHT(C18,2),MID(C18,4,2),LEFT(C18,2)), "dd/mm/yy"), ""), "")</f>
        <v>04/05/23</v>
      </c>
      <c r="L18" t="s">
        <v>38</v>
      </c>
      <c r="M18" t="s">
        <v>48</v>
      </c>
      <c r="N18" t="s">
        <v>83</v>
      </c>
      <c r="O18" t="s">
        <v>84</v>
      </c>
      <c r="P18">
        <v>23190105</v>
      </c>
      <c r="Q18" t="s">
        <v>81</v>
      </c>
      <c r="R18" t="s">
        <v>82</v>
      </c>
      <c r="S18">
        <v>25060</v>
      </c>
      <c r="T18">
        <v>0.4</v>
      </c>
      <c r="U18">
        <v>10024</v>
      </c>
      <c r="V18" t="str">
        <f t="shared" si="11"/>
        <v>Accepted</v>
      </c>
      <c r="W18">
        <f>IFERROR(VLOOKUP(N18, Payment_Terms!A:B, 2, FALSE), "Payment term not found!")</f>
        <v>0</v>
      </c>
      <c r="X18" t="str">
        <f>IFERROR(VLOOKUP(R18, Item_Category!A:B, 2, FALSE), "Uncategorized")</f>
        <v>HCL</v>
      </c>
      <c r="Y18" s="5">
        <f t="shared" si="12"/>
        <v>0</v>
      </c>
      <c r="Z18">
        <f t="shared" si="0"/>
        <v>5</v>
      </c>
      <c r="AA18">
        <f t="shared" si="1"/>
        <v>-13</v>
      </c>
      <c r="AB18">
        <f t="shared" si="2"/>
        <v>5</v>
      </c>
      <c r="AC18" s="10">
        <f t="shared" si="3"/>
        <v>7</v>
      </c>
      <c r="AD18" s="5">
        <f t="shared" si="4"/>
        <v>1</v>
      </c>
      <c r="AE18" s="5">
        <f t="shared" si="5"/>
        <v>1</v>
      </c>
      <c r="AF18" s="5">
        <f t="shared" si="6"/>
        <v>0</v>
      </c>
      <c r="AG18">
        <f>IF(B18&lt;&gt;"", COUNTIFS($B$2:B18, B18), "")</f>
        <v>1</v>
      </c>
      <c r="AH18">
        <f t="shared" si="7"/>
        <v>5</v>
      </c>
      <c r="AI18" t="str">
        <f>VLOOKUP(B18, Currency!A:B, 2, FALSE)</f>
        <v>INR</v>
      </c>
      <c r="AJ18">
        <f t="shared" si="8"/>
        <v>5</v>
      </c>
      <c r="AK18">
        <f t="shared" si="13"/>
        <v>4</v>
      </c>
      <c r="AL18" t="str">
        <f t="shared" si="9"/>
        <v>April</v>
      </c>
      <c r="AM18">
        <f t="shared" si="14"/>
        <v>2023</v>
      </c>
      <c r="AN18" t="str">
        <f t="shared" si="10"/>
        <v>0R L Chloro Sales Pvt Ltd</v>
      </c>
      <c r="AO18">
        <f>IF(COUNTIF($AN$2:AN18, AN18)=1, 1, 0)</f>
        <v>1</v>
      </c>
      <c r="AP18" t="str">
        <f t="shared" si="15"/>
        <v>&gt;3</v>
      </c>
      <c r="AQ18" t="str">
        <f t="shared" si="16"/>
        <v>&gt;3</v>
      </c>
      <c r="AR18" t="str">
        <f t="shared" si="17"/>
        <v>&gt;3</v>
      </c>
    </row>
    <row r="19" spans="1:44" x14ac:dyDescent="0.3">
      <c r="A19" t="s">
        <v>33</v>
      </c>
      <c r="B19" t="s">
        <v>64</v>
      </c>
      <c r="C19" t="s">
        <v>65</v>
      </c>
      <c r="D19">
        <v>1352</v>
      </c>
      <c r="E19">
        <v>23120006</v>
      </c>
      <c r="F19" t="s">
        <v>85</v>
      </c>
      <c r="G19" t="s">
        <v>86</v>
      </c>
      <c r="H19">
        <v>3000</v>
      </c>
      <c r="I19">
        <v>22.5</v>
      </c>
      <c r="J19">
        <v>67500</v>
      </c>
      <c r="K19" s="7" t="str">
        <f>IFERROR(IF(B19&lt;&gt;"", TEXT(VLOOKUP(B19, 'Expected Date'!A:B, 2, FALSE) + DATE(RIGHT(C19,2),MID(C19,4,2),LEFT(C19,2)), "dd/mm/yy"), ""), "")</f>
        <v>29/04/23</v>
      </c>
      <c r="L19" t="s">
        <v>38</v>
      </c>
      <c r="M19" t="s">
        <v>39</v>
      </c>
      <c r="N19" t="s">
        <v>69</v>
      </c>
      <c r="O19" t="s">
        <v>70</v>
      </c>
      <c r="P19">
        <v>23190106</v>
      </c>
      <c r="Q19" t="s">
        <v>85</v>
      </c>
      <c r="R19" t="s">
        <v>86</v>
      </c>
      <c r="S19">
        <v>3200</v>
      </c>
      <c r="T19">
        <v>22.5</v>
      </c>
      <c r="U19">
        <v>72000</v>
      </c>
      <c r="V19" t="str">
        <f t="shared" si="11"/>
        <v>Accepted</v>
      </c>
      <c r="W19">
        <f>IFERROR(VLOOKUP(N19, Payment_Terms!A:B, 2, FALSE), "Payment term not found!")</f>
        <v>30</v>
      </c>
      <c r="X19" t="str">
        <f>IFERROR(VLOOKUP(R19, Item_Category!A:B, 2, FALSE), "Uncategorized")</f>
        <v>Bags</v>
      </c>
      <c r="Y19" s="5">
        <f t="shared" si="12"/>
        <v>0</v>
      </c>
      <c r="Z19">
        <f t="shared" si="0"/>
        <v>5</v>
      </c>
      <c r="AA19">
        <f t="shared" si="1"/>
        <v>-5</v>
      </c>
      <c r="AB19">
        <f t="shared" si="2"/>
        <v>5</v>
      </c>
      <c r="AC19" s="10">
        <f t="shared" si="3"/>
        <v>5</v>
      </c>
      <c r="AD19" s="5">
        <f t="shared" si="4"/>
        <v>1</v>
      </c>
      <c r="AE19" s="5">
        <f t="shared" si="5"/>
        <v>1</v>
      </c>
      <c r="AF19" s="5">
        <f t="shared" si="6"/>
        <v>0</v>
      </c>
      <c r="AG19">
        <f>IF(B19&lt;&gt;"", COUNTIFS($B$2:B19, B19), "")</f>
        <v>2</v>
      </c>
      <c r="AH19">
        <f t="shared" si="7"/>
        <v>5</v>
      </c>
      <c r="AI19" t="str">
        <f>VLOOKUP(B19, Currency!A:B, 2, FALSE)</f>
        <v>INR</v>
      </c>
      <c r="AJ19">
        <f t="shared" si="8"/>
        <v>5</v>
      </c>
      <c r="AK19">
        <f t="shared" si="13"/>
        <v>4</v>
      </c>
      <c r="AL19" t="str">
        <f t="shared" si="9"/>
        <v>April</v>
      </c>
      <c r="AM19">
        <f t="shared" si="14"/>
        <v>2023</v>
      </c>
      <c r="AN19" t="str">
        <f t="shared" si="10"/>
        <v>30Epic Polymers</v>
      </c>
      <c r="AO19">
        <f>IF(COUNTIF($AN$2:AN19, AN19)=1, 1, 0)</f>
        <v>0</v>
      </c>
      <c r="AP19" t="str">
        <f t="shared" si="15"/>
        <v>&gt;3</v>
      </c>
      <c r="AQ19" t="str">
        <f t="shared" si="16"/>
        <v>&gt;3</v>
      </c>
      <c r="AR19" t="str">
        <f t="shared" si="17"/>
        <v>&gt;3</v>
      </c>
    </row>
    <row r="20" spans="1:44" x14ac:dyDescent="0.3">
      <c r="A20" t="s">
        <v>33</v>
      </c>
      <c r="B20" t="s">
        <v>73</v>
      </c>
      <c r="C20" t="s">
        <v>72</v>
      </c>
      <c r="D20">
        <v>2593</v>
      </c>
      <c r="E20">
        <v>23120058</v>
      </c>
      <c r="F20" t="s">
        <v>75</v>
      </c>
      <c r="G20" t="s">
        <v>76</v>
      </c>
      <c r="H20">
        <v>10</v>
      </c>
      <c r="I20">
        <v>1000</v>
      </c>
      <c r="J20">
        <v>10000</v>
      </c>
      <c r="K20" s="7" t="str">
        <f>IFERROR(IF(B20&lt;&gt;"", TEXT(VLOOKUP(B20, 'Expected Date'!A:B, 2, FALSE) + DATE(RIGHT(C20,2),MID(C20,4,2),LEFT(C20,2)), "dd/mm/yy"), ""), "")</f>
        <v>13/07/23</v>
      </c>
      <c r="L20" t="s">
        <v>38</v>
      </c>
      <c r="M20" t="s">
        <v>39</v>
      </c>
      <c r="N20" t="s">
        <v>77</v>
      </c>
      <c r="O20" t="s">
        <v>60</v>
      </c>
      <c r="P20">
        <v>23190482</v>
      </c>
      <c r="Q20" t="s">
        <v>75</v>
      </c>
      <c r="R20" t="s">
        <v>76</v>
      </c>
      <c r="S20">
        <v>10</v>
      </c>
      <c r="T20">
        <v>1000</v>
      </c>
      <c r="U20">
        <v>10000</v>
      </c>
      <c r="V20" t="str">
        <f t="shared" si="11"/>
        <v>Accepted</v>
      </c>
      <c r="W20">
        <f>IFERROR(VLOOKUP(N20, Payment_Terms!A:B, 2, FALSE), "Payment term not found!")</f>
        <v>0</v>
      </c>
      <c r="X20" t="str">
        <f>IFERROR(VLOOKUP(R20, Item_Category!A:B, 2, FALSE), "Uncategorized")</f>
        <v>Pallets</v>
      </c>
      <c r="Y20" s="5">
        <f t="shared" si="12"/>
        <v>0</v>
      </c>
      <c r="Z20">
        <f t="shared" si="0"/>
        <v>5</v>
      </c>
      <c r="AA20">
        <f t="shared" si="1"/>
        <v>-17</v>
      </c>
      <c r="AB20">
        <f t="shared" si="2"/>
        <v>5</v>
      </c>
      <c r="AC20" s="10">
        <f t="shared" si="3"/>
        <v>3</v>
      </c>
      <c r="AD20" s="5">
        <f t="shared" si="4"/>
        <v>1</v>
      </c>
      <c r="AE20" s="5">
        <f t="shared" si="5"/>
        <v>1</v>
      </c>
      <c r="AF20" s="5">
        <f t="shared" si="6"/>
        <v>0</v>
      </c>
      <c r="AG20">
        <f>IF(B20&lt;&gt;"", COUNTIFS($B$2:B20, B20), "")</f>
        <v>2</v>
      </c>
      <c r="AH20">
        <f t="shared" si="7"/>
        <v>5</v>
      </c>
      <c r="AI20" t="str">
        <f>VLOOKUP(B20, Currency!A:B, 2, FALSE)</f>
        <v>INR</v>
      </c>
      <c r="AJ20">
        <f t="shared" si="8"/>
        <v>5</v>
      </c>
      <c r="AK20">
        <f t="shared" si="13"/>
        <v>6</v>
      </c>
      <c r="AL20" t="str">
        <f t="shared" si="9"/>
        <v>June</v>
      </c>
      <c r="AM20">
        <f t="shared" si="14"/>
        <v>2023</v>
      </c>
      <c r="AN20" t="str">
        <f t="shared" si="10"/>
        <v>0Nilkamal Limited</v>
      </c>
      <c r="AO20">
        <f>IF(COUNTIF($AN$2:AN20, AN20)=1, 1, 0)</f>
        <v>0</v>
      </c>
      <c r="AP20" t="str">
        <f t="shared" si="15"/>
        <v>&gt;3</v>
      </c>
      <c r="AQ20" t="str">
        <f t="shared" si="16"/>
        <v>&gt;3</v>
      </c>
      <c r="AR20" t="str">
        <f t="shared" si="17"/>
        <v>&gt;3</v>
      </c>
    </row>
    <row r="21" spans="1:44" x14ac:dyDescent="0.3">
      <c r="A21" t="s">
        <v>33</v>
      </c>
      <c r="B21" t="s">
        <v>51</v>
      </c>
      <c r="C21" t="s">
        <v>87</v>
      </c>
      <c r="D21">
        <v>3043</v>
      </c>
      <c r="E21">
        <v>23120087</v>
      </c>
      <c r="F21" t="s">
        <v>53</v>
      </c>
      <c r="G21" t="s">
        <v>54</v>
      </c>
      <c r="H21">
        <v>164.11</v>
      </c>
      <c r="I21">
        <v>7412.1719000000003</v>
      </c>
      <c r="J21">
        <v>1216411.53</v>
      </c>
      <c r="K21" s="7" t="str">
        <f>IFERROR(IF(B21&lt;&gt;"", TEXT(VLOOKUP(B21, 'Expected Date'!A:B, 2, FALSE) + DATE(RIGHT(C21,2),MID(C21,4,2),LEFT(C21,2)), "dd/mm/yy"), ""), "")</f>
        <v>01/08/23</v>
      </c>
      <c r="L21" t="s">
        <v>38</v>
      </c>
      <c r="M21" t="s">
        <v>48</v>
      </c>
      <c r="N21" t="s">
        <v>55</v>
      </c>
      <c r="O21" t="s">
        <v>88</v>
      </c>
      <c r="P21">
        <v>23190623</v>
      </c>
      <c r="Q21" t="s">
        <v>53</v>
      </c>
      <c r="R21" t="s">
        <v>54</v>
      </c>
      <c r="S21">
        <v>25.42</v>
      </c>
      <c r="T21">
        <v>7412.1719000000003</v>
      </c>
      <c r="U21">
        <v>188417.41</v>
      </c>
      <c r="V21" t="str">
        <f t="shared" si="11"/>
        <v>Accepted</v>
      </c>
      <c r="W21">
        <f>IFERROR(VLOOKUP(N21, Payment_Terms!A:B, 2, FALSE), "Payment term not found!")</f>
        <v>0</v>
      </c>
      <c r="X21" t="str">
        <f>IFERROR(VLOOKUP(R21, Item_Category!A:B, 2, FALSE), "Uncategorized")</f>
        <v>Coal materials</v>
      </c>
      <c r="Y21" s="5">
        <f t="shared" si="12"/>
        <v>0</v>
      </c>
      <c r="Z21">
        <f t="shared" si="0"/>
        <v>5</v>
      </c>
      <c r="AA21">
        <f t="shared" si="1"/>
        <v>-28</v>
      </c>
      <c r="AB21">
        <f t="shared" si="2"/>
        <v>5</v>
      </c>
      <c r="AC21" s="10">
        <f t="shared" si="3"/>
        <v>8</v>
      </c>
      <c r="AD21" s="5">
        <f t="shared" si="4"/>
        <v>1</v>
      </c>
      <c r="AE21" s="5">
        <f t="shared" si="5"/>
        <v>1</v>
      </c>
      <c r="AF21" s="5">
        <f t="shared" si="6"/>
        <v>0</v>
      </c>
      <c r="AG21">
        <f>IF(B21&lt;&gt;"", COUNTIFS($B$2:B21, B21), "")</f>
        <v>12</v>
      </c>
      <c r="AH21">
        <f t="shared" si="7"/>
        <v>5</v>
      </c>
      <c r="AI21" t="str">
        <f>VLOOKUP(B21, Currency!A:B, 2, FALSE)</f>
        <v>INR</v>
      </c>
      <c r="AJ21">
        <f t="shared" si="8"/>
        <v>5</v>
      </c>
      <c r="AK21">
        <f t="shared" si="13"/>
        <v>7</v>
      </c>
      <c r="AL21" t="str">
        <f t="shared" si="9"/>
        <v>July</v>
      </c>
      <c r="AM21">
        <f t="shared" si="14"/>
        <v>2023</v>
      </c>
      <c r="AN21" t="str">
        <f t="shared" si="10"/>
        <v>0The Singareni Collieries Company Ltd</v>
      </c>
      <c r="AO21">
        <f>IF(COUNTIF($AN$2:AN21, AN21)=1, 1, 0)</f>
        <v>0</v>
      </c>
      <c r="AP21" t="str">
        <f t="shared" si="15"/>
        <v>&gt;3</v>
      </c>
      <c r="AQ21" t="str">
        <f t="shared" si="16"/>
        <v>&gt;3</v>
      </c>
      <c r="AR21" t="str">
        <f t="shared" si="17"/>
        <v>&gt;3</v>
      </c>
    </row>
    <row r="22" spans="1:44" x14ac:dyDescent="0.3">
      <c r="A22" t="s">
        <v>33</v>
      </c>
      <c r="B22" t="s">
        <v>51</v>
      </c>
      <c r="C22" t="s">
        <v>87</v>
      </c>
      <c r="D22">
        <v>3043</v>
      </c>
      <c r="E22">
        <v>23120087</v>
      </c>
      <c r="F22" t="s">
        <v>53</v>
      </c>
      <c r="G22" t="s">
        <v>54</v>
      </c>
      <c r="H22">
        <v>164.11</v>
      </c>
      <c r="I22">
        <v>7412.1719000000003</v>
      </c>
      <c r="J22">
        <v>1216411.53</v>
      </c>
      <c r="K22" s="7" t="str">
        <f>IFERROR(IF(B22&lt;&gt;"", TEXT(VLOOKUP(B22, 'Expected Date'!A:B, 2, FALSE) + DATE(RIGHT(C22,2),MID(C22,4,2),LEFT(C22,2)), "dd/mm/yy"), ""), "")</f>
        <v>01/08/23</v>
      </c>
      <c r="L22" t="s">
        <v>38</v>
      </c>
      <c r="M22" t="s">
        <v>48</v>
      </c>
      <c r="N22" t="s">
        <v>55</v>
      </c>
      <c r="O22" t="s">
        <v>89</v>
      </c>
      <c r="P22">
        <v>23190624</v>
      </c>
      <c r="Q22" t="s">
        <v>53</v>
      </c>
      <c r="R22" t="s">
        <v>54</v>
      </c>
      <c r="S22">
        <v>30.94</v>
      </c>
      <c r="T22">
        <v>7412.1719000000003</v>
      </c>
      <c r="U22">
        <v>229332.6</v>
      </c>
      <c r="V22" t="str">
        <f t="shared" si="11"/>
        <v>Accepted</v>
      </c>
      <c r="W22">
        <f>IFERROR(VLOOKUP(N22, Payment_Terms!A:B, 2, FALSE), "Payment term not found!")</f>
        <v>0</v>
      </c>
      <c r="X22" t="str">
        <f>IFERROR(VLOOKUP(R22, Item_Category!A:B, 2, FALSE), "Uncategorized")</f>
        <v>Coal materials</v>
      </c>
      <c r="Y22" s="5">
        <f t="shared" si="12"/>
        <v>0</v>
      </c>
      <c r="Z22">
        <f t="shared" si="0"/>
        <v>5</v>
      </c>
      <c r="AA22">
        <f t="shared" si="1"/>
        <v>-27</v>
      </c>
      <c r="AB22">
        <f t="shared" si="2"/>
        <v>5</v>
      </c>
      <c r="AC22" s="10">
        <f t="shared" si="3"/>
        <v>7</v>
      </c>
      <c r="AD22" s="5">
        <f t="shared" si="4"/>
        <v>1</v>
      </c>
      <c r="AE22" s="5">
        <f t="shared" si="5"/>
        <v>1</v>
      </c>
      <c r="AF22" s="5">
        <f t="shared" si="6"/>
        <v>0</v>
      </c>
      <c r="AG22">
        <f>IF(B22&lt;&gt;"", COUNTIFS($B$2:B22, B22), "")</f>
        <v>13</v>
      </c>
      <c r="AH22">
        <f t="shared" si="7"/>
        <v>5</v>
      </c>
      <c r="AI22" t="str">
        <f>VLOOKUP(B22, Currency!A:B, 2, FALSE)</f>
        <v>INR</v>
      </c>
      <c r="AJ22">
        <f t="shared" si="8"/>
        <v>5</v>
      </c>
      <c r="AK22">
        <f t="shared" si="13"/>
        <v>7</v>
      </c>
      <c r="AL22" t="str">
        <f t="shared" si="9"/>
        <v>July</v>
      </c>
      <c r="AM22">
        <f t="shared" si="14"/>
        <v>2023</v>
      </c>
      <c r="AN22" t="str">
        <f t="shared" si="10"/>
        <v>0The Singareni Collieries Company Ltd</v>
      </c>
      <c r="AO22">
        <f>IF(COUNTIF($AN$2:AN22, AN22)=1, 1, 0)</f>
        <v>0</v>
      </c>
      <c r="AP22" t="str">
        <f t="shared" si="15"/>
        <v>&gt;3</v>
      </c>
      <c r="AQ22" t="str">
        <f t="shared" si="16"/>
        <v>&gt;3</v>
      </c>
      <c r="AR22" t="str">
        <f t="shared" si="17"/>
        <v>&gt;3</v>
      </c>
    </row>
    <row r="23" spans="1:44" x14ac:dyDescent="0.3">
      <c r="A23" t="s">
        <v>33</v>
      </c>
      <c r="B23" t="s">
        <v>51</v>
      </c>
      <c r="C23" t="s">
        <v>87</v>
      </c>
      <c r="D23">
        <v>3043</v>
      </c>
      <c r="E23">
        <v>23120087</v>
      </c>
      <c r="F23" t="s">
        <v>53</v>
      </c>
      <c r="G23" t="s">
        <v>54</v>
      </c>
      <c r="H23">
        <v>164.11</v>
      </c>
      <c r="I23">
        <v>7412.1719000000003</v>
      </c>
      <c r="J23">
        <v>1216411.53</v>
      </c>
      <c r="K23" s="7" t="str">
        <f>IFERROR(IF(B23&lt;&gt;"", TEXT(VLOOKUP(B23, 'Expected Date'!A:B, 2, FALSE) + DATE(RIGHT(C23,2),MID(C23,4,2),LEFT(C23,2)), "dd/mm/yy"), ""), "")</f>
        <v>01/08/23</v>
      </c>
      <c r="L23" t="s">
        <v>38</v>
      </c>
      <c r="M23" t="s">
        <v>48</v>
      </c>
      <c r="N23" t="s">
        <v>55</v>
      </c>
      <c r="O23" t="s">
        <v>89</v>
      </c>
      <c r="P23">
        <v>23190625</v>
      </c>
      <c r="Q23" t="s">
        <v>53</v>
      </c>
      <c r="R23" t="s">
        <v>54</v>
      </c>
      <c r="S23">
        <v>25.82</v>
      </c>
      <c r="T23">
        <v>7412.1719000000003</v>
      </c>
      <c r="U23">
        <v>191382.28</v>
      </c>
      <c r="V23" t="str">
        <f t="shared" si="11"/>
        <v>Accepted</v>
      </c>
      <c r="W23">
        <f>IFERROR(VLOOKUP(N23, Payment_Terms!A:B, 2, FALSE), "Payment term not found!")</f>
        <v>0</v>
      </c>
      <c r="X23" t="str">
        <f>IFERROR(VLOOKUP(R23, Item_Category!A:B, 2, FALSE), "Uncategorized")</f>
        <v>Coal materials</v>
      </c>
      <c r="Y23" s="5">
        <f t="shared" si="12"/>
        <v>0</v>
      </c>
      <c r="Z23">
        <f t="shared" si="0"/>
        <v>5</v>
      </c>
      <c r="AA23">
        <f t="shared" si="1"/>
        <v>-27</v>
      </c>
      <c r="AB23">
        <f t="shared" si="2"/>
        <v>5</v>
      </c>
      <c r="AC23" s="10">
        <f t="shared" si="3"/>
        <v>7</v>
      </c>
      <c r="AD23" s="5">
        <f t="shared" si="4"/>
        <v>1</v>
      </c>
      <c r="AE23" s="5">
        <f t="shared" si="5"/>
        <v>1</v>
      </c>
      <c r="AF23" s="5">
        <f t="shared" si="6"/>
        <v>0</v>
      </c>
      <c r="AG23">
        <f>IF(B23&lt;&gt;"", COUNTIFS($B$2:B23, B23), "")</f>
        <v>14</v>
      </c>
      <c r="AH23">
        <f t="shared" si="7"/>
        <v>5</v>
      </c>
      <c r="AI23" t="str">
        <f>VLOOKUP(B23, Currency!A:B, 2, FALSE)</f>
        <v>INR</v>
      </c>
      <c r="AJ23">
        <f t="shared" si="8"/>
        <v>5</v>
      </c>
      <c r="AK23">
        <f t="shared" si="13"/>
        <v>7</v>
      </c>
      <c r="AL23" t="str">
        <f t="shared" si="9"/>
        <v>July</v>
      </c>
      <c r="AM23">
        <f t="shared" si="14"/>
        <v>2023</v>
      </c>
      <c r="AN23" t="str">
        <f t="shared" si="10"/>
        <v>0The Singareni Collieries Company Ltd</v>
      </c>
      <c r="AO23">
        <f>IF(COUNTIF($AN$2:AN23, AN23)=1, 1, 0)</f>
        <v>0</v>
      </c>
      <c r="AP23" t="str">
        <f t="shared" si="15"/>
        <v>&gt;3</v>
      </c>
      <c r="AQ23" t="str">
        <f t="shared" si="16"/>
        <v>&gt;3</v>
      </c>
      <c r="AR23" t="str">
        <f t="shared" si="17"/>
        <v>&gt;3</v>
      </c>
    </row>
    <row r="24" spans="1:44" x14ac:dyDescent="0.3">
      <c r="A24" t="s">
        <v>33</v>
      </c>
      <c r="B24" t="s">
        <v>51</v>
      </c>
      <c r="C24" t="s">
        <v>87</v>
      </c>
      <c r="D24">
        <v>3043</v>
      </c>
      <c r="E24">
        <v>23120087</v>
      </c>
      <c r="F24" t="s">
        <v>53</v>
      </c>
      <c r="G24" t="s">
        <v>54</v>
      </c>
      <c r="H24">
        <v>164.11</v>
      </c>
      <c r="I24">
        <v>7412.1719000000003</v>
      </c>
      <c r="J24">
        <v>1216411.53</v>
      </c>
      <c r="K24" s="7" t="str">
        <f>IFERROR(IF(B24&lt;&gt;"", TEXT(VLOOKUP(B24, 'Expected Date'!A:B, 2, FALSE) + DATE(RIGHT(C24,2),MID(C24,4,2),LEFT(C24,2)), "dd/mm/yy"), ""), "")</f>
        <v>01/08/23</v>
      </c>
      <c r="L24" t="s">
        <v>38</v>
      </c>
      <c r="M24" t="s">
        <v>48</v>
      </c>
      <c r="N24" t="s">
        <v>55</v>
      </c>
      <c r="O24" t="s">
        <v>90</v>
      </c>
      <c r="P24">
        <v>23190626</v>
      </c>
      <c r="Q24" t="s">
        <v>53</v>
      </c>
      <c r="R24" t="s">
        <v>54</v>
      </c>
      <c r="S24">
        <v>25.89</v>
      </c>
      <c r="T24">
        <v>7412.1719000000003</v>
      </c>
      <c r="U24">
        <v>191901.13</v>
      </c>
      <c r="V24" t="str">
        <f t="shared" si="11"/>
        <v>Accepted</v>
      </c>
      <c r="W24">
        <f>IFERROR(VLOOKUP(N24, Payment_Terms!A:B, 2, FALSE), "Payment term not found!")</f>
        <v>0</v>
      </c>
      <c r="X24" t="str">
        <f>IFERROR(VLOOKUP(R24, Item_Category!A:B, 2, FALSE), "Uncategorized")</f>
        <v>Coal materials</v>
      </c>
      <c r="Y24" s="5">
        <f t="shared" si="12"/>
        <v>0</v>
      </c>
      <c r="Z24">
        <f t="shared" si="0"/>
        <v>5</v>
      </c>
      <c r="AA24">
        <f t="shared" si="1"/>
        <v>-26</v>
      </c>
      <c r="AB24">
        <f t="shared" si="2"/>
        <v>5</v>
      </c>
      <c r="AC24" s="10">
        <f t="shared" si="3"/>
        <v>6</v>
      </c>
      <c r="AD24" s="5">
        <f t="shared" si="4"/>
        <v>1</v>
      </c>
      <c r="AE24" s="5">
        <f t="shared" si="5"/>
        <v>1</v>
      </c>
      <c r="AF24" s="5">
        <f t="shared" si="6"/>
        <v>0</v>
      </c>
      <c r="AG24">
        <f>IF(B24&lt;&gt;"", COUNTIFS($B$2:B24, B24), "")</f>
        <v>15</v>
      </c>
      <c r="AH24">
        <f t="shared" si="7"/>
        <v>5</v>
      </c>
      <c r="AI24" t="str">
        <f>VLOOKUP(B24, Currency!A:B, 2, FALSE)</f>
        <v>INR</v>
      </c>
      <c r="AJ24">
        <f t="shared" si="8"/>
        <v>5</v>
      </c>
      <c r="AK24">
        <f t="shared" si="13"/>
        <v>7</v>
      </c>
      <c r="AL24" t="str">
        <f t="shared" si="9"/>
        <v>July</v>
      </c>
      <c r="AM24">
        <f t="shared" si="14"/>
        <v>2023</v>
      </c>
      <c r="AN24" t="str">
        <f t="shared" si="10"/>
        <v>0The Singareni Collieries Company Ltd</v>
      </c>
      <c r="AO24">
        <f>IF(COUNTIF($AN$2:AN24, AN24)=1, 1, 0)</f>
        <v>0</v>
      </c>
      <c r="AP24" t="str">
        <f t="shared" si="15"/>
        <v>&gt;3</v>
      </c>
      <c r="AQ24" t="str">
        <f t="shared" si="16"/>
        <v>&gt;3</v>
      </c>
      <c r="AR24" t="str">
        <f t="shared" si="17"/>
        <v>&gt;3</v>
      </c>
    </row>
    <row r="25" spans="1:44" x14ac:dyDescent="0.3">
      <c r="A25" t="s">
        <v>33</v>
      </c>
      <c r="B25" t="s">
        <v>51</v>
      </c>
      <c r="C25" t="s">
        <v>87</v>
      </c>
      <c r="D25">
        <v>3043</v>
      </c>
      <c r="E25">
        <v>23120087</v>
      </c>
      <c r="F25" t="s">
        <v>53</v>
      </c>
      <c r="G25" t="s">
        <v>54</v>
      </c>
      <c r="H25">
        <v>164.11</v>
      </c>
      <c r="I25">
        <v>7412.1719000000003</v>
      </c>
      <c r="J25">
        <v>1216411.53</v>
      </c>
      <c r="K25" s="7" t="str">
        <f>IFERROR(IF(B25&lt;&gt;"", TEXT(VLOOKUP(B25, 'Expected Date'!A:B, 2, FALSE) + DATE(RIGHT(C25,2),MID(C25,4,2),LEFT(C25,2)), "dd/mm/yy"), ""), "")</f>
        <v>01/08/23</v>
      </c>
      <c r="L25" t="s">
        <v>38</v>
      </c>
      <c r="M25" t="s">
        <v>48</v>
      </c>
      <c r="N25" t="s">
        <v>55</v>
      </c>
      <c r="O25" t="s">
        <v>91</v>
      </c>
      <c r="P25">
        <v>23190627</v>
      </c>
      <c r="Q25" t="s">
        <v>53</v>
      </c>
      <c r="R25" t="s">
        <v>54</v>
      </c>
      <c r="S25">
        <v>25.82</v>
      </c>
      <c r="T25">
        <v>7412.1719000000003</v>
      </c>
      <c r="U25">
        <v>191382.28</v>
      </c>
      <c r="V25" t="str">
        <f t="shared" si="11"/>
        <v>Accepted</v>
      </c>
      <c r="W25">
        <f>IFERROR(VLOOKUP(N25, Payment_Terms!A:B, 2, FALSE), "Payment term not found!")</f>
        <v>0</v>
      </c>
      <c r="X25" t="str">
        <f>IFERROR(VLOOKUP(R25, Item_Category!A:B, 2, FALSE), "Uncategorized")</f>
        <v>Coal materials</v>
      </c>
      <c r="Y25" s="5">
        <f t="shared" si="12"/>
        <v>0</v>
      </c>
      <c r="Z25">
        <f t="shared" si="0"/>
        <v>5</v>
      </c>
      <c r="AA25">
        <f t="shared" si="1"/>
        <v>-23</v>
      </c>
      <c r="AB25">
        <f t="shared" si="2"/>
        <v>5</v>
      </c>
      <c r="AC25" s="10">
        <f t="shared" si="3"/>
        <v>3</v>
      </c>
      <c r="AD25" s="5">
        <f t="shared" si="4"/>
        <v>1</v>
      </c>
      <c r="AE25" s="5">
        <f t="shared" si="5"/>
        <v>1</v>
      </c>
      <c r="AF25" s="5">
        <f t="shared" si="6"/>
        <v>0</v>
      </c>
      <c r="AG25">
        <f>IF(B25&lt;&gt;"", COUNTIFS($B$2:B25, B25), "")</f>
        <v>16</v>
      </c>
      <c r="AH25">
        <f t="shared" si="7"/>
        <v>5</v>
      </c>
      <c r="AI25" t="str">
        <f>VLOOKUP(B25, Currency!A:B, 2, FALSE)</f>
        <v>INR</v>
      </c>
      <c r="AJ25">
        <f t="shared" si="8"/>
        <v>5</v>
      </c>
      <c r="AK25">
        <f t="shared" si="13"/>
        <v>7</v>
      </c>
      <c r="AL25" t="str">
        <f t="shared" si="9"/>
        <v>July</v>
      </c>
      <c r="AM25">
        <f t="shared" si="14"/>
        <v>2023</v>
      </c>
      <c r="AN25" t="str">
        <f t="shared" si="10"/>
        <v>0The Singareni Collieries Company Ltd</v>
      </c>
      <c r="AO25">
        <f>IF(COUNTIF($AN$2:AN25, AN25)=1, 1, 0)</f>
        <v>0</v>
      </c>
      <c r="AP25" t="str">
        <f t="shared" si="15"/>
        <v>&gt;3</v>
      </c>
      <c r="AQ25" t="str">
        <f t="shared" si="16"/>
        <v>&gt;3</v>
      </c>
      <c r="AR25" t="str">
        <f t="shared" si="17"/>
        <v>&gt;3</v>
      </c>
    </row>
    <row r="26" spans="1:44" x14ac:dyDescent="0.3">
      <c r="A26" t="s">
        <v>33</v>
      </c>
      <c r="B26" t="s">
        <v>51</v>
      </c>
      <c r="C26" t="s">
        <v>87</v>
      </c>
      <c r="D26">
        <v>3043</v>
      </c>
      <c r="E26">
        <v>23120087</v>
      </c>
      <c r="F26" t="s">
        <v>53</v>
      </c>
      <c r="G26" t="s">
        <v>54</v>
      </c>
      <c r="H26">
        <v>164.11</v>
      </c>
      <c r="I26">
        <v>7412.1719000000003</v>
      </c>
      <c r="J26">
        <v>1216411.53</v>
      </c>
      <c r="K26" s="7" t="str">
        <f>IFERROR(IF(B26&lt;&gt;"", TEXT(VLOOKUP(B26, 'Expected Date'!A:B, 2, FALSE) + DATE(RIGHT(C26,2),MID(C26,4,2),LEFT(C26,2)), "dd/mm/yy"), ""), "")</f>
        <v>01/08/23</v>
      </c>
      <c r="L26" t="s">
        <v>38</v>
      </c>
      <c r="M26" t="s">
        <v>48</v>
      </c>
      <c r="N26" t="s">
        <v>55</v>
      </c>
      <c r="O26" t="s">
        <v>91</v>
      </c>
      <c r="P26">
        <v>23190628</v>
      </c>
      <c r="Q26" t="s">
        <v>53</v>
      </c>
      <c r="R26" t="s">
        <v>54</v>
      </c>
      <c r="S26">
        <v>30.22</v>
      </c>
      <c r="T26">
        <v>7412.1719000000003</v>
      </c>
      <c r="U26">
        <v>223995.83</v>
      </c>
      <c r="V26" t="str">
        <f t="shared" si="11"/>
        <v>Accepted</v>
      </c>
      <c r="W26">
        <f>IFERROR(VLOOKUP(N26, Payment_Terms!A:B, 2, FALSE), "Payment term not found!")</f>
        <v>0</v>
      </c>
      <c r="X26" t="str">
        <f>IFERROR(VLOOKUP(R26, Item_Category!A:B, 2, FALSE), "Uncategorized")</f>
        <v>Coal materials</v>
      </c>
      <c r="Y26" s="5">
        <f t="shared" si="12"/>
        <v>0</v>
      </c>
      <c r="Z26">
        <f t="shared" si="0"/>
        <v>5</v>
      </c>
      <c r="AA26">
        <f t="shared" si="1"/>
        <v>-23</v>
      </c>
      <c r="AB26">
        <f t="shared" si="2"/>
        <v>5</v>
      </c>
      <c r="AC26" s="10">
        <f t="shared" si="3"/>
        <v>3</v>
      </c>
      <c r="AD26" s="5">
        <f t="shared" si="4"/>
        <v>1</v>
      </c>
      <c r="AE26" s="5">
        <f t="shared" si="5"/>
        <v>1</v>
      </c>
      <c r="AF26" s="5">
        <f t="shared" si="6"/>
        <v>0</v>
      </c>
      <c r="AG26">
        <f>IF(B26&lt;&gt;"", COUNTIFS($B$2:B26, B26), "")</f>
        <v>17</v>
      </c>
      <c r="AH26">
        <f t="shared" si="7"/>
        <v>5</v>
      </c>
      <c r="AI26" t="str">
        <f>VLOOKUP(B26, Currency!A:B, 2, FALSE)</f>
        <v>INR</v>
      </c>
      <c r="AJ26">
        <f t="shared" si="8"/>
        <v>5</v>
      </c>
      <c r="AK26">
        <f t="shared" si="13"/>
        <v>7</v>
      </c>
      <c r="AL26" t="str">
        <f t="shared" si="9"/>
        <v>July</v>
      </c>
      <c r="AM26">
        <f t="shared" si="14"/>
        <v>2023</v>
      </c>
      <c r="AN26" t="str">
        <f t="shared" si="10"/>
        <v>0The Singareni Collieries Company Ltd</v>
      </c>
      <c r="AO26">
        <f>IF(COUNTIF($AN$2:AN26, AN26)=1, 1, 0)</f>
        <v>0</v>
      </c>
      <c r="AP26" t="str">
        <f t="shared" si="15"/>
        <v>&gt;3</v>
      </c>
      <c r="AQ26" t="str">
        <f t="shared" si="16"/>
        <v>&gt;3</v>
      </c>
      <c r="AR26" t="str">
        <f t="shared" si="17"/>
        <v>&gt;3</v>
      </c>
    </row>
    <row r="27" spans="1:44" x14ac:dyDescent="0.3">
      <c r="A27" t="s">
        <v>33</v>
      </c>
      <c r="B27" t="s">
        <v>34</v>
      </c>
      <c r="C27" t="s">
        <v>72</v>
      </c>
      <c r="D27">
        <v>2594</v>
      </c>
      <c r="E27">
        <v>23120059</v>
      </c>
      <c r="F27" t="s">
        <v>92</v>
      </c>
      <c r="G27" t="s">
        <v>93</v>
      </c>
      <c r="H27">
        <v>6000</v>
      </c>
      <c r="I27">
        <v>33.75</v>
      </c>
      <c r="J27">
        <v>202500</v>
      </c>
      <c r="K27" s="7" t="str">
        <f>IFERROR(IF(B27&lt;&gt;"", TEXT(VLOOKUP(B27, 'Expected Date'!A:B, 2, FALSE) + DATE(RIGHT(C27,2),MID(C27,4,2),LEFT(C27,2)), "dd/mm/yy"), ""), "")</f>
        <v>03/07/23</v>
      </c>
      <c r="L27" t="s">
        <v>38</v>
      </c>
      <c r="M27" t="s">
        <v>39</v>
      </c>
      <c r="N27" t="s">
        <v>40</v>
      </c>
      <c r="O27" t="s">
        <v>89</v>
      </c>
      <c r="P27">
        <v>23190583</v>
      </c>
      <c r="Q27" t="s">
        <v>92</v>
      </c>
      <c r="R27" t="s">
        <v>93</v>
      </c>
      <c r="S27">
        <v>6030</v>
      </c>
      <c r="T27">
        <v>33.75</v>
      </c>
      <c r="U27">
        <v>203512.5</v>
      </c>
      <c r="V27" t="str">
        <f t="shared" si="11"/>
        <v>Accepted</v>
      </c>
      <c r="W27">
        <f>IFERROR(VLOOKUP(N27, Payment_Terms!A:B, 2, FALSE), "Payment term not found!")</f>
        <v>30</v>
      </c>
      <c r="X27" t="str">
        <f>IFERROR(VLOOKUP(R27, Item_Category!A:B, 2, FALSE), "Uncategorized")</f>
        <v>Bags</v>
      </c>
      <c r="Y27" s="5">
        <f t="shared" si="12"/>
        <v>0</v>
      </c>
      <c r="Z27">
        <f t="shared" si="0"/>
        <v>5</v>
      </c>
      <c r="AA27">
        <f t="shared" si="1"/>
        <v>2</v>
      </c>
      <c r="AB27">
        <f t="shared" si="2"/>
        <v>5</v>
      </c>
      <c r="AC27" s="10">
        <f t="shared" si="3"/>
        <v>12</v>
      </c>
      <c r="AD27" s="5">
        <f t="shared" si="4"/>
        <v>1</v>
      </c>
      <c r="AE27" s="5">
        <f t="shared" si="5"/>
        <v>1</v>
      </c>
      <c r="AF27" s="5">
        <f t="shared" si="6"/>
        <v>0</v>
      </c>
      <c r="AG27">
        <f>IF(B27&lt;&gt;"", COUNTIFS($B$2:B27, B27), "")</f>
        <v>3</v>
      </c>
      <c r="AH27">
        <f t="shared" si="7"/>
        <v>5</v>
      </c>
      <c r="AI27" t="str">
        <f>VLOOKUP(B27, Currency!A:B, 2, FALSE)</f>
        <v>INR</v>
      </c>
      <c r="AJ27">
        <f t="shared" si="8"/>
        <v>5</v>
      </c>
      <c r="AK27">
        <f t="shared" si="13"/>
        <v>6</v>
      </c>
      <c r="AL27" t="str">
        <f t="shared" si="9"/>
        <v>June</v>
      </c>
      <c r="AM27">
        <f t="shared" si="14"/>
        <v>2023</v>
      </c>
      <c r="AN27" t="str">
        <f t="shared" si="10"/>
        <v>30Ami Enterprises</v>
      </c>
      <c r="AO27">
        <f>IF(COUNTIF($AN$2:AN27, AN27)=1, 1, 0)</f>
        <v>0</v>
      </c>
      <c r="AP27" t="str">
        <f t="shared" si="15"/>
        <v>&gt;3</v>
      </c>
      <c r="AQ27" t="str">
        <f t="shared" si="16"/>
        <v>&gt;3</v>
      </c>
      <c r="AR27" t="str">
        <f t="shared" si="17"/>
        <v>&gt;3</v>
      </c>
    </row>
    <row r="28" spans="1:44" x14ac:dyDescent="0.3">
      <c r="A28" t="s">
        <v>33</v>
      </c>
      <c r="B28" t="s">
        <v>51</v>
      </c>
      <c r="C28" t="s">
        <v>52</v>
      </c>
      <c r="D28">
        <v>3768</v>
      </c>
      <c r="E28">
        <v>23120100</v>
      </c>
      <c r="F28" t="s">
        <v>53</v>
      </c>
      <c r="G28" t="s">
        <v>54</v>
      </c>
      <c r="H28">
        <v>435.83</v>
      </c>
      <c r="I28">
        <v>7412.17</v>
      </c>
      <c r="J28">
        <v>3230446.05</v>
      </c>
      <c r="K28" s="7" t="str">
        <f>IFERROR(IF(B28&lt;&gt;"", TEXT(VLOOKUP(B28, 'Expected Date'!A:B, 2, FALSE) + DATE(RIGHT(C28,2),MID(C28,4,2),LEFT(C28,2)), "dd/mm/yy"), ""), "")</f>
        <v>05/09/23</v>
      </c>
      <c r="L28" t="s">
        <v>38</v>
      </c>
      <c r="M28" t="s">
        <v>48</v>
      </c>
      <c r="N28" t="s">
        <v>55</v>
      </c>
      <c r="O28" t="s">
        <v>56</v>
      </c>
      <c r="P28">
        <v>23190862</v>
      </c>
      <c r="Q28" t="s">
        <v>53</v>
      </c>
      <c r="R28" t="s">
        <v>54</v>
      </c>
      <c r="S28">
        <v>30.92</v>
      </c>
      <c r="T28">
        <v>7412.17</v>
      </c>
      <c r="U28">
        <v>229184.3</v>
      </c>
      <c r="V28" t="str">
        <f t="shared" si="11"/>
        <v>Accepted</v>
      </c>
      <c r="W28">
        <f>IFERROR(VLOOKUP(N28, Payment_Terms!A:B, 2, FALSE), "Payment term not found!")</f>
        <v>0</v>
      </c>
      <c r="X28" t="str">
        <f>IFERROR(VLOOKUP(R28, Item_Category!A:B, 2, FALSE), "Uncategorized")</f>
        <v>Coal materials</v>
      </c>
      <c r="Y28" s="5">
        <f t="shared" si="12"/>
        <v>1.3042566794577706E-16</v>
      </c>
      <c r="Z28">
        <f t="shared" si="0"/>
        <v>4</v>
      </c>
      <c r="AA28">
        <f t="shared" si="1"/>
        <v>-32</v>
      </c>
      <c r="AB28">
        <f t="shared" si="2"/>
        <v>5</v>
      </c>
      <c r="AC28" s="10">
        <f t="shared" si="3"/>
        <v>12</v>
      </c>
      <c r="AD28" s="5">
        <f t="shared" si="4"/>
        <v>1</v>
      </c>
      <c r="AE28" s="5">
        <f t="shared" si="5"/>
        <v>1</v>
      </c>
      <c r="AF28" s="5">
        <f t="shared" si="6"/>
        <v>0</v>
      </c>
      <c r="AG28">
        <f>IF(B28&lt;&gt;"", COUNTIFS($B$2:B28, B28), "")</f>
        <v>18</v>
      </c>
      <c r="AH28">
        <f t="shared" si="7"/>
        <v>5</v>
      </c>
      <c r="AI28" t="str">
        <f>VLOOKUP(B28, Currency!A:B, 2, FALSE)</f>
        <v>INR</v>
      </c>
      <c r="AJ28">
        <f t="shared" si="8"/>
        <v>5</v>
      </c>
      <c r="AK28">
        <f t="shared" si="13"/>
        <v>8</v>
      </c>
      <c r="AL28" t="str">
        <f t="shared" si="9"/>
        <v>August</v>
      </c>
      <c r="AM28">
        <f t="shared" si="14"/>
        <v>2023</v>
      </c>
      <c r="AN28" t="str">
        <f t="shared" si="10"/>
        <v>0The Singareni Collieries Company Ltd</v>
      </c>
      <c r="AO28">
        <f>IF(COUNTIF($AN$2:AN28, AN28)=1, 1, 0)</f>
        <v>0</v>
      </c>
      <c r="AP28" t="str">
        <f t="shared" si="15"/>
        <v>&gt;3</v>
      </c>
      <c r="AQ28" t="str">
        <f t="shared" si="16"/>
        <v>&gt;3</v>
      </c>
      <c r="AR28" t="str">
        <f t="shared" si="17"/>
        <v>&gt;3</v>
      </c>
    </row>
    <row r="29" spans="1:44" x14ac:dyDescent="0.3">
      <c r="A29" t="s">
        <v>33</v>
      </c>
      <c r="B29" t="s">
        <v>51</v>
      </c>
      <c r="C29" t="s">
        <v>52</v>
      </c>
      <c r="D29">
        <v>3768</v>
      </c>
      <c r="E29">
        <v>23120100</v>
      </c>
      <c r="F29" t="s">
        <v>53</v>
      </c>
      <c r="G29" t="s">
        <v>54</v>
      </c>
      <c r="H29">
        <v>435.83</v>
      </c>
      <c r="I29">
        <v>7412.17</v>
      </c>
      <c r="J29">
        <v>3230446.05</v>
      </c>
      <c r="K29" s="7" t="str">
        <f>IFERROR(IF(B29&lt;&gt;"", TEXT(VLOOKUP(B29, 'Expected Date'!A:B, 2, FALSE) + DATE(RIGHT(C29,2),MID(C29,4,2),LEFT(C29,2)), "dd/mm/yy"), ""), "")</f>
        <v>05/09/23</v>
      </c>
      <c r="L29" t="s">
        <v>38</v>
      </c>
      <c r="M29" t="s">
        <v>48</v>
      </c>
      <c r="N29" t="s">
        <v>55</v>
      </c>
      <c r="O29" t="s">
        <v>94</v>
      </c>
      <c r="P29">
        <v>23190866</v>
      </c>
      <c r="Q29" t="s">
        <v>53</v>
      </c>
      <c r="R29" t="s">
        <v>54</v>
      </c>
      <c r="S29">
        <v>30.9</v>
      </c>
      <c r="T29">
        <v>7412.17</v>
      </c>
      <c r="U29">
        <v>229036.05</v>
      </c>
      <c r="V29" t="str">
        <f t="shared" si="11"/>
        <v>Accepted</v>
      </c>
      <c r="W29">
        <f>IFERROR(VLOOKUP(N29, Payment_Terms!A:B, 2, FALSE), "Payment term not found!")</f>
        <v>0</v>
      </c>
      <c r="X29" t="str">
        <f>IFERROR(VLOOKUP(R29, Item_Category!A:B, 2, FALSE), "Uncategorized")</f>
        <v>Coal materials</v>
      </c>
      <c r="Y29" s="5">
        <f t="shared" si="12"/>
        <v>1.3042566794577706E-16</v>
      </c>
      <c r="Z29">
        <f t="shared" si="0"/>
        <v>4</v>
      </c>
      <c r="AA29">
        <f t="shared" si="1"/>
        <v>-29</v>
      </c>
      <c r="AB29">
        <f t="shared" si="2"/>
        <v>5</v>
      </c>
      <c r="AC29" s="10">
        <f t="shared" si="3"/>
        <v>9</v>
      </c>
      <c r="AD29" s="5">
        <f t="shared" si="4"/>
        <v>1</v>
      </c>
      <c r="AE29" s="5">
        <f t="shared" si="5"/>
        <v>1</v>
      </c>
      <c r="AF29" s="5">
        <f t="shared" si="6"/>
        <v>0</v>
      </c>
      <c r="AG29">
        <f>IF(B29&lt;&gt;"", COUNTIFS($B$2:B29, B29), "")</f>
        <v>19</v>
      </c>
      <c r="AH29">
        <f t="shared" si="7"/>
        <v>5</v>
      </c>
      <c r="AI29" t="str">
        <f>VLOOKUP(B29, Currency!A:B, 2, FALSE)</f>
        <v>INR</v>
      </c>
      <c r="AJ29">
        <f t="shared" si="8"/>
        <v>5</v>
      </c>
      <c r="AK29">
        <f t="shared" si="13"/>
        <v>8</v>
      </c>
      <c r="AL29" t="str">
        <f t="shared" si="9"/>
        <v>August</v>
      </c>
      <c r="AM29">
        <f t="shared" si="14"/>
        <v>2023</v>
      </c>
      <c r="AN29" t="str">
        <f t="shared" si="10"/>
        <v>0The Singareni Collieries Company Ltd</v>
      </c>
      <c r="AO29">
        <f>IF(COUNTIF($AN$2:AN29, AN29)=1, 1, 0)</f>
        <v>0</v>
      </c>
      <c r="AP29" t="str">
        <f t="shared" si="15"/>
        <v>&gt;3</v>
      </c>
      <c r="AQ29" t="str">
        <f t="shared" si="16"/>
        <v>&gt;3</v>
      </c>
      <c r="AR29" t="str">
        <f t="shared" si="17"/>
        <v>&gt;3</v>
      </c>
    </row>
    <row r="30" spans="1:44" x14ac:dyDescent="0.3">
      <c r="A30" t="s">
        <v>33</v>
      </c>
      <c r="B30" t="s">
        <v>51</v>
      </c>
      <c r="C30" t="s">
        <v>52</v>
      </c>
      <c r="D30">
        <v>3768</v>
      </c>
      <c r="E30">
        <v>23120100</v>
      </c>
      <c r="F30" t="s">
        <v>53</v>
      </c>
      <c r="G30" t="s">
        <v>54</v>
      </c>
      <c r="H30">
        <v>435.83</v>
      </c>
      <c r="I30">
        <v>7412.17</v>
      </c>
      <c r="J30">
        <v>3230446.05</v>
      </c>
      <c r="K30" s="7" t="str">
        <f>IFERROR(IF(B30&lt;&gt;"", TEXT(VLOOKUP(B30, 'Expected Date'!A:B, 2, FALSE) + DATE(RIGHT(C30,2),MID(C30,4,2),LEFT(C30,2)), "dd/mm/yy"), ""), "")</f>
        <v>05/09/23</v>
      </c>
      <c r="L30" t="s">
        <v>38</v>
      </c>
      <c r="M30" t="s">
        <v>48</v>
      </c>
      <c r="N30" t="s">
        <v>55</v>
      </c>
      <c r="O30" t="s">
        <v>94</v>
      </c>
      <c r="P30">
        <v>23190867</v>
      </c>
      <c r="Q30" t="s">
        <v>53</v>
      </c>
      <c r="R30" t="s">
        <v>54</v>
      </c>
      <c r="S30">
        <v>13.45</v>
      </c>
      <c r="T30">
        <v>7412.17</v>
      </c>
      <c r="U30">
        <v>99693.69</v>
      </c>
      <c r="V30" t="str">
        <f t="shared" si="11"/>
        <v>Accepted</v>
      </c>
      <c r="W30">
        <f>IFERROR(VLOOKUP(N30, Payment_Terms!A:B, 2, FALSE), "Payment term not found!")</f>
        <v>0</v>
      </c>
      <c r="X30" t="str">
        <f>IFERROR(VLOOKUP(R30, Item_Category!A:B, 2, FALSE), "Uncategorized")</f>
        <v>Coal materials</v>
      </c>
      <c r="Y30" s="5">
        <f t="shared" si="12"/>
        <v>1.3042566794577706E-16</v>
      </c>
      <c r="Z30">
        <f t="shared" si="0"/>
        <v>4</v>
      </c>
      <c r="AA30">
        <f t="shared" si="1"/>
        <v>-29</v>
      </c>
      <c r="AB30">
        <f t="shared" si="2"/>
        <v>5</v>
      </c>
      <c r="AC30" s="10">
        <f t="shared" si="3"/>
        <v>9</v>
      </c>
      <c r="AD30" s="5">
        <f t="shared" si="4"/>
        <v>1</v>
      </c>
      <c r="AE30" s="5">
        <f t="shared" si="5"/>
        <v>1</v>
      </c>
      <c r="AF30" s="5">
        <f t="shared" si="6"/>
        <v>0</v>
      </c>
      <c r="AG30">
        <f>IF(B30&lt;&gt;"", COUNTIFS($B$2:B30, B30), "")</f>
        <v>20</v>
      </c>
      <c r="AH30">
        <f t="shared" si="7"/>
        <v>5</v>
      </c>
      <c r="AI30" t="str">
        <f>VLOOKUP(B30, Currency!A:B, 2, FALSE)</f>
        <v>INR</v>
      </c>
      <c r="AJ30">
        <f t="shared" si="8"/>
        <v>5</v>
      </c>
      <c r="AK30">
        <f t="shared" si="13"/>
        <v>8</v>
      </c>
      <c r="AL30" t="str">
        <f t="shared" si="9"/>
        <v>August</v>
      </c>
      <c r="AM30">
        <f t="shared" si="14"/>
        <v>2023</v>
      </c>
      <c r="AN30" t="str">
        <f t="shared" si="10"/>
        <v>0The Singareni Collieries Company Ltd</v>
      </c>
      <c r="AO30">
        <f>IF(COUNTIF($AN$2:AN30, AN30)=1, 1, 0)</f>
        <v>0</v>
      </c>
      <c r="AP30" t="str">
        <f t="shared" si="15"/>
        <v>&gt;3</v>
      </c>
      <c r="AQ30" t="str">
        <f t="shared" si="16"/>
        <v>&gt;3</v>
      </c>
      <c r="AR30" t="str">
        <f t="shared" si="17"/>
        <v>&gt;3</v>
      </c>
    </row>
    <row r="31" spans="1:44" x14ac:dyDescent="0.3">
      <c r="A31" t="s">
        <v>95</v>
      </c>
      <c r="B31" t="s">
        <v>96</v>
      </c>
      <c r="C31" t="s">
        <v>97</v>
      </c>
      <c r="D31">
        <v>1231</v>
      </c>
      <c r="E31">
        <v>23120003</v>
      </c>
      <c r="F31" t="s">
        <v>98</v>
      </c>
      <c r="G31" t="s">
        <v>99</v>
      </c>
      <c r="H31">
        <v>75</v>
      </c>
      <c r="I31">
        <v>820</v>
      </c>
      <c r="J31">
        <v>4987650</v>
      </c>
      <c r="K31" s="7" t="str">
        <f>IFERROR(IF(B31&lt;&gt;"", TEXT(VLOOKUP(B31, 'Expected Date'!A:B, 2, FALSE) + DATE(RIGHT(C31,2),MID(C31,4,2),LEFT(C31,2)), "dd/mm/yy"), ""), "")</f>
        <v>10/06/23</v>
      </c>
      <c r="L31" t="s">
        <v>38</v>
      </c>
      <c r="M31" t="s">
        <v>101</v>
      </c>
      <c r="N31" t="s">
        <v>102</v>
      </c>
      <c r="O31" t="s">
        <v>103</v>
      </c>
      <c r="P31">
        <v>23191040</v>
      </c>
      <c r="Q31" t="s">
        <v>98</v>
      </c>
      <c r="R31" t="s">
        <v>99</v>
      </c>
      <c r="S31">
        <v>78.995999999999995</v>
      </c>
      <c r="T31">
        <v>820</v>
      </c>
      <c r="U31">
        <v>5324646.38</v>
      </c>
      <c r="V31" t="str">
        <f t="shared" si="11"/>
        <v>Accepted</v>
      </c>
      <c r="W31">
        <f>IFERROR(VLOOKUP(N31, Payment_Terms!A:B, 2, FALSE), "Payment term not found!")</f>
        <v>60</v>
      </c>
      <c r="X31" t="str">
        <f>IFERROR(VLOOKUP(R31, Item_Category!A:B, 2, FALSE), "Uncategorized")</f>
        <v>Wood pulp</v>
      </c>
      <c r="Y31" s="5">
        <f t="shared" si="12"/>
        <v>0</v>
      </c>
      <c r="Z31">
        <f t="shared" si="0"/>
        <v>5</v>
      </c>
      <c r="AA31">
        <f t="shared" si="1"/>
        <v>88</v>
      </c>
      <c r="AB31">
        <f t="shared" si="2"/>
        <v>1</v>
      </c>
      <c r="AC31" s="10">
        <f t="shared" si="3"/>
        <v>148</v>
      </c>
      <c r="AD31" s="5">
        <f t="shared" si="4"/>
        <v>1</v>
      </c>
      <c r="AE31" s="5">
        <f t="shared" si="5"/>
        <v>1</v>
      </c>
      <c r="AF31" s="5">
        <f t="shared" si="6"/>
        <v>0</v>
      </c>
      <c r="AG31">
        <f>IF(B31&lt;&gt;"", COUNTIFS($B$2:B31, B31), "")</f>
        <v>1</v>
      </c>
      <c r="AH31">
        <f t="shared" si="7"/>
        <v>5</v>
      </c>
      <c r="AI31" t="str">
        <f>VLOOKUP(B31, Currency!A:B, 2, FALSE)</f>
        <v>USD</v>
      </c>
      <c r="AJ31">
        <f t="shared" si="8"/>
        <v>4</v>
      </c>
      <c r="AK31">
        <f t="shared" si="13"/>
        <v>4</v>
      </c>
      <c r="AL31" t="str">
        <f t="shared" si="9"/>
        <v>April</v>
      </c>
      <c r="AM31">
        <f t="shared" si="14"/>
        <v>2023</v>
      </c>
      <c r="AN31" t="str">
        <f t="shared" si="10"/>
        <v>60G P Cellulose GMBH</v>
      </c>
      <c r="AO31">
        <f>IF(COUNTIF($AN$2:AN31, AN31)=1, 1, 0)</f>
        <v>1</v>
      </c>
      <c r="AP31" t="str">
        <f t="shared" si="15"/>
        <v>&gt;3</v>
      </c>
      <c r="AQ31" t="str">
        <f t="shared" si="16"/>
        <v>&gt;3</v>
      </c>
      <c r="AR31" t="str">
        <f t="shared" si="17"/>
        <v>&lt;=3</v>
      </c>
    </row>
    <row r="32" spans="1:44" x14ac:dyDescent="0.3">
      <c r="A32" t="s">
        <v>33</v>
      </c>
      <c r="B32" t="s">
        <v>34</v>
      </c>
      <c r="C32" t="s">
        <v>105</v>
      </c>
      <c r="D32">
        <v>4032</v>
      </c>
      <c r="E32">
        <v>23120110</v>
      </c>
      <c r="F32" t="s">
        <v>92</v>
      </c>
      <c r="G32" t="s">
        <v>93</v>
      </c>
      <c r="H32">
        <v>5000</v>
      </c>
      <c r="I32">
        <v>33.75</v>
      </c>
      <c r="J32">
        <v>168750</v>
      </c>
      <c r="K32" s="7" t="str">
        <f>IFERROR(IF(B32&lt;&gt;"", TEXT(VLOOKUP(B32, 'Expected Date'!A:B, 2, FALSE) + DATE(RIGHT(C32,2),MID(C32,4,2),LEFT(C32,2)), "dd/mm/yy"), ""), "")</f>
        <v>04/09/23</v>
      </c>
      <c r="L32" t="s">
        <v>38</v>
      </c>
      <c r="M32" t="s">
        <v>39</v>
      </c>
      <c r="N32" t="s">
        <v>40</v>
      </c>
      <c r="O32" t="s">
        <v>106</v>
      </c>
      <c r="P32">
        <v>23191045</v>
      </c>
      <c r="Q32" t="s">
        <v>92</v>
      </c>
      <c r="R32" t="s">
        <v>93</v>
      </c>
      <c r="S32">
        <v>5160</v>
      </c>
      <c r="T32">
        <v>33.75</v>
      </c>
      <c r="U32">
        <v>174150</v>
      </c>
      <c r="V32" t="str">
        <f t="shared" si="11"/>
        <v>Accepted</v>
      </c>
      <c r="W32">
        <f>IFERROR(VLOOKUP(N32, Payment_Terms!A:B, 2, FALSE), "Payment term not found!")</f>
        <v>30</v>
      </c>
      <c r="X32" t="str">
        <f>IFERROR(VLOOKUP(R32, Item_Category!A:B, 2, FALSE), "Uncategorized")</f>
        <v>Bags</v>
      </c>
      <c r="Y32" s="5">
        <f t="shared" si="12"/>
        <v>0</v>
      </c>
      <c r="Z32">
        <f t="shared" si="0"/>
        <v>5</v>
      </c>
      <c r="AA32">
        <f t="shared" si="1"/>
        <v>5</v>
      </c>
      <c r="AB32">
        <f t="shared" si="2"/>
        <v>3</v>
      </c>
      <c r="AC32" s="10">
        <f t="shared" si="3"/>
        <v>15</v>
      </c>
      <c r="AD32" s="5">
        <f t="shared" si="4"/>
        <v>1</v>
      </c>
      <c r="AE32" s="5">
        <f t="shared" si="5"/>
        <v>1</v>
      </c>
      <c r="AF32" s="5">
        <f t="shared" si="6"/>
        <v>0</v>
      </c>
      <c r="AG32">
        <f>IF(B32&lt;&gt;"", COUNTIFS($B$2:B32, B32), "")</f>
        <v>4</v>
      </c>
      <c r="AH32">
        <f t="shared" si="7"/>
        <v>5</v>
      </c>
      <c r="AI32" t="str">
        <f>VLOOKUP(B32, Currency!A:B, 2, FALSE)</f>
        <v>INR</v>
      </c>
      <c r="AJ32">
        <f t="shared" si="8"/>
        <v>5</v>
      </c>
      <c r="AK32">
        <f t="shared" si="13"/>
        <v>8</v>
      </c>
      <c r="AL32" t="str">
        <f t="shared" si="9"/>
        <v>August</v>
      </c>
      <c r="AM32">
        <f t="shared" si="14"/>
        <v>2023</v>
      </c>
      <c r="AN32" t="str">
        <f t="shared" si="10"/>
        <v>30Ami Enterprises</v>
      </c>
      <c r="AO32">
        <f>IF(COUNTIF($AN$2:AN32, AN32)=1, 1, 0)</f>
        <v>0</v>
      </c>
      <c r="AP32" t="str">
        <f t="shared" si="15"/>
        <v>&gt;3</v>
      </c>
      <c r="AQ32" t="str">
        <f t="shared" si="16"/>
        <v>&gt;3</v>
      </c>
      <c r="AR32" t="str">
        <f t="shared" si="17"/>
        <v>&lt;=3</v>
      </c>
    </row>
    <row r="33" spans="1:44" x14ac:dyDescent="0.3">
      <c r="A33" t="s">
        <v>33</v>
      </c>
      <c r="B33" t="s">
        <v>107</v>
      </c>
      <c r="C33" t="s">
        <v>108</v>
      </c>
      <c r="D33">
        <v>1804</v>
      </c>
      <c r="E33">
        <v>23120020</v>
      </c>
      <c r="F33" t="s">
        <v>92</v>
      </c>
      <c r="G33" t="s">
        <v>93</v>
      </c>
      <c r="H33">
        <v>12000</v>
      </c>
      <c r="I33">
        <v>33.799999999999997</v>
      </c>
      <c r="J33">
        <v>405600</v>
      </c>
      <c r="K33" s="7" t="str">
        <f>IFERROR(IF(B33&lt;&gt;"", TEXT(VLOOKUP(B33, 'Expected Date'!A:B, 2, FALSE) + DATE(RIGHT(C33,2),MID(C33,4,2),LEFT(C33,2)), "dd/mm/yy"), ""), "")</f>
        <v>20/05/23</v>
      </c>
      <c r="L33" t="s">
        <v>68</v>
      </c>
      <c r="M33" t="s">
        <v>39</v>
      </c>
      <c r="N33" t="s">
        <v>109</v>
      </c>
      <c r="O33" t="s">
        <v>110</v>
      </c>
      <c r="P33">
        <v>23190377</v>
      </c>
      <c r="Q33" t="s">
        <v>92</v>
      </c>
      <c r="R33" t="s">
        <v>93</v>
      </c>
      <c r="S33">
        <v>5677</v>
      </c>
      <c r="T33">
        <v>33.799999999999997</v>
      </c>
      <c r="U33">
        <v>191882.6</v>
      </c>
      <c r="V33" t="str">
        <f t="shared" si="11"/>
        <v>Accepted</v>
      </c>
      <c r="W33">
        <f>IFERROR(VLOOKUP(N33, Payment_Terms!A:B, 2, FALSE), "Payment term not found!")</f>
        <v>0</v>
      </c>
      <c r="X33" t="str">
        <f>IFERROR(VLOOKUP(R33, Item_Category!A:B, 2, FALSE), "Uncategorized")</f>
        <v>Bags</v>
      </c>
      <c r="Y33" s="5">
        <f t="shared" si="12"/>
        <v>0.10591666666666667</v>
      </c>
      <c r="Z33">
        <f t="shared" si="0"/>
        <v>1</v>
      </c>
      <c r="AA33">
        <f t="shared" si="1"/>
        <v>11</v>
      </c>
      <c r="AB33">
        <f t="shared" si="2"/>
        <v>1</v>
      </c>
      <c r="AC33" s="10">
        <f t="shared" si="3"/>
        <v>21</v>
      </c>
      <c r="AD33" s="5">
        <f t="shared" si="4"/>
        <v>1</v>
      </c>
      <c r="AE33" s="5">
        <f t="shared" si="5"/>
        <v>1</v>
      </c>
      <c r="AF33" s="5">
        <f t="shared" si="6"/>
        <v>0</v>
      </c>
      <c r="AG33">
        <f>IF(B33&lt;&gt;"", COUNTIFS($B$2:B33, B33), "")</f>
        <v>1</v>
      </c>
      <c r="AH33">
        <f t="shared" si="7"/>
        <v>5</v>
      </c>
      <c r="AI33" t="str">
        <f>VLOOKUP(B33, Currency!A:B, 2, FALSE)</f>
        <v>INR</v>
      </c>
      <c r="AJ33">
        <f t="shared" si="8"/>
        <v>3</v>
      </c>
      <c r="AK33">
        <f t="shared" si="13"/>
        <v>5</v>
      </c>
      <c r="AL33" t="str">
        <f t="shared" si="9"/>
        <v>May</v>
      </c>
      <c r="AM33">
        <f t="shared" si="14"/>
        <v>2023</v>
      </c>
      <c r="AN33" t="str">
        <f t="shared" si="10"/>
        <v>0KAPILA INDUSTRIES</v>
      </c>
      <c r="AO33">
        <f>IF(COUNTIF($AN$2:AN33, AN33)=1, 1, 0)</f>
        <v>1</v>
      </c>
      <c r="AP33" t="str">
        <f t="shared" si="15"/>
        <v>&gt;3</v>
      </c>
      <c r="AQ33" t="str">
        <f t="shared" si="16"/>
        <v>&lt;=3</v>
      </c>
      <c r="AR33" t="str">
        <f t="shared" si="17"/>
        <v>&lt;=3</v>
      </c>
    </row>
    <row r="34" spans="1:44" x14ac:dyDescent="0.3">
      <c r="A34" t="s">
        <v>111</v>
      </c>
      <c r="B34" t="s">
        <v>112</v>
      </c>
      <c r="C34" t="s">
        <v>88</v>
      </c>
      <c r="D34">
        <v>2818</v>
      </c>
      <c r="E34">
        <v>23120079</v>
      </c>
      <c r="F34" t="s">
        <v>113</v>
      </c>
      <c r="G34" t="s">
        <v>114</v>
      </c>
      <c r="H34">
        <v>3000</v>
      </c>
      <c r="I34">
        <v>25</v>
      </c>
      <c r="J34">
        <v>75000</v>
      </c>
      <c r="K34" s="7" t="str">
        <f>IFERROR(IF(B34&lt;&gt;"", TEXT(VLOOKUP(B34, 'Expected Date'!A:B, 2, FALSE) + DATE(RIGHT(C34,2),MID(C34,4,2),LEFT(C34,2)), "dd/mm/yy"), ""), "")</f>
        <v>19/07/23</v>
      </c>
      <c r="L34" t="s">
        <v>38</v>
      </c>
      <c r="M34" t="s">
        <v>48</v>
      </c>
      <c r="N34" t="s">
        <v>115</v>
      </c>
      <c r="O34" t="s">
        <v>116</v>
      </c>
      <c r="P34">
        <v>23190715</v>
      </c>
      <c r="Q34" t="s">
        <v>113</v>
      </c>
      <c r="R34" t="s">
        <v>114</v>
      </c>
      <c r="S34">
        <v>3000</v>
      </c>
      <c r="T34">
        <v>25</v>
      </c>
      <c r="U34">
        <v>75000</v>
      </c>
      <c r="V34" t="str">
        <f t="shared" si="11"/>
        <v>Accepted</v>
      </c>
      <c r="W34">
        <f>IFERROR(VLOOKUP(N34, Payment_Terms!A:B, 2, FALSE), "Payment term not found!")</f>
        <v>30</v>
      </c>
      <c r="X34" t="str">
        <f>IFERROR(VLOOKUP(R34, Item_Category!A:B, 2, FALSE), "Uncategorized")</f>
        <v>Talc</v>
      </c>
      <c r="Y34" s="5">
        <f t="shared" si="12"/>
        <v>0</v>
      </c>
      <c r="Z34">
        <f t="shared" si="0"/>
        <v>5</v>
      </c>
      <c r="AA34">
        <f t="shared" si="1"/>
        <v>-1</v>
      </c>
      <c r="AB34">
        <f t="shared" si="2"/>
        <v>5</v>
      </c>
      <c r="AC34" s="10">
        <f t="shared" si="3"/>
        <v>14</v>
      </c>
      <c r="AD34" s="5">
        <f t="shared" si="4"/>
        <v>1</v>
      </c>
      <c r="AE34" s="5">
        <f t="shared" si="5"/>
        <v>1</v>
      </c>
      <c r="AF34" s="5">
        <f t="shared" si="6"/>
        <v>0</v>
      </c>
      <c r="AG34">
        <f>IF(B34&lt;&gt;"", COUNTIFS($B$2:B34, B34), "")</f>
        <v>1</v>
      </c>
      <c r="AH34">
        <f t="shared" si="7"/>
        <v>5</v>
      </c>
      <c r="AI34" t="str">
        <f>VLOOKUP(B34, Currency!A:B, 2, FALSE)</f>
        <v>INR</v>
      </c>
      <c r="AJ34">
        <f t="shared" si="8"/>
        <v>5</v>
      </c>
      <c r="AK34">
        <f t="shared" si="13"/>
        <v>7</v>
      </c>
      <c r="AL34" t="str">
        <f t="shared" si="9"/>
        <v>July</v>
      </c>
      <c r="AM34">
        <f t="shared" si="14"/>
        <v>2023</v>
      </c>
      <c r="AN34" t="str">
        <f t="shared" si="10"/>
        <v>30NEELKANTH FINECHEM LLP</v>
      </c>
      <c r="AO34">
        <f>IF(COUNTIF($AN$2:AN34, AN34)=1, 1, 0)</f>
        <v>1</v>
      </c>
      <c r="AP34" t="str">
        <f t="shared" si="15"/>
        <v>&gt;3</v>
      </c>
      <c r="AQ34" t="str">
        <f t="shared" si="16"/>
        <v>&gt;3</v>
      </c>
      <c r="AR34" t="str">
        <f t="shared" si="17"/>
        <v>&gt;3</v>
      </c>
    </row>
    <row r="35" spans="1:44" x14ac:dyDescent="0.3">
      <c r="A35" t="s">
        <v>33</v>
      </c>
      <c r="B35" t="s">
        <v>107</v>
      </c>
      <c r="C35" t="s">
        <v>117</v>
      </c>
      <c r="D35">
        <v>2899</v>
      </c>
      <c r="E35">
        <v>23120083</v>
      </c>
      <c r="F35" t="s">
        <v>118</v>
      </c>
      <c r="G35" t="s">
        <v>119</v>
      </c>
      <c r="H35">
        <v>6000</v>
      </c>
      <c r="I35">
        <v>33.25</v>
      </c>
      <c r="J35">
        <v>199500</v>
      </c>
      <c r="K35" s="7" t="str">
        <f>IFERROR(IF(B35&lt;&gt;"", TEXT(VLOOKUP(B35, 'Expected Date'!A:B, 2, FALSE) + DATE(RIGHT(C35,2),MID(C35,4,2),LEFT(C35,2)), "dd/mm/yy"), ""), "")</f>
        <v>17/07/23</v>
      </c>
      <c r="L35" t="s">
        <v>38</v>
      </c>
      <c r="M35" t="s">
        <v>39</v>
      </c>
      <c r="N35" t="s">
        <v>109</v>
      </c>
      <c r="O35" t="s">
        <v>52</v>
      </c>
      <c r="P35">
        <v>23190856</v>
      </c>
      <c r="Q35" t="s">
        <v>118</v>
      </c>
      <c r="R35" t="s">
        <v>119</v>
      </c>
      <c r="S35">
        <v>4028</v>
      </c>
      <c r="T35">
        <v>33.25</v>
      </c>
      <c r="U35">
        <v>133931</v>
      </c>
      <c r="V35" t="str">
        <f t="shared" si="11"/>
        <v>Accepted</v>
      </c>
      <c r="W35">
        <f>IFERROR(VLOOKUP(N35, Payment_Terms!A:B, 2, FALSE), "Payment term not found!")</f>
        <v>0</v>
      </c>
      <c r="X35" t="str">
        <f>IFERROR(VLOOKUP(R35, Item_Category!A:B, 2, FALSE), "Uncategorized")</f>
        <v>Bags</v>
      </c>
      <c r="Y35" s="5">
        <f t="shared" si="12"/>
        <v>0</v>
      </c>
      <c r="Z35">
        <f t="shared" si="0"/>
        <v>5</v>
      </c>
      <c r="AA35">
        <f t="shared" si="1"/>
        <v>30</v>
      </c>
      <c r="AB35">
        <f t="shared" si="2"/>
        <v>1</v>
      </c>
      <c r="AC35" s="10">
        <f t="shared" si="3"/>
        <v>40</v>
      </c>
      <c r="AD35" s="5">
        <f t="shared" si="4"/>
        <v>1</v>
      </c>
      <c r="AE35" s="5">
        <f t="shared" si="5"/>
        <v>1</v>
      </c>
      <c r="AF35" s="5">
        <f t="shared" si="6"/>
        <v>0</v>
      </c>
      <c r="AG35">
        <f>IF(B35&lt;&gt;"", COUNTIFS($B$2:B35, B35), "")</f>
        <v>2</v>
      </c>
      <c r="AH35">
        <f t="shared" si="7"/>
        <v>5</v>
      </c>
      <c r="AI35" t="str">
        <f>VLOOKUP(B35, Currency!A:B, 2, FALSE)</f>
        <v>INR</v>
      </c>
      <c r="AJ35">
        <f t="shared" si="8"/>
        <v>4</v>
      </c>
      <c r="AK35">
        <f t="shared" si="13"/>
        <v>7</v>
      </c>
      <c r="AL35" t="str">
        <f t="shared" si="9"/>
        <v>July</v>
      </c>
      <c r="AM35">
        <f t="shared" si="14"/>
        <v>2023</v>
      </c>
      <c r="AN35" t="str">
        <f t="shared" si="10"/>
        <v>0KAPILA INDUSTRIES</v>
      </c>
      <c r="AO35">
        <f>IF(COUNTIF($AN$2:AN35, AN35)=1, 1, 0)</f>
        <v>0</v>
      </c>
      <c r="AP35" t="str">
        <f t="shared" si="15"/>
        <v>&gt;3</v>
      </c>
      <c r="AQ35" t="str">
        <f t="shared" si="16"/>
        <v>&gt;3</v>
      </c>
      <c r="AR35" t="str">
        <f t="shared" si="17"/>
        <v>&lt;=3</v>
      </c>
    </row>
    <row r="36" spans="1:44" x14ac:dyDescent="0.3">
      <c r="A36" t="s">
        <v>33</v>
      </c>
      <c r="B36" t="s">
        <v>51</v>
      </c>
      <c r="C36" t="s">
        <v>52</v>
      </c>
      <c r="D36">
        <v>3768</v>
      </c>
      <c r="E36">
        <v>23120100</v>
      </c>
      <c r="F36" t="s">
        <v>61</v>
      </c>
      <c r="G36" t="s">
        <v>62</v>
      </c>
      <c r="H36">
        <v>142</v>
      </c>
      <c r="I36">
        <v>6288.5</v>
      </c>
      <c r="J36">
        <v>892967</v>
      </c>
      <c r="K36" s="7" t="str">
        <f>IFERROR(IF(B36&lt;&gt;"", TEXT(VLOOKUP(B36, 'Expected Date'!A:B, 2, FALSE) + DATE(RIGHT(C36,2),MID(C36,4,2),LEFT(C36,2)), "dd/mm/yy"), ""), "")</f>
        <v>05/09/23</v>
      </c>
      <c r="L36" t="s">
        <v>38</v>
      </c>
      <c r="M36" t="s">
        <v>48</v>
      </c>
      <c r="N36" t="s">
        <v>55</v>
      </c>
      <c r="O36" t="s">
        <v>121</v>
      </c>
      <c r="P36">
        <v>23190870</v>
      </c>
      <c r="Q36" t="s">
        <v>61</v>
      </c>
      <c r="R36" t="s">
        <v>62</v>
      </c>
      <c r="S36">
        <v>20</v>
      </c>
      <c r="T36">
        <v>6288.5</v>
      </c>
      <c r="U36">
        <v>125770</v>
      </c>
      <c r="V36" t="str">
        <f t="shared" si="11"/>
        <v>Accepted</v>
      </c>
      <c r="W36">
        <f>IFERROR(VLOOKUP(N36, Payment_Terms!A:B, 2, FALSE), "Payment term not found!")</f>
        <v>0</v>
      </c>
      <c r="X36" t="str">
        <f>IFERROR(VLOOKUP(R36, Item_Category!A:B, 2, FALSE), "Uncategorized")</f>
        <v>Coal materials</v>
      </c>
      <c r="Y36" s="5">
        <f t="shared" si="12"/>
        <v>0</v>
      </c>
      <c r="Z36">
        <f t="shared" si="0"/>
        <v>5</v>
      </c>
      <c r="AA36">
        <f t="shared" si="1"/>
        <v>-26</v>
      </c>
      <c r="AB36">
        <f t="shared" si="2"/>
        <v>5</v>
      </c>
      <c r="AC36" s="10">
        <f t="shared" si="3"/>
        <v>6</v>
      </c>
      <c r="AD36" s="5">
        <f t="shared" si="4"/>
        <v>1</v>
      </c>
      <c r="AE36" s="5">
        <f t="shared" si="5"/>
        <v>1</v>
      </c>
      <c r="AF36" s="5">
        <f t="shared" si="6"/>
        <v>0</v>
      </c>
      <c r="AG36">
        <f>IF(B36&lt;&gt;"", COUNTIFS($B$2:B36, B36), "")</f>
        <v>21</v>
      </c>
      <c r="AH36">
        <f t="shared" si="7"/>
        <v>5</v>
      </c>
      <c r="AI36" t="str">
        <f>VLOOKUP(B36, Currency!A:B, 2, FALSE)</f>
        <v>INR</v>
      </c>
      <c r="AJ36">
        <f t="shared" si="8"/>
        <v>5</v>
      </c>
      <c r="AK36">
        <f t="shared" si="13"/>
        <v>8</v>
      </c>
      <c r="AL36" t="str">
        <f t="shared" si="9"/>
        <v>August</v>
      </c>
      <c r="AM36">
        <f t="shared" si="14"/>
        <v>2023</v>
      </c>
      <c r="AN36" t="str">
        <f t="shared" si="10"/>
        <v>0The Singareni Collieries Company Ltd</v>
      </c>
      <c r="AO36">
        <f>IF(COUNTIF($AN$2:AN36, AN36)=1, 1, 0)</f>
        <v>0</v>
      </c>
      <c r="AP36" t="str">
        <f t="shared" si="15"/>
        <v>&gt;3</v>
      </c>
      <c r="AQ36" t="str">
        <f t="shared" si="16"/>
        <v>&gt;3</v>
      </c>
      <c r="AR36" t="str">
        <f t="shared" si="17"/>
        <v>&gt;3</v>
      </c>
    </row>
    <row r="37" spans="1:44" x14ac:dyDescent="0.3">
      <c r="A37" t="s">
        <v>33</v>
      </c>
      <c r="B37" t="s">
        <v>51</v>
      </c>
      <c r="C37" t="s">
        <v>52</v>
      </c>
      <c r="D37">
        <v>3768</v>
      </c>
      <c r="E37">
        <v>23120100</v>
      </c>
      <c r="F37" t="s">
        <v>61</v>
      </c>
      <c r="G37" t="s">
        <v>62</v>
      </c>
      <c r="H37">
        <v>142</v>
      </c>
      <c r="I37">
        <v>6288.5</v>
      </c>
      <c r="J37">
        <v>892967</v>
      </c>
      <c r="K37" s="7" t="str">
        <f>IFERROR(IF(B37&lt;&gt;"", TEXT(VLOOKUP(B37, 'Expected Date'!A:B, 2, FALSE) + DATE(RIGHT(C37,2),MID(C37,4,2),LEFT(C37,2)), "dd/mm/yy"), ""), "")</f>
        <v>05/09/23</v>
      </c>
      <c r="L37" t="s">
        <v>38</v>
      </c>
      <c r="M37" t="s">
        <v>48</v>
      </c>
      <c r="N37" t="s">
        <v>55</v>
      </c>
      <c r="O37" t="s">
        <v>74</v>
      </c>
      <c r="P37">
        <v>23190873</v>
      </c>
      <c r="Q37" t="s">
        <v>61</v>
      </c>
      <c r="R37" t="s">
        <v>62</v>
      </c>
      <c r="S37">
        <v>21</v>
      </c>
      <c r="T37">
        <v>6288.5</v>
      </c>
      <c r="U37">
        <v>132058.5</v>
      </c>
      <c r="V37" t="str">
        <f t="shared" si="11"/>
        <v>Accepted</v>
      </c>
      <c r="W37">
        <f>IFERROR(VLOOKUP(N37, Payment_Terms!A:B, 2, FALSE), "Payment term not found!")</f>
        <v>0</v>
      </c>
      <c r="X37" t="str">
        <f>IFERROR(VLOOKUP(R37, Item_Category!A:B, 2, FALSE), "Uncategorized")</f>
        <v>Coal materials</v>
      </c>
      <c r="Y37" s="5">
        <f t="shared" si="12"/>
        <v>0</v>
      </c>
      <c r="Z37">
        <f t="shared" si="0"/>
        <v>5</v>
      </c>
      <c r="AA37">
        <f t="shared" si="1"/>
        <v>-25</v>
      </c>
      <c r="AB37">
        <f t="shared" si="2"/>
        <v>5</v>
      </c>
      <c r="AC37" s="10">
        <f t="shared" si="3"/>
        <v>5</v>
      </c>
      <c r="AD37" s="5">
        <f t="shared" si="4"/>
        <v>1</v>
      </c>
      <c r="AE37" s="5">
        <f t="shared" si="5"/>
        <v>1</v>
      </c>
      <c r="AF37" s="5">
        <f t="shared" si="6"/>
        <v>0</v>
      </c>
      <c r="AG37">
        <f>IF(B37&lt;&gt;"", COUNTIFS($B$2:B37, B37), "")</f>
        <v>22</v>
      </c>
      <c r="AH37">
        <f t="shared" si="7"/>
        <v>5</v>
      </c>
      <c r="AI37" t="str">
        <f>VLOOKUP(B37, Currency!A:B, 2, FALSE)</f>
        <v>INR</v>
      </c>
      <c r="AJ37">
        <f t="shared" si="8"/>
        <v>5</v>
      </c>
      <c r="AK37">
        <f t="shared" si="13"/>
        <v>8</v>
      </c>
      <c r="AL37" t="str">
        <f t="shared" si="9"/>
        <v>August</v>
      </c>
      <c r="AM37">
        <f t="shared" si="14"/>
        <v>2023</v>
      </c>
      <c r="AN37" t="str">
        <f t="shared" si="10"/>
        <v>0The Singareni Collieries Company Ltd</v>
      </c>
      <c r="AO37">
        <f>IF(COUNTIF($AN$2:AN37, AN37)=1, 1, 0)</f>
        <v>0</v>
      </c>
      <c r="AP37" t="str">
        <f t="shared" si="15"/>
        <v>&gt;3</v>
      </c>
      <c r="AQ37" t="str">
        <f t="shared" si="16"/>
        <v>&gt;3</v>
      </c>
      <c r="AR37" t="str">
        <f t="shared" si="17"/>
        <v>&gt;3</v>
      </c>
    </row>
    <row r="38" spans="1:44" x14ac:dyDescent="0.3">
      <c r="A38" t="s">
        <v>33</v>
      </c>
      <c r="B38" t="s">
        <v>122</v>
      </c>
      <c r="C38" t="s">
        <v>65</v>
      </c>
      <c r="D38">
        <v>1393</v>
      </c>
      <c r="E38">
        <v>23120007</v>
      </c>
      <c r="F38" t="s">
        <v>75</v>
      </c>
      <c r="G38" t="s">
        <v>76</v>
      </c>
      <c r="H38">
        <v>444</v>
      </c>
      <c r="I38">
        <v>1011.19</v>
      </c>
      <c r="J38">
        <v>448968.36</v>
      </c>
      <c r="K38" s="7" t="str">
        <f>IFERROR(IF(B38&lt;&gt;"", TEXT(VLOOKUP(B38, 'Expected Date'!A:B, 2, FALSE) + DATE(RIGHT(C38,2),MID(C38,4,2),LEFT(C38,2)), "dd/mm/yy"), ""), "")</f>
        <v>04/05/23</v>
      </c>
      <c r="L38" t="s">
        <v>38</v>
      </c>
      <c r="M38" t="s">
        <v>39</v>
      </c>
      <c r="N38" t="s">
        <v>123</v>
      </c>
      <c r="O38" t="s">
        <v>124</v>
      </c>
      <c r="P38">
        <v>23190104</v>
      </c>
      <c r="Q38" t="s">
        <v>75</v>
      </c>
      <c r="R38" t="s">
        <v>76</v>
      </c>
      <c r="S38">
        <v>444</v>
      </c>
      <c r="T38">
        <v>1011.19</v>
      </c>
      <c r="U38">
        <v>448968.36</v>
      </c>
      <c r="V38" t="str">
        <f t="shared" si="11"/>
        <v>Accepted</v>
      </c>
      <c r="W38">
        <f>IFERROR(VLOOKUP(N38, Payment_Terms!A:B, 2, FALSE), "Payment term not found!")</f>
        <v>0</v>
      </c>
      <c r="X38" t="str">
        <f>IFERROR(VLOOKUP(R38, Item_Category!A:B, 2, FALSE), "Uncategorized")</f>
        <v>Pallets</v>
      </c>
      <c r="Y38" s="5">
        <f t="shared" si="12"/>
        <v>0</v>
      </c>
      <c r="Z38">
        <f t="shared" si="0"/>
        <v>5</v>
      </c>
      <c r="AA38">
        <f t="shared" si="1"/>
        <v>-16</v>
      </c>
      <c r="AB38">
        <f t="shared" si="2"/>
        <v>5</v>
      </c>
      <c r="AC38" s="10">
        <f t="shared" si="3"/>
        <v>1</v>
      </c>
      <c r="AD38" s="5">
        <f t="shared" si="4"/>
        <v>1</v>
      </c>
      <c r="AE38" s="5">
        <f t="shared" si="5"/>
        <v>1</v>
      </c>
      <c r="AF38" s="5">
        <f t="shared" si="6"/>
        <v>0</v>
      </c>
      <c r="AG38">
        <f>IF(B38&lt;&gt;"", COUNTIFS($B$2:B38, B38), "")</f>
        <v>1</v>
      </c>
      <c r="AH38">
        <f t="shared" si="7"/>
        <v>5</v>
      </c>
      <c r="AI38" t="str">
        <f>VLOOKUP(B38, Currency!A:B, 2, FALSE)</f>
        <v>INR</v>
      </c>
      <c r="AJ38">
        <f t="shared" si="8"/>
        <v>5</v>
      </c>
      <c r="AK38">
        <f t="shared" si="13"/>
        <v>4</v>
      </c>
      <c r="AL38" t="str">
        <f t="shared" si="9"/>
        <v>April</v>
      </c>
      <c r="AM38">
        <f t="shared" si="14"/>
        <v>2023</v>
      </c>
      <c r="AN38" t="str">
        <f t="shared" si="10"/>
        <v>0Plastocon Industries Pvt Ltd</v>
      </c>
      <c r="AO38">
        <f>IF(COUNTIF($AN$2:AN38, AN38)=1, 1, 0)</f>
        <v>1</v>
      </c>
      <c r="AP38" t="str">
        <f t="shared" si="15"/>
        <v>&gt;3</v>
      </c>
      <c r="AQ38" t="str">
        <f t="shared" si="16"/>
        <v>&gt;3</v>
      </c>
      <c r="AR38" t="str">
        <f t="shared" si="17"/>
        <v>&gt;3</v>
      </c>
    </row>
    <row r="39" spans="1:44" x14ac:dyDescent="0.3">
      <c r="A39" t="s">
        <v>33</v>
      </c>
      <c r="B39" t="s">
        <v>64</v>
      </c>
      <c r="C39" t="s">
        <v>65</v>
      </c>
      <c r="D39">
        <v>1352</v>
      </c>
      <c r="E39">
        <v>23120006</v>
      </c>
      <c r="F39" t="s">
        <v>125</v>
      </c>
      <c r="G39" t="s">
        <v>126</v>
      </c>
      <c r="H39">
        <v>4000</v>
      </c>
      <c r="I39">
        <v>22.5</v>
      </c>
      <c r="J39">
        <v>90000</v>
      </c>
      <c r="K39" s="7" t="str">
        <f>IFERROR(IF(B39&lt;&gt;"", TEXT(VLOOKUP(B39, 'Expected Date'!A:B, 2, FALSE) + DATE(RIGHT(C39,2),MID(C39,4,2),LEFT(C39,2)), "dd/mm/yy"), ""), "")</f>
        <v>29/04/23</v>
      </c>
      <c r="L39" t="s">
        <v>68</v>
      </c>
      <c r="M39" t="s">
        <v>39</v>
      </c>
      <c r="N39" t="s">
        <v>69</v>
      </c>
      <c r="O39" t="s">
        <v>70</v>
      </c>
      <c r="P39">
        <v>23190106</v>
      </c>
      <c r="Q39" t="s">
        <v>125</v>
      </c>
      <c r="R39" t="s">
        <v>126</v>
      </c>
      <c r="S39">
        <v>3200</v>
      </c>
      <c r="T39">
        <v>22.5</v>
      </c>
      <c r="U39">
        <v>72000</v>
      </c>
      <c r="V39" t="str">
        <f t="shared" si="11"/>
        <v>Accepted</v>
      </c>
      <c r="W39">
        <f>IFERROR(VLOOKUP(N39, Payment_Terms!A:B, 2, FALSE), "Payment term not found!")</f>
        <v>30</v>
      </c>
      <c r="X39" t="str">
        <f>IFERROR(VLOOKUP(R39, Item_Category!A:B, 2, FALSE), "Uncategorized")</f>
        <v>Bags</v>
      </c>
      <c r="Y39" s="5">
        <f t="shared" si="12"/>
        <v>0.2</v>
      </c>
      <c r="Z39">
        <f t="shared" si="0"/>
        <v>1</v>
      </c>
      <c r="AA39">
        <f t="shared" si="1"/>
        <v>-5</v>
      </c>
      <c r="AB39">
        <f t="shared" si="2"/>
        <v>5</v>
      </c>
      <c r="AC39" s="10">
        <f t="shared" si="3"/>
        <v>5</v>
      </c>
      <c r="AD39" s="5">
        <f t="shared" si="4"/>
        <v>1</v>
      </c>
      <c r="AE39" s="5">
        <f t="shared" si="5"/>
        <v>1</v>
      </c>
      <c r="AF39" s="5">
        <f t="shared" si="6"/>
        <v>0</v>
      </c>
      <c r="AG39">
        <f>IF(B39&lt;&gt;"", COUNTIFS($B$2:B39, B39), "")</f>
        <v>3</v>
      </c>
      <c r="AH39">
        <f t="shared" si="7"/>
        <v>5</v>
      </c>
      <c r="AI39" t="str">
        <f>VLOOKUP(B39, Currency!A:B, 2, FALSE)</f>
        <v>INR</v>
      </c>
      <c r="AJ39">
        <f t="shared" si="8"/>
        <v>4</v>
      </c>
      <c r="AK39">
        <f t="shared" si="13"/>
        <v>4</v>
      </c>
      <c r="AL39" t="str">
        <f t="shared" si="9"/>
        <v>April</v>
      </c>
      <c r="AM39">
        <f t="shared" si="14"/>
        <v>2023</v>
      </c>
      <c r="AN39" t="str">
        <f t="shared" si="10"/>
        <v>30Epic Polymers</v>
      </c>
      <c r="AO39">
        <f>IF(COUNTIF($AN$2:AN39, AN39)=1, 1, 0)</f>
        <v>0</v>
      </c>
      <c r="AP39" t="str">
        <f t="shared" si="15"/>
        <v>&gt;3</v>
      </c>
      <c r="AQ39" t="str">
        <f t="shared" si="16"/>
        <v>&lt;=3</v>
      </c>
      <c r="AR39" t="str">
        <f t="shared" si="17"/>
        <v>&gt;3</v>
      </c>
    </row>
    <row r="40" spans="1:44" x14ac:dyDescent="0.3">
      <c r="A40" t="s">
        <v>33</v>
      </c>
      <c r="B40" t="s">
        <v>73</v>
      </c>
      <c r="C40" t="s">
        <v>108</v>
      </c>
      <c r="D40">
        <v>1808</v>
      </c>
      <c r="E40">
        <v>23120022</v>
      </c>
      <c r="F40" t="s">
        <v>75</v>
      </c>
      <c r="G40" t="s">
        <v>76</v>
      </c>
      <c r="H40">
        <v>1600</v>
      </c>
      <c r="I40">
        <v>900</v>
      </c>
      <c r="J40">
        <v>1440000</v>
      </c>
      <c r="K40" s="7" t="str">
        <f>IFERROR(IF(B40&lt;&gt;"", TEXT(VLOOKUP(B40, 'Expected Date'!A:B, 2, FALSE) + DATE(RIGHT(C40,2),MID(C40,4,2),LEFT(C40,2)), "dd/mm/yy"), ""), "")</f>
        <v>30/05/23</v>
      </c>
      <c r="L40" t="s">
        <v>38</v>
      </c>
      <c r="M40" t="s">
        <v>39</v>
      </c>
      <c r="N40" t="s">
        <v>77</v>
      </c>
      <c r="O40" t="s">
        <v>127</v>
      </c>
      <c r="P40">
        <v>23190767</v>
      </c>
      <c r="Q40" t="s">
        <v>75</v>
      </c>
      <c r="R40" t="s">
        <v>76</v>
      </c>
      <c r="S40">
        <v>400</v>
      </c>
      <c r="T40">
        <v>900</v>
      </c>
      <c r="U40">
        <v>360000</v>
      </c>
      <c r="V40" t="str">
        <f t="shared" si="11"/>
        <v>Accepted</v>
      </c>
      <c r="W40">
        <f>IFERROR(VLOOKUP(N40, Payment_Terms!A:B, 2, FALSE), "Payment term not found!")</f>
        <v>0</v>
      </c>
      <c r="X40" t="str">
        <f>IFERROR(VLOOKUP(R40, Item_Category!A:B, 2, FALSE), "Uncategorized")</f>
        <v>Pallets</v>
      </c>
      <c r="Y40" s="5">
        <f t="shared" si="12"/>
        <v>0</v>
      </c>
      <c r="Z40">
        <f t="shared" si="0"/>
        <v>5</v>
      </c>
      <c r="AA40">
        <f t="shared" si="1"/>
        <v>64</v>
      </c>
      <c r="AB40">
        <f t="shared" si="2"/>
        <v>1</v>
      </c>
      <c r="AC40" s="10">
        <f t="shared" si="3"/>
        <v>84</v>
      </c>
      <c r="AD40" s="5">
        <f t="shared" si="4"/>
        <v>1</v>
      </c>
      <c r="AE40" s="5">
        <f t="shared" si="5"/>
        <v>1</v>
      </c>
      <c r="AF40" s="5">
        <f t="shared" si="6"/>
        <v>0</v>
      </c>
      <c r="AG40">
        <f>IF(B40&lt;&gt;"", COUNTIFS($B$2:B40, B40), "")</f>
        <v>3</v>
      </c>
      <c r="AH40">
        <f t="shared" si="7"/>
        <v>5</v>
      </c>
      <c r="AI40" t="str">
        <f>VLOOKUP(B40, Currency!A:B, 2, FALSE)</f>
        <v>INR</v>
      </c>
      <c r="AJ40">
        <f t="shared" si="8"/>
        <v>4</v>
      </c>
      <c r="AK40">
        <f t="shared" si="13"/>
        <v>5</v>
      </c>
      <c r="AL40" t="str">
        <f t="shared" si="9"/>
        <v>May</v>
      </c>
      <c r="AM40">
        <f t="shared" si="14"/>
        <v>2023</v>
      </c>
      <c r="AN40" t="str">
        <f t="shared" si="10"/>
        <v>0Nilkamal Limited</v>
      </c>
      <c r="AO40">
        <f>IF(COUNTIF($AN$2:AN40, AN40)=1, 1, 0)</f>
        <v>0</v>
      </c>
      <c r="AP40" t="str">
        <f t="shared" si="15"/>
        <v>&gt;3</v>
      </c>
      <c r="AQ40" t="str">
        <f t="shared" si="16"/>
        <v>&gt;3</v>
      </c>
      <c r="AR40" t="str">
        <f t="shared" si="17"/>
        <v>&lt;=3</v>
      </c>
    </row>
    <row r="41" spans="1:44" x14ac:dyDescent="0.3">
      <c r="A41" t="s">
        <v>33</v>
      </c>
      <c r="B41" t="s">
        <v>128</v>
      </c>
      <c r="C41" t="s">
        <v>117</v>
      </c>
      <c r="D41">
        <v>2898</v>
      </c>
      <c r="E41">
        <v>23120082</v>
      </c>
      <c r="F41" t="s">
        <v>129</v>
      </c>
      <c r="G41" t="s">
        <v>431</v>
      </c>
      <c r="H41">
        <v>20000</v>
      </c>
      <c r="I41">
        <v>8.4</v>
      </c>
      <c r="J41">
        <v>168000</v>
      </c>
      <c r="K41" s="7" t="str">
        <f>IFERROR(IF(B41&lt;&gt;"", TEXT(VLOOKUP(B41, 'Expected Date'!A:B, 2, FALSE) + DATE(RIGHT(C41,2),MID(C41,4,2),LEFT(C41,2)), "dd/mm/yy"), ""), "")</f>
        <v>17/07/23</v>
      </c>
      <c r="L41" t="s">
        <v>38</v>
      </c>
      <c r="M41" t="s">
        <v>48</v>
      </c>
      <c r="N41" t="s">
        <v>132</v>
      </c>
      <c r="O41" t="s">
        <v>116</v>
      </c>
      <c r="P41">
        <v>23190719</v>
      </c>
      <c r="Q41" t="s">
        <v>129</v>
      </c>
      <c r="R41" t="s">
        <v>130</v>
      </c>
      <c r="S41">
        <v>20000</v>
      </c>
      <c r="T41">
        <v>8.4</v>
      </c>
      <c r="U41">
        <v>168000</v>
      </c>
      <c r="V41" t="str">
        <f t="shared" si="11"/>
        <v>Accepted</v>
      </c>
      <c r="W41">
        <f>IFERROR(VLOOKUP(N41, Payment_Terms!A:B, 2, FALSE), "Payment term not found!")</f>
        <v>0</v>
      </c>
      <c r="X41" t="str">
        <f>IFERROR(VLOOKUP(R41, Item_Category!A:B, 2, FALSE), "Uncategorized")</f>
        <v>Lime</v>
      </c>
      <c r="Y41" s="5">
        <f t="shared" si="12"/>
        <v>0</v>
      </c>
      <c r="Z41">
        <f t="shared" si="0"/>
        <v>5</v>
      </c>
      <c r="AA41">
        <f t="shared" si="1"/>
        <v>1</v>
      </c>
      <c r="AB41">
        <f t="shared" si="2"/>
        <v>5</v>
      </c>
      <c r="AC41" s="10">
        <f t="shared" si="3"/>
        <v>11</v>
      </c>
      <c r="AD41" s="5">
        <f t="shared" si="4"/>
        <v>1</v>
      </c>
      <c r="AE41" s="5">
        <f t="shared" si="5"/>
        <v>1</v>
      </c>
      <c r="AF41" s="5">
        <f t="shared" si="6"/>
        <v>0</v>
      </c>
      <c r="AG41">
        <f>IF(B41&lt;&gt;"", COUNTIFS($B$2:B41, B41), "")</f>
        <v>1</v>
      </c>
      <c r="AH41">
        <f t="shared" si="7"/>
        <v>5</v>
      </c>
      <c r="AI41" t="str">
        <f>VLOOKUP(B41, Currency!A:B, 2, FALSE)</f>
        <v>INR</v>
      </c>
      <c r="AJ41">
        <f t="shared" si="8"/>
        <v>5</v>
      </c>
      <c r="AK41">
        <f t="shared" si="13"/>
        <v>7</v>
      </c>
      <c r="AL41" t="str">
        <f t="shared" si="9"/>
        <v>July</v>
      </c>
      <c r="AM41">
        <f t="shared" si="14"/>
        <v>2023</v>
      </c>
      <c r="AN41" t="str">
        <f t="shared" si="10"/>
        <v>0Shree Chemicals</v>
      </c>
      <c r="AO41">
        <f>IF(COUNTIF($AN$2:AN41, AN41)=1, 1, 0)</f>
        <v>1</v>
      </c>
      <c r="AP41" t="str">
        <f t="shared" si="15"/>
        <v>&gt;3</v>
      </c>
      <c r="AQ41" t="str">
        <f t="shared" si="16"/>
        <v>&gt;3</v>
      </c>
      <c r="AR41" t="str">
        <f t="shared" si="17"/>
        <v>&gt;3</v>
      </c>
    </row>
    <row r="42" spans="1:44" x14ac:dyDescent="0.3">
      <c r="A42" t="s">
        <v>33</v>
      </c>
      <c r="B42" t="s">
        <v>51</v>
      </c>
      <c r="C42" t="s">
        <v>56</v>
      </c>
      <c r="D42">
        <v>3567</v>
      </c>
      <c r="E42">
        <v>23120096</v>
      </c>
      <c r="F42" t="s">
        <v>53</v>
      </c>
      <c r="G42" t="s">
        <v>54</v>
      </c>
      <c r="H42">
        <v>25.46</v>
      </c>
      <c r="I42">
        <v>7412.1710000000003</v>
      </c>
      <c r="J42">
        <v>188713.87</v>
      </c>
      <c r="K42" s="7" t="str">
        <f>IFERROR(IF(B42&lt;&gt;"", TEXT(VLOOKUP(B42, 'Expected Date'!A:B, 2, FALSE) + DATE(RIGHT(C42,2),MID(C42,4,2),LEFT(C42,2)), "dd/mm/yy"), ""), "")</f>
        <v>24/08/23</v>
      </c>
      <c r="L42" t="s">
        <v>38</v>
      </c>
      <c r="M42" t="s">
        <v>48</v>
      </c>
      <c r="N42" t="s">
        <v>55</v>
      </c>
      <c r="O42" t="s">
        <v>116</v>
      </c>
      <c r="P42">
        <v>23190765</v>
      </c>
      <c r="Q42" t="s">
        <v>53</v>
      </c>
      <c r="R42" t="s">
        <v>54</v>
      </c>
      <c r="S42">
        <v>25.46</v>
      </c>
      <c r="T42">
        <v>7412.1710000000003</v>
      </c>
      <c r="U42">
        <v>188713.87</v>
      </c>
      <c r="V42" t="str">
        <f t="shared" si="11"/>
        <v>Accepted</v>
      </c>
      <c r="W42">
        <f>IFERROR(VLOOKUP(N42, Payment_Terms!A:B, 2, FALSE), "Payment term not found!")</f>
        <v>0</v>
      </c>
      <c r="X42" t="str">
        <f>IFERROR(VLOOKUP(R42, Item_Category!A:B, 2, FALSE), "Uncategorized")</f>
        <v>Coal materials</v>
      </c>
      <c r="Y42" s="5">
        <f t="shared" si="12"/>
        <v>0</v>
      </c>
      <c r="Z42">
        <f t="shared" si="0"/>
        <v>5</v>
      </c>
      <c r="AA42">
        <f t="shared" si="1"/>
        <v>-37</v>
      </c>
      <c r="AB42">
        <f t="shared" si="2"/>
        <v>5</v>
      </c>
      <c r="AC42" s="10">
        <f t="shared" si="3"/>
        <v>17</v>
      </c>
      <c r="AD42" s="5">
        <f t="shared" si="4"/>
        <v>1</v>
      </c>
      <c r="AE42" s="5">
        <f t="shared" si="5"/>
        <v>1</v>
      </c>
      <c r="AF42" s="5">
        <f t="shared" si="6"/>
        <v>0</v>
      </c>
      <c r="AG42">
        <f>IF(B42&lt;&gt;"", COUNTIFS($B$2:B42, B42), "")</f>
        <v>23</v>
      </c>
      <c r="AH42">
        <f t="shared" si="7"/>
        <v>5</v>
      </c>
      <c r="AI42" t="str">
        <f>VLOOKUP(B42, Currency!A:B, 2, FALSE)</f>
        <v>INR</v>
      </c>
      <c r="AJ42">
        <f t="shared" si="8"/>
        <v>5</v>
      </c>
      <c r="AK42">
        <f t="shared" si="13"/>
        <v>8</v>
      </c>
      <c r="AL42" t="str">
        <f t="shared" si="9"/>
        <v>August</v>
      </c>
      <c r="AM42">
        <f t="shared" si="14"/>
        <v>2023</v>
      </c>
      <c r="AN42" t="str">
        <f t="shared" si="10"/>
        <v>0The Singareni Collieries Company Ltd</v>
      </c>
      <c r="AO42">
        <f>IF(COUNTIF($AN$2:AN42, AN42)=1, 1, 0)</f>
        <v>0</v>
      </c>
      <c r="AP42" t="str">
        <f t="shared" si="15"/>
        <v>&gt;3</v>
      </c>
      <c r="AQ42" t="str">
        <f t="shared" si="16"/>
        <v>&gt;3</v>
      </c>
      <c r="AR42" t="str">
        <f t="shared" si="17"/>
        <v>&gt;3</v>
      </c>
    </row>
    <row r="43" spans="1:44" x14ac:dyDescent="0.3">
      <c r="A43" t="s">
        <v>33</v>
      </c>
      <c r="B43" t="s">
        <v>79</v>
      </c>
      <c r="C43" t="s">
        <v>133</v>
      </c>
      <c r="D43">
        <v>2297</v>
      </c>
      <c r="E43">
        <v>23120038</v>
      </c>
      <c r="F43" t="s">
        <v>81</v>
      </c>
      <c r="G43" t="s">
        <v>82</v>
      </c>
      <c r="H43">
        <v>21000</v>
      </c>
      <c r="I43">
        <v>0.4</v>
      </c>
      <c r="J43">
        <v>8400</v>
      </c>
      <c r="K43" s="7" t="str">
        <f>IFERROR(IF(B43&lt;&gt;"", TEXT(VLOOKUP(B43, 'Expected Date'!A:B, 2, FALSE) + DATE(RIGHT(C43,2),MID(C43,4,2),LEFT(C43,2)), "dd/mm/yy"), ""), "")</f>
        <v>26/06/23</v>
      </c>
      <c r="L43" t="s">
        <v>68</v>
      </c>
      <c r="M43" t="s">
        <v>48</v>
      </c>
      <c r="N43" t="s">
        <v>83</v>
      </c>
      <c r="O43" t="s">
        <v>134</v>
      </c>
      <c r="P43">
        <v>23190519</v>
      </c>
      <c r="Q43" t="s">
        <v>81</v>
      </c>
      <c r="R43" t="s">
        <v>82</v>
      </c>
      <c r="S43">
        <v>19680</v>
      </c>
      <c r="T43">
        <v>0.4</v>
      </c>
      <c r="U43">
        <v>7872</v>
      </c>
      <c r="V43" t="str">
        <f t="shared" si="11"/>
        <v>Accepted</v>
      </c>
      <c r="W43">
        <f>IFERROR(VLOOKUP(N43, Payment_Terms!A:B, 2, FALSE), "Payment term not found!")</f>
        <v>0</v>
      </c>
      <c r="X43" t="str">
        <f>IFERROR(VLOOKUP(R43, Item_Category!A:B, 2, FALSE), "Uncategorized")</f>
        <v>HCL</v>
      </c>
      <c r="Y43" s="5">
        <f t="shared" si="12"/>
        <v>6.2857142857142861E-2</v>
      </c>
      <c r="Z43">
        <f t="shared" si="0"/>
        <v>2</v>
      </c>
      <c r="AA43">
        <f t="shared" si="1"/>
        <v>-18</v>
      </c>
      <c r="AB43">
        <f t="shared" si="2"/>
        <v>5</v>
      </c>
      <c r="AC43" s="10">
        <f t="shared" si="3"/>
        <v>2</v>
      </c>
      <c r="AD43" s="5">
        <f t="shared" si="4"/>
        <v>1</v>
      </c>
      <c r="AE43" s="5">
        <f t="shared" si="5"/>
        <v>1</v>
      </c>
      <c r="AF43" s="5">
        <f t="shared" si="6"/>
        <v>0</v>
      </c>
      <c r="AG43">
        <f>IF(B43&lt;&gt;"", COUNTIFS($B$2:B43, B43), "")</f>
        <v>2</v>
      </c>
      <c r="AH43">
        <f t="shared" si="7"/>
        <v>5</v>
      </c>
      <c r="AI43" t="str">
        <f>VLOOKUP(B43, Currency!A:B, 2, FALSE)</f>
        <v>INR</v>
      </c>
      <c r="AJ43">
        <f t="shared" si="8"/>
        <v>5</v>
      </c>
      <c r="AK43">
        <f t="shared" si="13"/>
        <v>6</v>
      </c>
      <c r="AL43" t="str">
        <f t="shared" si="9"/>
        <v>June</v>
      </c>
      <c r="AM43">
        <f t="shared" si="14"/>
        <v>2023</v>
      </c>
      <c r="AN43" t="str">
        <f t="shared" si="10"/>
        <v>0R L Chloro Sales Pvt Ltd</v>
      </c>
      <c r="AO43">
        <f>IF(COUNTIF($AN$2:AN43, AN43)=1, 1, 0)</f>
        <v>0</v>
      </c>
      <c r="AP43" t="str">
        <f t="shared" si="15"/>
        <v>&gt;3</v>
      </c>
      <c r="AQ43" t="str">
        <f t="shared" si="16"/>
        <v>&lt;=3</v>
      </c>
      <c r="AR43" t="str">
        <f t="shared" si="17"/>
        <v>&gt;3</v>
      </c>
    </row>
    <row r="44" spans="1:44" x14ac:dyDescent="0.3">
      <c r="A44" t="s">
        <v>33</v>
      </c>
      <c r="B44" t="s">
        <v>51</v>
      </c>
      <c r="C44" t="s">
        <v>133</v>
      </c>
      <c r="D44">
        <v>2298</v>
      </c>
      <c r="E44">
        <v>23120039</v>
      </c>
      <c r="F44" t="s">
        <v>135</v>
      </c>
      <c r="G44" t="s">
        <v>136</v>
      </c>
      <c r="H44">
        <v>40</v>
      </c>
      <c r="I44">
        <v>6732.43</v>
      </c>
      <c r="J44">
        <v>269297.2</v>
      </c>
      <c r="K44" s="7" t="str">
        <f>IFERROR(IF(B44&lt;&gt;"", TEXT(VLOOKUP(B44, 'Expected Date'!A:B, 2, FALSE) + DATE(RIGHT(C44,2),MID(C44,4,2),LEFT(C44,2)), "dd/mm/yy"), ""), "")</f>
        <v>26/06/23</v>
      </c>
      <c r="L44" t="s">
        <v>38</v>
      </c>
      <c r="M44" t="s">
        <v>48</v>
      </c>
      <c r="N44" t="s">
        <v>55</v>
      </c>
      <c r="O44" t="s">
        <v>137</v>
      </c>
      <c r="P44">
        <v>23190397</v>
      </c>
      <c r="Q44" t="s">
        <v>135</v>
      </c>
      <c r="R44" t="s">
        <v>136</v>
      </c>
      <c r="S44">
        <v>20</v>
      </c>
      <c r="T44">
        <v>6732.43</v>
      </c>
      <c r="U44">
        <v>134648.6</v>
      </c>
      <c r="V44" t="str">
        <f t="shared" si="11"/>
        <v>Accepted</v>
      </c>
      <c r="W44">
        <f>IFERROR(VLOOKUP(N44, Payment_Terms!A:B, 2, FALSE), "Payment term not found!")</f>
        <v>0</v>
      </c>
      <c r="X44" t="str">
        <f>IFERROR(VLOOKUP(R44, Item_Category!A:B, 2, FALSE), "Uncategorized")</f>
        <v>Coal materials</v>
      </c>
      <c r="Y44" s="5">
        <f t="shared" si="12"/>
        <v>0</v>
      </c>
      <c r="Z44">
        <f t="shared" si="0"/>
        <v>5</v>
      </c>
      <c r="AA44">
        <f t="shared" si="1"/>
        <v>-31</v>
      </c>
      <c r="AB44">
        <f t="shared" si="2"/>
        <v>5</v>
      </c>
      <c r="AC44" s="10">
        <f t="shared" si="3"/>
        <v>11</v>
      </c>
      <c r="AD44" s="5">
        <f t="shared" si="4"/>
        <v>1</v>
      </c>
      <c r="AE44" s="5">
        <f t="shared" si="5"/>
        <v>1</v>
      </c>
      <c r="AF44" s="5">
        <f t="shared" si="6"/>
        <v>0</v>
      </c>
      <c r="AG44">
        <f>IF(B44&lt;&gt;"", COUNTIFS($B$2:B44, B44), "")</f>
        <v>24</v>
      </c>
      <c r="AH44">
        <f t="shared" si="7"/>
        <v>5</v>
      </c>
      <c r="AI44" t="str">
        <f>VLOOKUP(B44, Currency!A:B, 2, FALSE)</f>
        <v>INR</v>
      </c>
      <c r="AJ44">
        <f t="shared" si="8"/>
        <v>5</v>
      </c>
      <c r="AK44">
        <f t="shared" si="13"/>
        <v>6</v>
      </c>
      <c r="AL44" t="str">
        <f t="shared" si="9"/>
        <v>June</v>
      </c>
      <c r="AM44">
        <f t="shared" si="14"/>
        <v>2023</v>
      </c>
      <c r="AN44" t="str">
        <f t="shared" si="10"/>
        <v>0The Singareni Collieries Company Ltd</v>
      </c>
      <c r="AO44">
        <f>IF(COUNTIF($AN$2:AN44, AN44)=1, 1, 0)</f>
        <v>0</v>
      </c>
      <c r="AP44" t="str">
        <f t="shared" si="15"/>
        <v>&gt;3</v>
      </c>
      <c r="AQ44" t="str">
        <f t="shared" si="16"/>
        <v>&gt;3</v>
      </c>
      <c r="AR44" t="str">
        <f t="shared" si="17"/>
        <v>&gt;3</v>
      </c>
    </row>
    <row r="45" spans="1:44" x14ac:dyDescent="0.3">
      <c r="A45" t="s">
        <v>33</v>
      </c>
      <c r="B45" t="s">
        <v>51</v>
      </c>
      <c r="C45" t="s">
        <v>133</v>
      </c>
      <c r="D45">
        <v>2298</v>
      </c>
      <c r="E45">
        <v>23120039</v>
      </c>
      <c r="F45" t="s">
        <v>135</v>
      </c>
      <c r="G45" t="s">
        <v>136</v>
      </c>
      <c r="H45">
        <v>40</v>
      </c>
      <c r="I45">
        <v>6732.43</v>
      </c>
      <c r="J45">
        <v>269297.2</v>
      </c>
      <c r="K45" s="7" t="str">
        <f>IFERROR(IF(B45&lt;&gt;"", TEXT(VLOOKUP(B45, 'Expected Date'!A:B, 2, FALSE) + DATE(RIGHT(C45,2),MID(C45,4,2),LEFT(C45,2)), "dd/mm/yy"), ""), "")</f>
        <v>26/06/23</v>
      </c>
      <c r="L45" t="s">
        <v>38</v>
      </c>
      <c r="M45" t="s">
        <v>48</v>
      </c>
      <c r="N45" t="s">
        <v>55</v>
      </c>
      <c r="O45" t="s">
        <v>138</v>
      </c>
      <c r="P45">
        <v>23190398</v>
      </c>
      <c r="Q45" t="s">
        <v>135</v>
      </c>
      <c r="R45" t="s">
        <v>136</v>
      </c>
      <c r="S45">
        <v>20</v>
      </c>
      <c r="T45">
        <v>6732.43</v>
      </c>
      <c r="U45">
        <v>134648.6</v>
      </c>
      <c r="V45" t="str">
        <f t="shared" si="11"/>
        <v>Accepted</v>
      </c>
      <c r="W45">
        <f>IFERROR(VLOOKUP(N45, Payment_Terms!A:B, 2, FALSE), "Payment term not found!")</f>
        <v>0</v>
      </c>
      <c r="X45" t="str">
        <f>IFERROR(VLOOKUP(R45, Item_Category!A:B, 2, FALSE), "Uncategorized")</f>
        <v>Coal materials</v>
      </c>
      <c r="Y45" s="5">
        <f t="shared" si="12"/>
        <v>0</v>
      </c>
      <c r="Z45">
        <f t="shared" si="0"/>
        <v>5</v>
      </c>
      <c r="AA45">
        <f t="shared" si="1"/>
        <v>-29</v>
      </c>
      <c r="AB45">
        <f t="shared" si="2"/>
        <v>5</v>
      </c>
      <c r="AC45" s="10">
        <f t="shared" si="3"/>
        <v>9</v>
      </c>
      <c r="AD45" s="5">
        <f t="shared" si="4"/>
        <v>1</v>
      </c>
      <c r="AE45" s="5">
        <f t="shared" si="5"/>
        <v>1</v>
      </c>
      <c r="AF45" s="5">
        <f t="shared" si="6"/>
        <v>0</v>
      </c>
      <c r="AG45">
        <f>IF(B45&lt;&gt;"", COUNTIFS($B$2:B45, B45), "")</f>
        <v>25</v>
      </c>
      <c r="AH45">
        <f t="shared" si="7"/>
        <v>5</v>
      </c>
      <c r="AI45" t="str">
        <f>VLOOKUP(B45, Currency!A:B, 2, FALSE)</f>
        <v>INR</v>
      </c>
      <c r="AJ45">
        <f t="shared" si="8"/>
        <v>5</v>
      </c>
      <c r="AK45">
        <f t="shared" si="13"/>
        <v>6</v>
      </c>
      <c r="AL45" t="str">
        <f t="shared" si="9"/>
        <v>June</v>
      </c>
      <c r="AM45">
        <f t="shared" si="14"/>
        <v>2023</v>
      </c>
      <c r="AN45" t="str">
        <f t="shared" si="10"/>
        <v>0The Singareni Collieries Company Ltd</v>
      </c>
      <c r="AO45">
        <f>IF(COUNTIF($AN$2:AN45, AN45)=1, 1, 0)</f>
        <v>0</v>
      </c>
      <c r="AP45" t="str">
        <f t="shared" si="15"/>
        <v>&gt;3</v>
      </c>
      <c r="AQ45" t="str">
        <f t="shared" si="16"/>
        <v>&gt;3</v>
      </c>
      <c r="AR45" t="str">
        <f t="shared" si="17"/>
        <v>&gt;3</v>
      </c>
    </row>
    <row r="46" spans="1:44" x14ac:dyDescent="0.3">
      <c r="A46" t="s">
        <v>33</v>
      </c>
      <c r="B46" t="s">
        <v>51</v>
      </c>
      <c r="C46" t="s">
        <v>88</v>
      </c>
      <c r="D46">
        <v>2839</v>
      </c>
      <c r="E46">
        <v>23120080</v>
      </c>
      <c r="F46" t="s">
        <v>53</v>
      </c>
      <c r="G46" t="s">
        <v>54</v>
      </c>
      <c r="H46">
        <v>82.13</v>
      </c>
      <c r="I46">
        <v>7412.17</v>
      </c>
      <c r="J46">
        <v>608761.52</v>
      </c>
      <c r="K46" s="7" t="str">
        <f>IFERROR(IF(B46&lt;&gt;"", TEXT(VLOOKUP(B46, 'Expected Date'!A:B, 2, FALSE) + DATE(RIGHT(C46,2),MID(C46,4,2),LEFT(C46,2)), "dd/mm/yy"), ""), "")</f>
        <v>24/07/23</v>
      </c>
      <c r="L46" t="s">
        <v>38</v>
      </c>
      <c r="M46" t="s">
        <v>48</v>
      </c>
      <c r="N46" t="s">
        <v>55</v>
      </c>
      <c r="O46" t="s">
        <v>139</v>
      </c>
      <c r="P46">
        <v>23190578</v>
      </c>
      <c r="Q46" t="s">
        <v>53</v>
      </c>
      <c r="R46" t="s">
        <v>54</v>
      </c>
      <c r="S46">
        <v>30.4</v>
      </c>
      <c r="T46">
        <v>7412.17</v>
      </c>
      <c r="U46">
        <v>225329.97</v>
      </c>
      <c r="V46" t="str">
        <f t="shared" si="11"/>
        <v>Accepted</v>
      </c>
      <c r="W46">
        <f>IFERROR(VLOOKUP(N46, Payment_Terms!A:B, 2, FALSE), "Payment term not found!")</f>
        <v>0</v>
      </c>
      <c r="X46" t="str">
        <f>IFERROR(VLOOKUP(R46, Item_Category!A:B, 2, FALSE), "Uncategorized")</f>
        <v>Coal materials</v>
      </c>
      <c r="Y46" s="5">
        <f t="shared" si="12"/>
        <v>0</v>
      </c>
      <c r="Z46">
        <f t="shared" si="0"/>
        <v>5</v>
      </c>
      <c r="AA46">
        <f t="shared" si="1"/>
        <v>-26</v>
      </c>
      <c r="AB46">
        <f t="shared" si="2"/>
        <v>5</v>
      </c>
      <c r="AC46" s="10">
        <f t="shared" si="3"/>
        <v>6</v>
      </c>
      <c r="AD46" s="5">
        <f t="shared" si="4"/>
        <v>1</v>
      </c>
      <c r="AE46" s="5">
        <f t="shared" si="5"/>
        <v>1</v>
      </c>
      <c r="AF46" s="5">
        <f t="shared" si="6"/>
        <v>0</v>
      </c>
      <c r="AG46">
        <f>IF(B46&lt;&gt;"", COUNTIFS($B$2:B46, B46), "")</f>
        <v>26</v>
      </c>
      <c r="AH46">
        <f t="shared" si="7"/>
        <v>5</v>
      </c>
      <c r="AI46" t="str">
        <f>VLOOKUP(B46, Currency!A:B, 2, FALSE)</f>
        <v>INR</v>
      </c>
      <c r="AJ46">
        <f t="shared" si="8"/>
        <v>5</v>
      </c>
      <c r="AK46">
        <f t="shared" si="13"/>
        <v>7</v>
      </c>
      <c r="AL46" t="str">
        <f t="shared" si="9"/>
        <v>July</v>
      </c>
      <c r="AM46">
        <f t="shared" si="14"/>
        <v>2023</v>
      </c>
      <c r="AN46" t="str">
        <f t="shared" si="10"/>
        <v>0The Singareni Collieries Company Ltd</v>
      </c>
      <c r="AO46">
        <f>IF(COUNTIF($AN$2:AN46, AN46)=1, 1, 0)</f>
        <v>0</v>
      </c>
      <c r="AP46" t="str">
        <f t="shared" si="15"/>
        <v>&gt;3</v>
      </c>
      <c r="AQ46" t="str">
        <f t="shared" si="16"/>
        <v>&gt;3</v>
      </c>
      <c r="AR46" t="str">
        <f t="shared" si="17"/>
        <v>&gt;3</v>
      </c>
    </row>
    <row r="47" spans="1:44" x14ac:dyDescent="0.3">
      <c r="A47" t="s">
        <v>95</v>
      </c>
      <c r="B47" t="s">
        <v>140</v>
      </c>
      <c r="C47" t="s">
        <v>141</v>
      </c>
      <c r="D47">
        <v>1712</v>
      </c>
      <c r="E47">
        <v>23120019</v>
      </c>
      <c r="F47" t="s">
        <v>142</v>
      </c>
      <c r="G47" t="s">
        <v>360</v>
      </c>
      <c r="H47">
        <v>125</v>
      </c>
      <c r="I47">
        <v>830</v>
      </c>
      <c r="J47">
        <v>8445250</v>
      </c>
      <c r="K47" s="7" t="str">
        <f>IFERROR(IF(B47&lt;&gt;"", TEXT(VLOOKUP(B47, 'Expected Date'!A:B, 2, FALSE) + DATE(RIGHT(C47,2),MID(C47,4,2),LEFT(C47,2)), "dd/mm/yy"), ""), "")</f>
        <v>22/06/23</v>
      </c>
      <c r="L47" t="s">
        <v>68</v>
      </c>
      <c r="M47" t="str">
        <f>M31</f>
        <v>MT</v>
      </c>
      <c r="N47" t="s">
        <v>144</v>
      </c>
      <c r="O47" t="s">
        <v>145</v>
      </c>
      <c r="P47">
        <v>23190179</v>
      </c>
      <c r="Q47" t="s">
        <v>142</v>
      </c>
      <c r="R47" t="s">
        <v>143</v>
      </c>
      <c r="S47">
        <v>123.074</v>
      </c>
      <c r="T47">
        <v>830</v>
      </c>
      <c r="U47">
        <v>8258942.3099999996</v>
      </c>
      <c r="V47" t="str">
        <f t="shared" si="11"/>
        <v>Accepted</v>
      </c>
      <c r="W47">
        <f>IFERROR(VLOOKUP(N47, Payment_Terms!A:B, 2, FALSE), "Payment term not found!")</f>
        <v>30</v>
      </c>
      <c r="X47" t="str">
        <f>IFERROR(VLOOKUP(R47, Item_Category!A:B, 2, FALSE), "Uncategorized")</f>
        <v>Wood pulp</v>
      </c>
      <c r="Y47" s="5">
        <f t="shared" si="12"/>
        <v>1.5408000000000015E-2</v>
      </c>
      <c r="Z47">
        <f t="shared" si="0"/>
        <v>4</v>
      </c>
      <c r="AA47">
        <f t="shared" si="1"/>
        <v>-46</v>
      </c>
      <c r="AB47">
        <f t="shared" si="2"/>
        <v>5</v>
      </c>
      <c r="AC47" s="10">
        <f t="shared" si="3"/>
        <v>1</v>
      </c>
      <c r="AD47" s="5">
        <f t="shared" si="4"/>
        <v>1</v>
      </c>
      <c r="AE47" s="5">
        <f t="shared" si="5"/>
        <v>1</v>
      </c>
      <c r="AF47" s="5">
        <f t="shared" si="6"/>
        <v>0</v>
      </c>
      <c r="AG47">
        <f>IF(B47&lt;&gt;"", COUNTIFS($B$2:B47, B47), "")</f>
        <v>1</v>
      </c>
      <c r="AH47">
        <f t="shared" si="7"/>
        <v>5</v>
      </c>
      <c r="AI47" t="str">
        <f>VLOOKUP(B47, Currency!A:B, 2, FALSE)</f>
        <v>USD</v>
      </c>
      <c r="AJ47">
        <f t="shared" si="8"/>
        <v>5</v>
      </c>
      <c r="AK47">
        <f t="shared" si="13"/>
        <v>5</v>
      </c>
      <c r="AL47" t="str">
        <f t="shared" si="9"/>
        <v>May</v>
      </c>
      <c r="AM47">
        <f t="shared" si="14"/>
        <v>2023</v>
      </c>
      <c r="AN47" t="str">
        <f t="shared" si="10"/>
        <v>30Sappi Paper Holdings GMBH</v>
      </c>
      <c r="AO47">
        <f>IF(COUNTIF($AN$2:AN47, AN47)=1, 1, 0)</f>
        <v>1</v>
      </c>
      <c r="AP47" t="str">
        <f t="shared" si="15"/>
        <v>&gt;3</v>
      </c>
      <c r="AQ47" t="str">
        <f t="shared" si="16"/>
        <v>&gt;3</v>
      </c>
      <c r="AR47" t="str">
        <f t="shared" si="17"/>
        <v>&gt;3</v>
      </c>
    </row>
    <row r="48" spans="1:44" x14ac:dyDescent="0.3">
      <c r="A48" t="str">
        <f>A47</f>
        <v>Woodpulp</v>
      </c>
      <c r="B48" t="s">
        <v>140</v>
      </c>
      <c r="C48" t="s">
        <v>146</v>
      </c>
      <c r="D48">
        <v>1780</v>
      </c>
      <c r="E48">
        <v>23110110</v>
      </c>
      <c r="F48" t="s">
        <v>142</v>
      </c>
      <c r="G48" t="s">
        <v>360</v>
      </c>
      <c r="H48">
        <v>100</v>
      </c>
      <c r="I48">
        <v>830</v>
      </c>
      <c r="J48">
        <v>6710550</v>
      </c>
      <c r="K48" s="7" t="str">
        <f>IFERROR(IF(B48&lt;&gt;"", TEXT(VLOOKUP(B48, 'Expected Date'!A:B, 2, FALSE) + DATE(RIGHT(C48,2),MID(C48,4,2),LEFT(C48,2)), "dd/mm/yy"), ""), "")</f>
        <v>23/06/23</v>
      </c>
      <c r="L48" t="s">
        <v>68</v>
      </c>
      <c r="M48" t="str">
        <f>M47</f>
        <v>MT</v>
      </c>
      <c r="N48" t="s">
        <v>144</v>
      </c>
      <c r="O48" t="s">
        <v>97</v>
      </c>
      <c r="P48">
        <v>23190208</v>
      </c>
      <c r="Q48" t="s">
        <v>142</v>
      </c>
      <c r="R48" t="s">
        <v>143</v>
      </c>
      <c r="S48">
        <v>98.4</v>
      </c>
      <c r="T48">
        <v>830</v>
      </c>
      <c r="U48">
        <v>6623599.2000000002</v>
      </c>
      <c r="V48" t="str">
        <f t="shared" si="11"/>
        <v>Accepted</v>
      </c>
      <c r="W48">
        <f>IFERROR(VLOOKUP(N48, Payment_Terms!A:B, 2, FALSE), "Payment term not found!")</f>
        <v>30</v>
      </c>
      <c r="X48" t="str">
        <f>IFERROR(VLOOKUP(R48, Item_Category!A:B, 2, FALSE), "Uncategorized")</f>
        <v>Wood pulp</v>
      </c>
      <c r="Y48" s="5">
        <f t="shared" si="12"/>
        <v>1.5999999999999945E-2</v>
      </c>
      <c r="Z48">
        <f t="shared" si="0"/>
        <v>4</v>
      </c>
      <c r="AA48">
        <f t="shared" si="1"/>
        <v>-73</v>
      </c>
      <c r="AB48">
        <f t="shared" si="2"/>
        <v>5</v>
      </c>
      <c r="AC48" s="10">
        <f t="shared" si="3"/>
        <v>28</v>
      </c>
      <c r="AD48" s="5">
        <f t="shared" si="4"/>
        <v>1</v>
      </c>
      <c r="AE48" s="5">
        <f t="shared" si="5"/>
        <v>1</v>
      </c>
      <c r="AF48" s="5">
        <f t="shared" si="6"/>
        <v>0</v>
      </c>
      <c r="AG48">
        <f>IF(B48&lt;&gt;"", COUNTIFS($B$2:B48, B48), "")</f>
        <v>2</v>
      </c>
      <c r="AH48">
        <f t="shared" si="7"/>
        <v>5</v>
      </c>
      <c r="AI48" t="str">
        <f>VLOOKUP(B48, Currency!A:B, 2, FALSE)</f>
        <v>USD</v>
      </c>
      <c r="AJ48">
        <f t="shared" si="8"/>
        <v>5</v>
      </c>
      <c r="AK48">
        <f t="shared" si="13"/>
        <v>5</v>
      </c>
      <c r="AL48" t="str">
        <f t="shared" si="9"/>
        <v>May</v>
      </c>
      <c r="AM48">
        <f t="shared" si="14"/>
        <v>2023</v>
      </c>
      <c r="AN48" t="str">
        <f t="shared" si="10"/>
        <v>30Sappi Paper Holdings GMBH</v>
      </c>
      <c r="AO48">
        <f>IF(COUNTIF($AN$2:AN48, AN48)=1, 1, 0)</f>
        <v>0</v>
      </c>
      <c r="AP48" t="str">
        <f t="shared" si="15"/>
        <v>&gt;3</v>
      </c>
      <c r="AQ48" t="str">
        <f t="shared" si="16"/>
        <v>&gt;3</v>
      </c>
      <c r="AR48" t="str">
        <f t="shared" si="17"/>
        <v>&gt;3</v>
      </c>
    </row>
    <row r="49" spans="1:44" x14ac:dyDescent="0.3">
      <c r="A49" t="s">
        <v>33</v>
      </c>
      <c r="B49" t="s">
        <v>147</v>
      </c>
      <c r="C49" t="s">
        <v>45</v>
      </c>
      <c r="D49">
        <v>2484</v>
      </c>
      <c r="E49">
        <v>23120048</v>
      </c>
      <c r="F49" t="s">
        <v>148</v>
      </c>
      <c r="G49" t="s">
        <v>149</v>
      </c>
      <c r="H49">
        <v>1500</v>
      </c>
      <c r="I49">
        <v>225</v>
      </c>
      <c r="J49">
        <v>337500</v>
      </c>
      <c r="K49" s="7" t="str">
        <f>IFERROR(IF(B49&lt;&gt;"", TEXT(VLOOKUP(B49, 'Expected Date'!A:B, 2, FALSE) + DATE(RIGHT(C49,2),MID(C49,4,2),LEFT(C49,2)), "dd/mm/yy"), ""), "")</f>
        <v>27/06/23</v>
      </c>
      <c r="L49" t="s">
        <v>38</v>
      </c>
      <c r="M49" t="s">
        <v>39</v>
      </c>
      <c r="N49" t="s">
        <v>49</v>
      </c>
      <c r="O49" t="s">
        <v>60</v>
      </c>
      <c r="P49">
        <v>23190502</v>
      </c>
      <c r="Q49" t="s">
        <v>148</v>
      </c>
      <c r="R49" t="s">
        <v>149</v>
      </c>
      <c r="S49">
        <v>555</v>
      </c>
      <c r="T49">
        <v>225</v>
      </c>
      <c r="U49">
        <v>124875</v>
      </c>
      <c r="V49" t="str">
        <f t="shared" si="11"/>
        <v>Accepted</v>
      </c>
      <c r="W49">
        <f>IFERROR(VLOOKUP(N49, Payment_Terms!A:B, 2, FALSE), "Payment term not found!")</f>
        <v>30</v>
      </c>
      <c r="X49" t="str">
        <f>IFERROR(VLOOKUP(R49, Item_Category!A:B, 2, FALSE), "Uncategorized")</f>
        <v>Fibre drum</v>
      </c>
      <c r="Y49" s="5">
        <f t="shared" si="12"/>
        <v>0</v>
      </c>
      <c r="Z49">
        <f t="shared" si="0"/>
        <v>5</v>
      </c>
      <c r="AA49">
        <f t="shared" si="1"/>
        <v>-1</v>
      </c>
      <c r="AB49">
        <f t="shared" si="2"/>
        <v>5</v>
      </c>
      <c r="AC49" s="10">
        <f t="shared" si="3"/>
        <v>9</v>
      </c>
      <c r="AD49" s="5">
        <f t="shared" si="4"/>
        <v>1</v>
      </c>
      <c r="AE49" s="5">
        <f t="shared" si="5"/>
        <v>1</v>
      </c>
      <c r="AF49" s="5">
        <f t="shared" si="6"/>
        <v>0</v>
      </c>
      <c r="AG49">
        <f>IF(B49&lt;&gt;"", COUNTIFS($B$2:B49, B49), "")</f>
        <v>1</v>
      </c>
      <c r="AH49">
        <f t="shared" si="7"/>
        <v>5</v>
      </c>
      <c r="AI49" t="str">
        <f>VLOOKUP(B49, Currency!A:B, 2, FALSE)</f>
        <v>INR</v>
      </c>
      <c r="AJ49">
        <f t="shared" si="8"/>
        <v>5</v>
      </c>
      <c r="AK49">
        <f t="shared" si="13"/>
        <v>6</v>
      </c>
      <c r="AL49" t="str">
        <f t="shared" si="9"/>
        <v>June</v>
      </c>
      <c r="AM49">
        <f t="shared" si="14"/>
        <v>2023</v>
      </c>
      <c r="AN49" t="str">
        <f t="shared" si="10"/>
        <v>30Navodaya Packing Industries</v>
      </c>
      <c r="AO49">
        <f>IF(COUNTIF($AN$2:AN49, AN49)=1, 1, 0)</f>
        <v>1</v>
      </c>
      <c r="AP49" t="str">
        <f t="shared" si="15"/>
        <v>&gt;3</v>
      </c>
      <c r="AQ49" t="str">
        <f t="shared" si="16"/>
        <v>&gt;3</v>
      </c>
      <c r="AR49" t="str">
        <f t="shared" si="17"/>
        <v>&gt;3</v>
      </c>
    </row>
    <row r="50" spans="1:44" x14ac:dyDescent="0.3">
      <c r="A50" t="s">
        <v>33</v>
      </c>
      <c r="B50" t="s">
        <v>150</v>
      </c>
      <c r="C50" t="s">
        <v>151</v>
      </c>
      <c r="D50">
        <v>4381</v>
      </c>
      <c r="E50">
        <v>23120122</v>
      </c>
      <c r="F50" t="s">
        <v>152</v>
      </c>
      <c r="G50" t="s">
        <v>54</v>
      </c>
      <c r="H50">
        <v>200</v>
      </c>
      <c r="I50">
        <v>7900</v>
      </c>
      <c r="J50">
        <v>1580000</v>
      </c>
      <c r="K50" s="7" t="str">
        <f>IFERROR(IF(B50&lt;&gt;"", TEXT(VLOOKUP(B50, 'Expected Date'!A:B, 2, FALSE) + DATE(RIGHT(C50,2),MID(C50,4,2),LEFT(C50,2)), "dd/mm/yy"), ""), "")</f>
        <v>24/09/23</v>
      </c>
      <c r="L50" t="s">
        <v>38</v>
      </c>
      <c r="M50" t="s">
        <v>48</v>
      </c>
      <c r="N50" t="s">
        <v>155</v>
      </c>
      <c r="O50" t="s">
        <v>156</v>
      </c>
      <c r="P50">
        <v>23191109</v>
      </c>
      <c r="Q50" t="s">
        <v>152</v>
      </c>
      <c r="R50" t="s">
        <v>153</v>
      </c>
      <c r="S50">
        <v>30.86</v>
      </c>
      <c r="T50">
        <v>7900</v>
      </c>
      <c r="U50">
        <v>243794</v>
      </c>
      <c r="V50" t="str">
        <f t="shared" si="11"/>
        <v>Accepted</v>
      </c>
      <c r="W50">
        <f>IFERROR(VLOOKUP(N50, Payment_Terms!A:B, 2, FALSE), "Payment term not found!")</f>
        <v>30</v>
      </c>
      <c r="X50" t="str">
        <f>IFERROR(VLOOKUP(R50, Item_Category!A:B, 2, FALSE), "Uncategorized")</f>
        <v>Coal materials</v>
      </c>
      <c r="Y50" s="5">
        <f t="shared" si="12"/>
        <v>0</v>
      </c>
      <c r="Z50">
        <f t="shared" si="0"/>
        <v>5</v>
      </c>
      <c r="AA50">
        <f t="shared" si="1"/>
        <v>-6</v>
      </c>
      <c r="AB50">
        <f t="shared" si="2"/>
        <v>5</v>
      </c>
      <c r="AC50" s="10">
        <f t="shared" si="3"/>
        <v>4</v>
      </c>
      <c r="AD50" s="5">
        <f t="shared" si="4"/>
        <v>1</v>
      </c>
      <c r="AE50" s="5">
        <f t="shared" si="5"/>
        <v>1</v>
      </c>
      <c r="AF50" s="5">
        <f t="shared" si="6"/>
        <v>0</v>
      </c>
      <c r="AG50">
        <f>IF(B50&lt;&gt;"", COUNTIFS($B$2:B50, B50), "")</f>
        <v>1</v>
      </c>
      <c r="AH50">
        <f t="shared" si="7"/>
        <v>5</v>
      </c>
      <c r="AI50" t="str">
        <f>VLOOKUP(B50, Currency!A:B, 2, FALSE)</f>
        <v>INR</v>
      </c>
      <c r="AJ50">
        <f t="shared" si="8"/>
        <v>5</v>
      </c>
      <c r="AK50">
        <f t="shared" si="13"/>
        <v>9</v>
      </c>
      <c r="AL50" t="str">
        <f t="shared" si="9"/>
        <v>September</v>
      </c>
      <c r="AM50">
        <f t="shared" si="14"/>
        <v>2023</v>
      </c>
      <c r="AN50" t="str">
        <f t="shared" si="10"/>
        <v>30Venkatadurga Enterprises</v>
      </c>
      <c r="AO50">
        <f>IF(COUNTIF($AN$2:AN50, AN50)=1, 1, 0)</f>
        <v>1</v>
      </c>
      <c r="AP50" t="str">
        <f t="shared" si="15"/>
        <v>&gt;3</v>
      </c>
      <c r="AQ50" t="str">
        <f t="shared" si="16"/>
        <v>&gt;3</v>
      </c>
      <c r="AR50" t="str">
        <f t="shared" si="17"/>
        <v>&gt;3</v>
      </c>
    </row>
    <row r="51" spans="1:44" x14ac:dyDescent="0.3">
      <c r="A51" t="s">
        <v>33</v>
      </c>
      <c r="B51" t="s">
        <v>157</v>
      </c>
      <c r="C51" t="s">
        <v>35</v>
      </c>
      <c r="D51">
        <v>2111</v>
      </c>
      <c r="E51">
        <v>23120032</v>
      </c>
      <c r="F51" t="s">
        <v>158</v>
      </c>
      <c r="G51" t="s">
        <v>159</v>
      </c>
      <c r="H51">
        <v>2000</v>
      </c>
      <c r="I51">
        <v>265</v>
      </c>
      <c r="J51">
        <v>530000</v>
      </c>
      <c r="K51" s="7" t="str">
        <f>IFERROR(IF(B51&lt;&gt;"", TEXT(VLOOKUP(B51, 'Expected Date'!A:B, 2, FALSE) + DATE(RIGHT(C51,2),MID(C51,4,2),LEFT(C51,2)), "dd/mm/yy"), ""), "")</f>
        <v>07/05/23</v>
      </c>
      <c r="L51" t="s">
        <v>38</v>
      </c>
      <c r="M51" t="s">
        <v>48</v>
      </c>
      <c r="N51" t="s">
        <v>132</v>
      </c>
      <c r="O51" t="s">
        <v>161</v>
      </c>
      <c r="P51">
        <v>23190401</v>
      </c>
      <c r="Q51" t="s">
        <v>158</v>
      </c>
      <c r="R51" t="s">
        <v>159</v>
      </c>
      <c r="S51">
        <v>2000</v>
      </c>
      <c r="T51">
        <v>265</v>
      </c>
      <c r="U51">
        <v>530000</v>
      </c>
      <c r="V51" t="str">
        <f t="shared" si="11"/>
        <v>Accepted</v>
      </c>
      <c r="W51">
        <f>IFERROR(VLOOKUP(N51, Payment_Terms!A:B, 2, FALSE), "Payment term not found!")</f>
        <v>0</v>
      </c>
      <c r="X51" t="str">
        <f>IFERROR(VLOOKUP(R51, Item_Category!A:B, 2, FALSE), "Uncategorized")</f>
        <v>Sodium salts</v>
      </c>
      <c r="Y51" s="5">
        <f t="shared" si="12"/>
        <v>0</v>
      </c>
      <c r="Z51">
        <f t="shared" si="0"/>
        <v>5</v>
      </c>
      <c r="AA51">
        <f t="shared" si="1"/>
        <v>27</v>
      </c>
      <c r="AB51">
        <f t="shared" si="2"/>
        <v>1</v>
      </c>
      <c r="AC51" s="10">
        <f t="shared" si="3"/>
        <v>37</v>
      </c>
      <c r="AD51" s="5">
        <f t="shared" si="4"/>
        <v>1</v>
      </c>
      <c r="AE51" s="5">
        <f t="shared" si="5"/>
        <v>1</v>
      </c>
      <c r="AF51" s="5">
        <f t="shared" si="6"/>
        <v>0</v>
      </c>
      <c r="AG51">
        <f>IF(B51&lt;&gt;"", COUNTIFS($B$2:B51, B51), "")</f>
        <v>1</v>
      </c>
      <c r="AH51">
        <f t="shared" si="7"/>
        <v>5</v>
      </c>
      <c r="AI51" t="str">
        <f>VLOOKUP(B51, Currency!A:B, 2, FALSE)</f>
        <v>INR</v>
      </c>
      <c r="AJ51">
        <f t="shared" si="8"/>
        <v>4</v>
      </c>
      <c r="AK51">
        <f t="shared" si="13"/>
        <v>4</v>
      </c>
      <c r="AL51" t="str">
        <f t="shared" si="9"/>
        <v>April</v>
      </c>
      <c r="AM51">
        <f t="shared" si="14"/>
        <v>2023</v>
      </c>
      <c r="AN51" t="str">
        <f t="shared" si="10"/>
        <v>0ZED CHEM PVT LTD</v>
      </c>
      <c r="AO51">
        <f>IF(COUNTIF($AN$2:AN51, AN51)=1, 1, 0)</f>
        <v>1</v>
      </c>
      <c r="AP51" t="str">
        <f t="shared" si="15"/>
        <v>&gt;3</v>
      </c>
      <c r="AQ51" t="str">
        <f t="shared" si="16"/>
        <v>&gt;3</v>
      </c>
      <c r="AR51" t="str">
        <f t="shared" si="17"/>
        <v>&lt;=3</v>
      </c>
    </row>
    <row r="52" spans="1:44" x14ac:dyDescent="0.3">
      <c r="A52" t="s">
        <v>33</v>
      </c>
      <c r="B52" t="s">
        <v>51</v>
      </c>
      <c r="C52" t="s">
        <v>88</v>
      </c>
      <c r="D52">
        <v>2839</v>
      </c>
      <c r="E52">
        <v>23120080</v>
      </c>
      <c r="F52" t="s">
        <v>53</v>
      </c>
      <c r="G52" t="s">
        <v>54</v>
      </c>
      <c r="H52">
        <v>82.13</v>
      </c>
      <c r="I52">
        <v>7412.17</v>
      </c>
      <c r="J52">
        <v>608761.52</v>
      </c>
      <c r="K52" s="7" t="str">
        <f>IFERROR(IF(B52&lt;&gt;"", TEXT(VLOOKUP(B52, 'Expected Date'!A:B, 2, FALSE) + DATE(RIGHT(C52,2),MID(C52,4,2),LEFT(C52,2)), "dd/mm/yy"), ""), "")</f>
        <v>24/07/23</v>
      </c>
      <c r="L52" t="s">
        <v>38</v>
      </c>
      <c r="M52" t="s">
        <v>48</v>
      </c>
      <c r="N52" t="s">
        <v>55</v>
      </c>
      <c r="O52" t="s">
        <v>162</v>
      </c>
      <c r="P52">
        <v>23190579</v>
      </c>
      <c r="Q52" t="s">
        <v>53</v>
      </c>
      <c r="R52" t="s">
        <v>54</v>
      </c>
      <c r="S52">
        <v>25.75</v>
      </c>
      <c r="T52">
        <v>7412.17</v>
      </c>
      <c r="U52">
        <v>190863.38</v>
      </c>
      <c r="V52" t="str">
        <f t="shared" si="11"/>
        <v>Accepted</v>
      </c>
      <c r="W52">
        <f>IFERROR(VLOOKUP(N52, Payment_Terms!A:B, 2, FALSE), "Payment term not found!")</f>
        <v>0</v>
      </c>
      <c r="X52" t="str">
        <f>IFERROR(VLOOKUP(R52, Item_Category!A:B, 2, FALSE), "Uncategorized")</f>
        <v>Coal materials</v>
      </c>
      <c r="Y52" s="5">
        <f t="shared" si="12"/>
        <v>0</v>
      </c>
      <c r="Z52">
        <f t="shared" si="0"/>
        <v>5</v>
      </c>
      <c r="AA52">
        <f t="shared" si="1"/>
        <v>-25</v>
      </c>
      <c r="AB52">
        <f t="shared" si="2"/>
        <v>5</v>
      </c>
      <c r="AC52" s="10">
        <f t="shared" si="3"/>
        <v>5</v>
      </c>
      <c r="AD52" s="5">
        <f t="shared" si="4"/>
        <v>1</v>
      </c>
      <c r="AE52" s="5">
        <f t="shared" si="5"/>
        <v>1</v>
      </c>
      <c r="AF52" s="5">
        <f t="shared" si="6"/>
        <v>0</v>
      </c>
      <c r="AG52">
        <f>IF(B52&lt;&gt;"", COUNTIFS($B$2:B52, B52), "")</f>
        <v>27</v>
      </c>
      <c r="AH52">
        <f t="shared" si="7"/>
        <v>5</v>
      </c>
      <c r="AI52" t="str">
        <f>VLOOKUP(B52, Currency!A:B, 2, FALSE)</f>
        <v>INR</v>
      </c>
      <c r="AJ52">
        <f t="shared" si="8"/>
        <v>5</v>
      </c>
      <c r="AK52">
        <f t="shared" si="13"/>
        <v>7</v>
      </c>
      <c r="AL52" t="str">
        <f t="shared" si="9"/>
        <v>July</v>
      </c>
      <c r="AM52">
        <f t="shared" si="14"/>
        <v>2023</v>
      </c>
      <c r="AN52" t="str">
        <f t="shared" si="10"/>
        <v>0The Singareni Collieries Company Ltd</v>
      </c>
      <c r="AO52">
        <f>IF(COUNTIF($AN$2:AN52, AN52)=1, 1, 0)</f>
        <v>0</v>
      </c>
      <c r="AP52" t="str">
        <f t="shared" si="15"/>
        <v>&gt;3</v>
      </c>
      <c r="AQ52" t="str">
        <f t="shared" si="16"/>
        <v>&gt;3</v>
      </c>
      <c r="AR52" t="str">
        <f t="shared" si="17"/>
        <v>&gt;3</v>
      </c>
    </row>
    <row r="53" spans="1:44" x14ac:dyDescent="0.3">
      <c r="A53" t="s">
        <v>33</v>
      </c>
      <c r="B53" t="s">
        <v>51</v>
      </c>
      <c r="C53" t="s">
        <v>88</v>
      </c>
      <c r="D53">
        <v>2839</v>
      </c>
      <c r="E53">
        <v>23120080</v>
      </c>
      <c r="F53" t="s">
        <v>53</v>
      </c>
      <c r="G53" t="s">
        <v>54</v>
      </c>
      <c r="H53">
        <v>82.13</v>
      </c>
      <c r="I53">
        <v>7412.17</v>
      </c>
      <c r="J53">
        <v>608761.52</v>
      </c>
      <c r="K53" s="7" t="str">
        <f>IFERROR(IF(B53&lt;&gt;"", TEXT(VLOOKUP(B53, 'Expected Date'!A:B, 2, FALSE) + DATE(RIGHT(C53,2),MID(C53,4,2),LEFT(C53,2)), "dd/mm/yy"), ""), "")</f>
        <v>24/07/23</v>
      </c>
      <c r="L53" t="s">
        <v>38</v>
      </c>
      <c r="M53" t="s">
        <v>48</v>
      </c>
      <c r="N53" t="s">
        <v>55</v>
      </c>
      <c r="O53" t="s">
        <v>162</v>
      </c>
      <c r="P53">
        <v>23190580</v>
      </c>
      <c r="Q53" t="s">
        <v>53</v>
      </c>
      <c r="R53" t="s">
        <v>54</v>
      </c>
      <c r="S53">
        <v>25.98</v>
      </c>
      <c r="T53">
        <v>7412.17</v>
      </c>
      <c r="U53">
        <v>192568.18</v>
      </c>
      <c r="V53" t="str">
        <f t="shared" si="11"/>
        <v>Accepted</v>
      </c>
      <c r="W53">
        <f>IFERROR(VLOOKUP(N53, Payment_Terms!A:B, 2, FALSE), "Payment term not found!")</f>
        <v>0</v>
      </c>
      <c r="X53" t="str">
        <f>IFERROR(VLOOKUP(R53, Item_Category!A:B, 2, FALSE), "Uncategorized")</f>
        <v>Coal materials</v>
      </c>
      <c r="Y53" s="5">
        <f t="shared" si="12"/>
        <v>0</v>
      </c>
      <c r="Z53">
        <f t="shared" si="0"/>
        <v>5</v>
      </c>
      <c r="AA53">
        <f t="shared" si="1"/>
        <v>-25</v>
      </c>
      <c r="AB53">
        <f t="shared" si="2"/>
        <v>5</v>
      </c>
      <c r="AC53" s="10">
        <f t="shared" si="3"/>
        <v>5</v>
      </c>
      <c r="AD53" s="5">
        <f t="shared" si="4"/>
        <v>1</v>
      </c>
      <c r="AE53" s="5">
        <f t="shared" si="5"/>
        <v>1</v>
      </c>
      <c r="AF53" s="5">
        <f t="shared" si="6"/>
        <v>0</v>
      </c>
      <c r="AG53">
        <f>IF(B53&lt;&gt;"", COUNTIFS($B$2:B53, B53), "")</f>
        <v>28</v>
      </c>
      <c r="AH53">
        <f t="shared" si="7"/>
        <v>5</v>
      </c>
      <c r="AI53" t="str">
        <f>VLOOKUP(B53, Currency!A:B, 2, FALSE)</f>
        <v>INR</v>
      </c>
      <c r="AJ53">
        <f t="shared" si="8"/>
        <v>5</v>
      </c>
      <c r="AK53">
        <f t="shared" si="13"/>
        <v>7</v>
      </c>
      <c r="AL53" t="str">
        <f t="shared" si="9"/>
        <v>July</v>
      </c>
      <c r="AM53">
        <f t="shared" si="14"/>
        <v>2023</v>
      </c>
      <c r="AN53" t="str">
        <f t="shared" si="10"/>
        <v>0The Singareni Collieries Company Ltd</v>
      </c>
      <c r="AO53">
        <f>IF(COUNTIF($AN$2:AN53, AN53)=1, 1, 0)</f>
        <v>0</v>
      </c>
      <c r="AP53" t="str">
        <f t="shared" si="15"/>
        <v>&gt;3</v>
      </c>
      <c r="AQ53" t="str">
        <f t="shared" si="16"/>
        <v>&gt;3</v>
      </c>
      <c r="AR53" t="str">
        <f t="shared" si="17"/>
        <v>&gt;3</v>
      </c>
    </row>
    <row r="54" spans="1:44" x14ac:dyDescent="0.3">
      <c r="A54" t="s">
        <v>33</v>
      </c>
      <c r="B54" t="s">
        <v>79</v>
      </c>
      <c r="C54" t="s">
        <v>163</v>
      </c>
      <c r="D54">
        <v>4112</v>
      </c>
      <c r="E54">
        <v>23120113</v>
      </c>
      <c r="F54" t="s">
        <v>81</v>
      </c>
      <c r="G54" t="s">
        <v>82</v>
      </c>
      <c r="H54">
        <v>21000</v>
      </c>
      <c r="I54">
        <v>1.9</v>
      </c>
      <c r="J54">
        <v>39900</v>
      </c>
      <c r="K54" s="7" t="str">
        <f>IFERROR(IF(B54&lt;&gt;"", TEXT(VLOOKUP(B54, 'Expected Date'!A:B, 2, FALSE) + DATE(RIGHT(C54,2),MID(C54,4,2),LEFT(C54,2)), "dd/mm/yy"), ""), "")</f>
        <v>19/09/23</v>
      </c>
      <c r="L54" t="s">
        <v>38</v>
      </c>
      <c r="M54" t="s">
        <v>48</v>
      </c>
      <c r="N54" t="s">
        <v>83</v>
      </c>
      <c r="O54" t="s">
        <v>164</v>
      </c>
      <c r="P54">
        <v>23191044</v>
      </c>
      <c r="Q54" t="s">
        <v>81</v>
      </c>
      <c r="R54" t="s">
        <v>82</v>
      </c>
      <c r="S54">
        <v>28380</v>
      </c>
      <c r="T54">
        <v>1.9</v>
      </c>
      <c r="U54">
        <v>53922</v>
      </c>
      <c r="V54" t="str">
        <f t="shared" si="11"/>
        <v>Accepted</v>
      </c>
      <c r="W54">
        <f>IFERROR(VLOOKUP(N54, Payment_Terms!A:B, 2, FALSE), "Payment term not found!")</f>
        <v>0</v>
      </c>
      <c r="X54" t="str">
        <f>IFERROR(VLOOKUP(R54, Item_Category!A:B, 2, FALSE), "Uncategorized")</f>
        <v>HCL</v>
      </c>
      <c r="Y54" s="5">
        <f t="shared" si="12"/>
        <v>0</v>
      </c>
      <c r="Z54">
        <f t="shared" si="0"/>
        <v>5</v>
      </c>
      <c r="AA54">
        <f t="shared" si="1"/>
        <v>-11</v>
      </c>
      <c r="AB54">
        <f t="shared" si="2"/>
        <v>5</v>
      </c>
      <c r="AC54" s="10">
        <f t="shared" si="3"/>
        <v>9</v>
      </c>
      <c r="AD54" s="5">
        <f t="shared" si="4"/>
        <v>1</v>
      </c>
      <c r="AE54" s="5">
        <f t="shared" si="5"/>
        <v>1</v>
      </c>
      <c r="AF54" s="5">
        <f t="shared" si="6"/>
        <v>0</v>
      </c>
      <c r="AG54">
        <f>IF(B54&lt;&gt;"", COUNTIFS($B$2:B54, B54), "")</f>
        <v>3</v>
      </c>
      <c r="AH54">
        <f t="shared" si="7"/>
        <v>5</v>
      </c>
      <c r="AI54" t="str">
        <f>VLOOKUP(B54, Currency!A:B, 2, FALSE)</f>
        <v>INR</v>
      </c>
      <c r="AJ54">
        <f t="shared" si="8"/>
        <v>5</v>
      </c>
      <c r="AK54">
        <f t="shared" si="13"/>
        <v>8</v>
      </c>
      <c r="AL54" t="str">
        <f t="shared" si="9"/>
        <v>August</v>
      </c>
      <c r="AM54">
        <f t="shared" si="14"/>
        <v>2023</v>
      </c>
      <c r="AN54" t="str">
        <f t="shared" si="10"/>
        <v>0R L Chloro Sales Pvt Ltd</v>
      </c>
      <c r="AO54">
        <f>IF(COUNTIF($AN$2:AN54, AN54)=1, 1, 0)</f>
        <v>0</v>
      </c>
      <c r="AP54" t="str">
        <f t="shared" si="15"/>
        <v>&gt;3</v>
      </c>
      <c r="AQ54" t="str">
        <f t="shared" si="16"/>
        <v>&gt;3</v>
      </c>
      <c r="AR54" t="str">
        <f t="shared" si="17"/>
        <v>&gt;3</v>
      </c>
    </row>
    <row r="55" spans="1:44" x14ac:dyDescent="0.3">
      <c r="A55" t="str">
        <f>A48</f>
        <v>Woodpulp</v>
      </c>
      <c r="B55" t="s">
        <v>140</v>
      </c>
      <c r="C55" t="s">
        <v>165</v>
      </c>
      <c r="D55">
        <v>2322</v>
      </c>
      <c r="E55">
        <v>23120040</v>
      </c>
      <c r="F55" t="s">
        <v>142</v>
      </c>
      <c r="G55" t="s">
        <v>360</v>
      </c>
      <c r="H55">
        <v>125</v>
      </c>
      <c r="I55">
        <v>830</v>
      </c>
      <c r="J55">
        <v>8460812.5</v>
      </c>
      <c r="K55" s="7" t="str">
        <f>IFERROR(IF(B55&lt;&gt;"", TEXT(VLOOKUP(B55, 'Expected Date'!A:B, 2, FALSE) + DATE(RIGHT(C55,2),MID(C55,4,2),LEFT(C55,2)), "dd/mm/yy"), ""), "")</f>
        <v>22/07/23</v>
      </c>
      <c r="L55" t="s">
        <v>68</v>
      </c>
      <c r="M55" t="str">
        <f>M47</f>
        <v>MT</v>
      </c>
      <c r="N55" t="s">
        <v>144</v>
      </c>
      <c r="O55" t="s">
        <v>134</v>
      </c>
      <c r="P55">
        <v>23190399</v>
      </c>
      <c r="Q55" t="s">
        <v>142</v>
      </c>
      <c r="R55" t="s">
        <v>143</v>
      </c>
      <c r="S55">
        <v>123.845</v>
      </c>
      <c r="T55">
        <v>830</v>
      </c>
      <c r="U55">
        <v>8382634.5899999999</v>
      </c>
      <c r="V55" t="str">
        <f t="shared" si="11"/>
        <v>Accepted</v>
      </c>
      <c r="W55">
        <f>IFERROR(VLOOKUP(N55, Payment_Terms!A:B, 2, FALSE), "Payment term not found!")</f>
        <v>30</v>
      </c>
      <c r="X55" t="str">
        <f>IFERROR(VLOOKUP(R55, Item_Category!A:B, 2, FALSE), "Uncategorized")</f>
        <v>Wood pulp</v>
      </c>
      <c r="Y55" s="5">
        <f t="shared" si="12"/>
        <v>9.2400000000000086E-3</v>
      </c>
      <c r="Z55">
        <f t="shared" si="0"/>
        <v>4</v>
      </c>
      <c r="AA55">
        <f t="shared" si="1"/>
        <v>-44</v>
      </c>
      <c r="AB55">
        <f t="shared" si="2"/>
        <v>5</v>
      </c>
      <c r="AC55" s="10">
        <f t="shared" si="3"/>
        <v>1</v>
      </c>
      <c r="AD55" s="5">
        <f t="shared" si="4"/>
        <v>1</v>
      </c>
      <c r="AE55" s="5">
        <f t="shared" si="5"/>
        <v>1</v>
      </c>
      <c r="AF55" s="5">
        <f t="shared" si="6"/>
        <v>0</v>
      </c>
      <c r="AG55">
        <f>IF(B55&lt;&gt;"", COUNTIFS($B$2:B55, B55), "")</f>
        <v>3</v>
      </c>
      <c r="AH55">
        <f t="shared" si="7"/>
        <v>5</v>
      </c>
      <c r="AI55" t="str">
        <f>VLOOKUP(B55, Currency!A:B, 2, FALSE)</f>
        <v>USD</v>
      </c>
      <c r="AJ55">
        <f t="shared" si="8"/>
        <v>5</v>
      </c>
      <c r="AK55">
        <f t="shared" si="13"/>
        <v>6</v>
      </c>
      <c r="AL55" t="str">
        <f t="shared" si="9"/>
        <v>June</v>
      </c>
      <c r="AM55">
        <f t="shared" si="14"/>
        <v>2023</v>
      </c>
      <c r="AN55" t="str">
        <f t="shared" si="10"/>
        <v>30Sappi Paper Holdings GMBH</v>
      </c>
      <c r="AO55">
        <f>IF(COUNTIF($AN$2:AN55, AN55)=1, 1, 0)</f>
        <v>0</v>
      </c>
      <c r="AP55" t="str">
        <f t="shared" si="15"/>
        <v>&gt;3</v>
      </c>
      <c r="AQ55" t="str">
        <f t="shared" si="16"/>
        <v>&gt;3</v>
      </c>
      <c r="AR55" t="str">
        <f t="shared" si="17"/>
        <v>&gt;3</v>
      </c>
    </row>
    <row r="56" spans="1:44" x14ac:dyDescent="0.3">
      <c r="A56" t="s">
        <v>33</v>
      </c>
      <c r="B56" t="s">
        <v>79</v>
      </c>
      <c r="C56" t="s">
        <v>72</v>
      </c>
      <c r="D56">
        <v>2595</v>
      </c>
      <c r="E56">
        <v>23120060</v>
      </c>
      <c r="F56" t="s">
        <v>81</v>
      </c>
      <c r="G56" t="s">
        <v>82</v>
      </c>
      <c r="H56">
        <v>21000</v>
      </c>
      <c r="I56">
        <v>0.4</v>
      </c>
      <c r="J56">
        <v>8400</v>
      </c>
      <c r="K56" s="7" t="str">
        <f>IFERROR(IF(B56&lt;&gt;"", TEXT(VLOOKUP(B56, 'Expected Date'!A:B, 2, FALSE) + DATE(RIGHT(C56,2),MID(C56,4,2),LEFT(C56,2)), "dd/mm/yy"), ""), "")</f>
        <v>13/07/23</v>
      </c>
      <c r="L56" t="s">
        <v>38</v>
      </c>
      <c r="M56" t="s">
        <v>48</v>
      </c>
      <c r="N56" t="s">
        <v>83</v>
      </c>
      <c r="O56" t="s">
        <v>117</v>
      </c>
      <c r="P56">
        <v>23190591</v>
      </c>
      <c r="Q56" t="s">
        <v>81</v>
      </c>
      <c r="R56" t="s">
        <v>82</v>
      </c>
      <c r="S56">
        <v>22350</v>
      </c>
      <c r="T56">
        <v>0.4</v>
      </c>
      <c r="U56">
        <v>8940</v>
      </c>
      <c r="V56" t="str">
        <f t="shared" si="11"/>
        <v>Accepted</v>
      </c>
      <c r="W56">
        <f>IFERROR(VLOOKUP(N56, Payment_Terms!A:B, 2, FALSE), "Payment term not found!")</f>
        <v>0</v>
      </c>
      <c r="X56" t="str">
        <f>IFERROR(VLOOKUP(R56, Item_Category!A:B, 2, FALSE), "Uncategorized")</f>
        <v>HCL</v>
      </c>
      <c r="Y56" s="5">
        <f t="shared" si="12"/>
        <v>0</v>
      </c>
      <c r="Z56">
        <f t="shared" si="0"/>
        <v>5</v>
      </c>
      <c r="AA56">
        <f t="shared" si="1"/>
        <v>-6</v>
      </c>
      <c r="AB56">
        <f t="shared" si="2"/>
        <v>5</v>
      </c>
      <c r="AC56" s="10">
        <f t="shared" si="3"/>
        <v>14</v>
      </c>
      <c r="AD56" s="5">
        <f t="shared" si="4"/>
        <v>1</v>
      </c>
      <c r="AE56" s="5">
        <f t="shared" si="5"/>
        <v>1</v>
      </c>
      <c r="AF56" s="5">
        <f t="shared" si="6"/>
        <v>0</v>
      </c>
      <c r="AG56">
        <f>IF(B56&lt;&gt;"", COUNTIFS($B$2:B56, B56), "")</f>
        <v>4</v>
      </c>
      <c r="AH56">
        <f t="shared" si="7"/>
        <v>5</v>
      </c>
      <c r="AI56" t="str">
        <f>VLOOKUP(B56, Currency!A:B, 2, FALSE)</f>
        <v>INR</v>
      </c>
      <c r="AJ56">
        <f t="shared" si="8"/>
        <v>5</v>
      </c>
      <c r="AK56">
        <f t="shared" si="13"/>
        <v>6</v>
      </c>
      <c r="AL56" t="str">
        <f t="shared" si="9"/>
        <v>June</v>
      </c>
      <c r="AM56">
        <f t="shared" si="14"/>
        <v>2023</v>
      </c>
      <c r="AN56" t="str">
        <f t="shared" si="10"/>
        <v>0R L Chloro Sales Pvt Ltd</v>
      </c>
      <c r="AO56">
        <f>IF(COUNTIF($AN$2:AN56, AN56)=1, 1, 0)</f>
        <v>0</v>
      </c>
      <c r="AP56" t="str">
        <f t="shared" si="15"/>
        <v>&gt;3</v>
      </c>
      <c r="AQ56" t="str">
        <f t="shared" si="16"/>
        <v>&gt;3</v>
      </c>
      <c r="AR56" t="str">
        <f t="shared" si="17"/>
        <v>&gt;3</v>
      </c>
    </row>
    <row r="57" spans="1:44" x14ac:dyDescent="0.3">
      <c r="A57" t="s">
        <v>33</v>
      </c>
      <c r="B57" t="s">
        <v>34</v>
      </c>
      <c r="C57" t="s">
        <v>105</v>
      </c>
      <c r="D57">
        <v>4032</v>
      </c>
      <c r="E57">
        <v>23120110</v>
      </c>
      <c r="F57" t="s">
        <v>166</v>
      </c>
      <c r="G57" t="s">
        <v>167</v>
      </c>
      <c r="H57">
        <v>2000</v>
      </c>
      <c r="I57">
        <v>33.75</v>
      </c>
      <c r="J57">
        <v>67500</v>
      </c>
      <c r="K57" s="7" t="str">
        <f>IFERROR(IF(B57&lt;&gt;"", TEXT(VLOOKUP(B57, 'Expected Date'!A:B, 2, FALSE) + DATE(RIGHT(C57,2),MID(C57,4,2),LEFT(C57,2)), "dd/mm/yy"), ""), "")</f>
        <v>04/09/23</v>
      </c>
      <c r="L57" t="s">
        <v>38</v>
      </c>
      <c r="M57" t="s">
        <v>39</v>
      </c>
      <c r="N57" t="s">
        <v>40</v>
      </c>
      <c r="O57" t="s">
        <v>106</v>
      </c>
      <c r="P57">
        <v>23191045</v>
      </c>
      <c r="Q57" t="s">
        <v>166</v>
      </c>
      <c r="R57" t="s">
        <v>167</v>
      </c>
      <c r="S57">
        <v>2047</v>
      </c>
      <c r="T57">
        <v>33.75</v>
      </c>
      <c r="U57">
        <v>69086.25</v>
      </c>
      <c r="V57" t="str">
        <f t="shared" si="11"/>
        <v>Accepted</v>
      </c>
      <c r="W57">
        <f>IFERROR(VLOOKUP(N57, Payment_Terms!A:B, 2, FALSE), "Payment term not found!")</f>
        <v>30</v>
      </c>
      <c r="X57" t="str">
        <f>IFERROR(VLOOKUP(R57, Item_Category!A:B, 2, FALSE), "Uncategorized")</f>
        <v>Bags</v>
      </c>
      <c r="Y57" s="5">
        <f t="shared" si="12"/>
        <v>0</v>
      </c>
      <c r="Z57">
        <f t="shared" si="0"/>
        <v>5</v>
      </c>
      <c r="AA57">
        <f t="shared" si="1"/>
        <v>5</v>
      </c>
      <c r="AB57">
        <f t="shared" si="2"/>
        <v>3</v>
      </c>
      <c r="AC57" s="10">
        <f t="shared" si="3"/>
        <v>15</v>
      </c>
      <c r="AD57" s="5">
        <f t="shared" si="4"/>
        <v>1</v>
      </c>
      <c r="AE57" s="5">
        <f t="shared" si="5"/>
        <v>1</v>
      </c>
      <c r="AF57" s="5">
        <f t="shared" si="6"/>
        <v>0</v>
      </c>
      <c r="AG57">
        <f>IF(B57&lt;&gt;"", COUNTIFS($B$2:B57, B57), "")</f>
        <v>5</v>
      </c>
      <c r="AH57">
        <f t="shared" si="7"/>
        <v>5</v>
      </c>
      <c r="AI57" t="str">
        <f>VLOOKUP(B57, Currency!A:B, 2, FALSE)</f>
        <v>INR</v>
      </c>
      <c r="AJ57">
        <f t="shared" si="8"/>
        <v>5</v>
      </c>
      <c r="AK57">
        <f t="shared" si="13"/>
        <v>8</v>
      </c>
      <c r="AL57" t="str">
        <f t="shared" si="9"/>
        <v>August</v>
      </c>
      <c r="AM57">
        <f t="shared" si="14"/>
        <v>2023</v>
      </c>
      <c r="AN57" t="str">
        <f t="shared" si="10"/>
        <v>30Ami Enterprises</v>
      </c>
      <c r="AO57">
        <f>IF(COUNTIF($AN$2:AN57, AN57)=1, 1, 0)</f>
        <v>0</v>
      </c>
      <c r="AP57" t="str">
        <f t="shared" si="15"/>
        <v>&gt;3</v>
      </c>
      <c r="AQ57" t="str">
        <f t="shared" si="16"/>
        <v>&gt;3</v>
      </c>
      <c r="AR57" t="str">
        <f t="shared" si="17"/>
        <v>&lt;=3</v>
      </c>
    </row>
    <row r="58" spans="1:44" x14ac:dyDescent="0.3">
      <c r="A58" t="s">
        <v>33</v>
      </c>
      <c r="B58" t="s">
        <v>73</v>
      </c>
      <c r="C58" t="s">
        <v>97</v>
      </c>
      <c r="D58">
        <v>1219</v>
      </c>
      <c r="E58">
        <v>23120001</v>
      </c>
      <c r="F58" t="s">
        <v>75</v>
      </c>
      <c r="G58" t="s">
        <v>76</v>
      </c>
      <c r="H58">
        <v>1200</v>
      </c>
      <c r="I58">
        <v>1000</v>
      </c>
      <c r="J58">
        <v>1200000</v>
      </c>
      <c r="K58" s="7" t="str">
        <f>IFERROR(IF(B58&lt;&gt;"", TEXT(VLOOKUP(B58, 'Expected Date'!A:B, 2, FALSE) + DATE(RIGHT(C58,2),MID(C58,4,2),LEFT(C58,2)), "dd/mm/yy"), ""), "")</f>
        <v>01/05/23</v>
      </c>
      <c r="L58" t="s">
        <v>38</v>
      </c>
      <c r="M58" t="s">
        <v>39</v>
      </c>
      <c r="N58" t="s">
        <v>77</v>
      </c>
      <c r="O58" t="s">
        <v>168</v>
      </c>
      <c r="P58">
        <v>23190060</v>
      </c>
      <c r="Q58" t="s">
        <v>75</v>
      </c>
      <c r="R58" t="s">
        <v>76</v>
      </c>
      <c r="S58">
        <v>400</v>
      </c>
      <c r="T58">
        <v>1000</v>
      </c>
      <c r="U58">
        <v>400000</v>
      </c>
      <c r="V58" t="str">
        <f t="shared" si="11"/>
        <v>Accepted</v>
      </c>
      <c r="W58">
        <f>IFERROR(VLOOKUP(N58, Payment_Terms!A:B, 2, FALSE), "Payment term not found!")</f>
        <v>0</v>
      </c>
      <c r="X58" t="str">
        <f>IFERROR(VLOOKUP(R58, Item_Category!A:B, 2, FALSE), "Uncategorized")</f>
        <v>Pallets</v>
      </c>
      <c r="Y58" s="5">
        <f t="shared" si="12"/>
        <v>0</v>
      </c>
      <c r="Z58">
        <f t="shared" si="0"/>
        <v>5</v>
      </c>
      <c r="AA58">
        <f t="shared" si="1"/>
        <v>-14</v>
      </c>
      <c r="AB58">
        <f t="shared" si="2"/>
        <v>5</v>
      </c>
      <c r="AC58" s="10">
        <f t="shared" si="3"/>
        <v>6</v>
      </c>
      <c r="AD58" s="5">
        <f t="shared" si="4"/>
        <v>1</v>
      </c>
      <c r="AE58" s="5">
        <f t="shared" si="5"/>
        <v>1</v>
      </c>
      <c r="AF58" s="5">
        <f t="shared" si="6"/>
        <v>0</v>
      </c>
      <c r="AG58">
        <f>IF(B58&lt;&gt;"", COUNTIFS($B$2:B58, B58), "")</f>
        <v>4</v>
      </c>
      <c r="AH58">
        <f t="shared" si="7"/>
        <v>5</v>
      </c>
      <c r="AI58" t="str">
        <f>VLOOKUP(B58, Currency!A:B, 2, FALSE)</f>
        <v>INR</v>
      </c>
      <c r="AJ58">
        <f t="shared" si="8"/>
        <v>5</v>
      </c>
      <c r="AK58">
        <f t="shared" si="13"/>
        <v>4</v>
      </c>
      <c r="AL58" t="str">
        <f t="shared" si="9"/>
        <v>April</v>
      </c>
      <c r="AM58">
        <f t="shared" si="14"/>
        <v>2023</v>
      </c>
      <c r="AN58" t="str">
        <f t="shared" si="10"/>
        <v>0Nilkamal Limited</v>
      </c>
      <c r="AO58">
        <f>IF(COUNTIF($AN$2:AN58, AN58)=1, 1, 0)</f>
        <v>0</v>
      </c>
      <c r="AP58" t="str">
        <f t="shared" si="15"/>
        <v>&gt;3</v>
      </c>
      <c r="AQ58" t="str">
        <f t="shared" si="16"/>
        <v>&gt;3</v>
      </c>
      <c r="AR58" t="str">
        <f t="shared" si="17"/>
        <v>&gt;3</v>
      </c>
    </row>
    <row r="59" spans="1:44" x14ac:dyDescent="0.3">
      <c r="A59" t="str">
        <f>A55</f>
        <v>Woodpulp</v>
      </c>
      <c r="B59" t="s">
        <v>140</v>
      </c>
      <c r="C59" t="s">
        <v>168</v>
      </c>
      <c r="D59">
        <v>1302</v>
      </c>
      <c r="E59">
        <v>23120005</v>
      </c>
      <c r="F59" t="s">
        <v>142</v>
      </c>
      <c r="G59" t="s">
        <v>360</v>
      </c>
      <c r="H59">
        <v>100</v>
      </c>
      <c r="I59">
        <v>830</v>
      </c>
      <c r="J59">
        <v>83000</v>
      </c>
      <c r="K59" s="7" t="str">
        <f>IFERROR(IF(B59&lt;&gt;"", TEXT(VLOOKUP(B59, 'Expected Date'!A:B, 2, FALSE) + DATE(RIGHT(C59,2),MID(C59,4,2),LEFT(C59,2)), "dd/mm/yy"), ""), "")</f>
        <v>01/06/23</v>
      </c>
      <c r="L59" t="s">
        <v>68</v>
      </c>
      <c r="M59" t="str">
        <f>M47</f>
        <v>MT</v>
      </c>
      <c r="N59" t="s">
        <v>144</v>
      </c>
      <c r="O59" t="s">
        <v>97</v>
      </c>
      <c r="P59">
        <v>23190062</v>
      </c>
      <c r="Q59" t="s">
        <v>142</v>
      </c>
      <c r="R59" t="s">
        <v>143</v>
      </c>
      <c r="S59">
        <v>98.4</v>
      </c>
      <c r="T59">
        <v>830</v>
      </c>
      <c r="U59">
        <v>81672</v>
      </c>
      <c r="V59" t="str">
        <f t="shared" si="11"/>
        <v>Accepted</v>
      </c>
      <c r="W59">
        <f>IFERROR(VLOOKUP(N59, Payment_Terms!A:B, 2, FALSE), "Payment term not found!")</f>
        <v>30</v>
      </c>
      <c r="X59" t="str">
        <f>IFERROR(VLOOKUP(R59, Item_Category!A:B, 2, FALSE), "Uncategorized")</f>
        <v>Wood pulp</v>
      </c>
      <c r="Y59" s="5">
        <f t="shared" si="12"/>
        <v>1.5999999999999945E-2</v>
      </c>
      <c r="Z59">
        <f t="shared" si="0"/>
        <v>4</v>
      </c>
      <c r="AA59">
        <f t="shared" si="1"/>
        <v>-51</v>
      </c>
      <c r="AB59">
        <f t="shared" si="2"/>
        <v>5</v>
      </c>
      <c r="AC59" s="10">
        <f t="shared" si="3"/>
        <v>6</v>
      </c>
      <c r="AD59" s="5">
        <f t="shared" si="4"/>
        <v>1</v>
      </c>
      <c r="AE59" s="5">
        <f t="shared" si="5"/>
        <v>1</v>
      </c>
      <c r="AF59" s="5">
        <f t="shared" si="6"/>
        <v>0</v>
      </c>
      <c r="AG59">
        <f>IF(B59&lt;&gt;"", COUNTIFS($B$2:B59, B59), "")</f>
        <v>4</v>
      </c>
      <c r="AH59">
        <f t="shared" si="7"/>
        <v>5</v>
      </c>
      <c r="AI59" t="str">
        <f>VLOOKUP(B59, Currency!A:B, 2, FALSE)</f>
        <v>USD</v>
      </c>
      <c r="AJ59">
        <f t="shared" si="8"/>
        <v>5</v>
      </c>
      <c r="AK59">
        <f t="shared" si="13"/>
        <v>4</v>
      </c>
      <c r="AL59" t="str">
        <f t="shared" si="9"/>
        <v>April</v>
      </c>
      <c r="AM59">
        <f t="shared" si="14"/>
        <v>2023</v>
      </c>
      <c r="AN59" t="str">
        <f t="shared" si="10"/>
        <v>30Sappi Paper Holdings GMBH</v>
      </c>
      <c r="AO59">
        <f>IF(COUNTIF($AN$2:AN59, AN59)=1, 1, 0)</f>
        <v>0</v>
      </c>
      <c r="AP59" t="str">
        <f t="shared" si="15"/>
        <v>&gt;3</v>
      </c>
      <c r="AQ59" t="str">
        <f t="shared" si="16"/>
        <v>&gt;3</v>
      </c>
      <c r="AR59" t="str">
        <f t="shared" si="17"/>
        <v>&gt;3</v>
      </c>
    </row>
    <row r="60" spans="1:44" x14ac:dyDescent="0.3">
      <c r="A60" t="s">
        <v>33</v>
      </c>
      <c r="B60" t="s">
        <v>73</v>
      </c>
      <c r="C60" t="s">
        <v>97</v>
      </c>
      <c r="D60">
        <v>1219</v>
      </c>
      <c r="E60">
        <v>23120001</v>
      </c>
      <c r="F60" t="s">
        <v>75</v>
      </c>
      <c r="G60" t="s">
        <v>76</v>
      </c>
      <c r="H60">
        <v>1200</v>
      </c>
      <c r="I60">
        <v>1000</v>
      </c>
      <c r="J60">
        <v>1200000</v>
      </c>
      <c r="K60" s="7" t="str">
        <f>IFERROR(IF(B60&lt;&gt;"", TEXT(VLOOKUP(B60, 'Expected Date'!A:B, 2, FALSE) + DATE(RIGHT(C60,2),MID(C60,4,2),LEFT(C60,2)), "dd/mm/yy"), ""), "")</f>
        <v>01/05/23</v>
      </c>
      <c r="L60" t="s">
        <v>38</v>
      </c>
      <c r="M60" t="s">
        <v>39</v>
      </c>
      <c r="N60" t="s">
        <v>77</v>
      </c>
      <c r="O60" t="s">
        <v>65</v>
      </c>
      <c r="P60">
        <v>23190066</v>
      </c>
      <c r="Q60" t="s">
        <v>75</v>
      </c>
      <c r="R60" t="s">
        <v>76</v>
      </c>
      <c r="S60">
        <v>400</v>
      </c>
      <c r="T60">
        <v>1000</v>
      </c>
      <c r="U60">
        <v>400000</v>
      </c>
      <c r="V60" t="str">
        <f t="shared" si="11"/>
        <v>Accepted</v>
      </c>
      <c r="W60">
        <f>IFERROR(VLOOKUP(N60, Payment_Terms!A:B, 2, FALSE), "Payment term not found!")</f>
        <v>0</v>
      </c>
      <c r="X60" t="str">
        <f>IFERROR(VLOOKUP(R60, Item_Category!A:B, 2, FALSE), "Uncategorized")</f>
        <v>Pallets</v>
      </c>
      <c r="Y60" s="5">
        <f t="shared" si="12"/>
        <v>0</v>
      </c>
      <c r="Z60">
        <f t="shared" si="0"/>
        <v>5</v>
      </c>
      <c r="AA60">
        <f t="shared" si="1"/>
        <v>-12</v>
      </c>
      <c r="AB60">
        <f t="shared" si="2"/>
        <v>5</v>
      </c>
      <c r="AC60" s="10">
        <f t="shared" si="3"/>
        <v>8</v>
      </c>
      <c r="AD60" s="5">
        <f t="shared" si="4"/>
        <v>1</v>
      </c>
      <c r="AE60" s="5">
        <f t="shared" si="5"/>
        <v>1</v>
      </c>
      <c r="AF60" s="5">
        <f t="shared" si="6"/>
        <v>0</v>
      </c>
      <c r="AG60">
        <f>IF(B60&lt;&gt;"", COUNTIFS($B$2:B60, B60), "")</f>
        <v>5</v>
      </c>
      <c r="AH60">
        <f t="shared" si="7"/>
        <v>5</v>
      </c>
      <c r="AI60" t="str">
        <f>VLOOKUP(B60, Currency!A:B, 2, FALSE)</f>
        <v>INR</v>
      </c>
      <c r="AJ60">
        <f t="shared" si="8"/>
        <v>5</v>
      </c>
      <c r="AK60">
        <f t="shared" si="13"/>
        <v>4</v>
      </c>
      <c r="AL60" t="str">
        <f t="shared" si="9"/>
        <v>April</v>
      </c>
      <c r="AM60">
        <f t="shared" si="14"/>
        <v>2023</v>
      </c>
      <c r="AN60" t="str">
        <f t="shared" si="10"/>
        <v>0Nilkamal Limited</v>
      </c>
      <c r="AO60">
        <f>IF(COUNTIF($AN$2:AN60, AN60)=1, 1, 0)</f>
        <v>0</v>
      </c>
      <c r="AP60" t="str">
        <f t="shared" si="15"/>
        <v>&gt;3</v>
      </c>
      <c r="AQ60" t="str">
        <f t="shared" si="16"/>
        <v>&gt;3</v>
      </c>
      <c r="AR60" t="str">
        <f t="shared" si="17"/>
        <v>&gt;3</v>
      </c>
    </row>
    <row r="61" spans="1:44" x14ac:dyDescent="0.3">
      <c r="A61" t="s">
        <v>33</v>
      </c>
      <c r="B61" t="s">
        <v>64</v>
      </c>
      <c r="C61" t="s">
        <v>169</v>
      </c>
      <c r="D61">
        <v>2153</v>
      </c>
      <c r="E61">
        <v>23120034</v>
      </c>
      <c r="F61" t="s">
        <v>170</v>
      </c>
      <c r="G61" t="s">
        <v>171</v>
      </c>
      <c r="H61">
        <v>1600</v>
      </c>
      <c r="I61">
        <v>22.25</v>
      </c>
      <c r="J61">
        <v>35600</v>
      </c>
      <c r="K61" s="7" t="str">
        <f>IFERROR(IF(B61&lt;&gt;"", TEXT(VLOOKUP(B61, 'Expected Date'!A:B, 2, FALSE) + DATE(RIGHT(C61,2),MID(C61,4,2),LEFT(C61,2)), "dd/mm/yy"), ""), "")</f>
        <v>04/06/23</v>
      </c>
      <c r="L61" t="s">
        <v>38</v>
      </c>
      <c r="M61" t="s">
        <v>39</v>
      </c>
      <c r="N61" t="s">
        <v>69</v>
      </c>
      <c r="O61" t="s">
        <v>172</v>
      </c>
      <c r="P61">
        <v>23190338</v>
      </c>
      <c r="Q61" t="s">
        <v>170</v>
      </c>
      <c r="R61" t="s">
        <v>171</v>
      </c>
      <c r="S61">
        <v>1600</v>
      </c>
      <c r="T61">
        <v>22.25</v>
      </c>
      <c r="U61">
        <v>35600</v>
      </c>
      <c r="V61" t="str">
        <f t="shared" si="11"/>
        <v>Accepted</v>
      </c>
      <c r="W61">
        <f>IFERROR(VLOOKUP(N61, Payment_Terms!A:B, 2, FALSE), "Payment term not found!")</f>
        <v>30</v>
      </c>
      <c r="X61" t="str">
        <f>IFERROR(VLOOKUP(R61, Item_Category!A:B, 2, FALSE), "Uncategorized")</f>
        <v>Bags</v>
      </c>
      <c r="Y61" s="5">
        <f t="shared" si="12"/>
        <v>0</v>
      </c>
      <c r="Z61">
        <f t="shared" si="0"/>
        <v>5</v>
      </c>
      <c r="AA61">
        <f t="shared" si="1"/>
        <v>-59</v>
      </c>
      <c r="AB61">
        <f t="shared" si="2"/>
        <v>5</v>
      </c>
      <c r="AC61" s="10">
        <f t="shared" si="3"/>
        <v>49</v>
      </c>
      <c r="AD61" s="5">
        <f t="shared" si="4"/>
        <v>1</v>
      </c>
      <c r="AE61" s="5">
        <f t="shared" si="5"/>
        <v>1</v>
      </c>
      <c r="AF61" s="5">
        <f t="shared" si="6"/>
        <v>0</v>
      </c>
      <c r="AG61">
        <f>IF(B61&lt;&gt;"", COUNTIFS($B$2:B61, B61), "")</f>
        <v>4</v>
      </c>
      <c r="AH61">
        <f t="shared" si="7"/>
        <v>5</v>
      </c>
      <c r="AI61" t="str">
        <f>VLOOKUP(B61, Currency!A:B, 2, FALSE)</f>
        <v>INR</v>
      </c>
      <c r="AJ61">
        <f t="shared" si="8"/>
        <v>5</v>
      </c>
      <c r="AK61">
        <f t="shared" si="13"/>
        <v>5</v>
      </c>
      <c r="AL61" t="str">
        <f t="shared" si="9"/>
        <v>May</v>
      </c>
      <c r="AM61">
        <f t="shared" si="14"/>
        <v>2023</v>
      </c>
      <c r="AN61" t="str">
        <f t="shared" si="10"/>
        <v>30Epic Polymers</v>
      </c>
      <c r="AO61">
        <f>IF(COUNTIF($AN$2:AN61, AN61)=1, 1, 0)</f>
        <v>0</v>
      </c>
      <c r="AP61" t="str">
        <f t="shared" si="15"/>
        <v>&gt;3</v>
      </c>
      <c r="AQ61" t="str">
        <f t="shared" si="16"/>
        <v>&gt;3</v>
      </c>
      <c r="AR61" t="str">
        <f t="shared" si="17"/>
        <v>&gt;3</v>
      </c>
    </row>
    <row r="62" spans="1:44" x14ac:dyDescent="0.3">
      <c r="A62" t="s">
        <v>95</v>
      </c>
      <c r="B62" t="s">
        <v>173</v>
      </c>
      <c r="C62" t="s">
        <v>174</v>
      </c>
      <c r="D62">
        <v>1892</v>
      </c>
      <c r="E62">
        <v>23120029</v>
      </c>
      <c r="F62" t="s">
        <v>175</v>
      </c>
      <c r="G62" t="s">
        <v>176</v>
      </c>
      <c r="H62">
        <v>50</v>
      </c>
      <c r="I62">
        <v>700</v>
      </c>
      <c r="J62">
        <v>2829750</v>
      </c>
      <c r="K62" s="7" t="str">
        <f>IFERROR(IF(B62&lt;&gt;"", TEXT(VLOOKUP(B62, 'Expected Date'!A:B, 2, FALSE) + DATE(RIGHT(C62,2),MID(C62,4,2),LEFT(C62,2)), "dd/mm/yy"), ""), "")</f>
        <v>20/07/23</v>
      </c>
      <c r="L62" t="s">
        <v>38</v>
      </c>
      <c r="M62" t="str">
        <f>M47</f>
        <v>MT</v>
      </c>
      <c r="N62" t="s">
        <v>177</v>
      </c>
      <c r="O62" t="s">
        <v>178</v>
      </c>
      <c r="P62">
        <v>23191038</v>
      </c>
      <c r="Q62" t="s">
        <v>175</v>
      </c>
      <c r="R62" t="s">
        <v>176</v>
      </c>
      <c r="S62">
        <v>51.328000000000003</v>
      </c>
      <c r="T62">
        <v>700</v>
      </c>
      <c r="U62">
        <v>2953413.12</v>
      </c>
      <c r="V62" t="str">
        <f t="shared" si="11"/>
        <v>Accepted</v>
      </c>
      <c r="W62">
        <f>IFERROR(VLOOKUP(N62, Payment_Terms!A:B, 2, FALSE), "Payment term not found!")</f>
        <v>0</v>
      </c>
      <c r="X62" t="str">
        <f>IFERROR(VLOOKUP(R62, Item_Category!A:B, 2, FALSE), "Uncategorized")</f>
        <v>Wood pulp</v>
      </c>
      <c r="Y62" s="5">
        <f t="shared" si="12"/>
        <v>0</v>
      </c>
      <c r="Z62">
        <f t="shared" si="0"/>
        <v>5</v>
      </c>
      <c r="AA62">
        <f t="shared" si="1"/>
        <v>43</v>
      </c>
      <c r="AB62">
        <f t="shared" si="2"/>
        <v>1</v>
      </c>
      <c r="AC62" s="10">
        <f t="shared" si="3"/>
        <v>108</v>
      </c>
      <c r="AD62" s="5">
        <f t="shared" si="4"/>
        <v>1</v>
      </c>
      <c r="AE62" s="5">
        <f t="shared" si="5"/>
        <v>1</v>
      </c>
      <c r="AF62" s="5">
        <f t="shared" si="6"/>
        <v>0</v>
      </c>
      <c r="AG62">
        <f>IF(B62&lt;&gt;"", COUNTIFS($B$2:B62, B62), "")</f>
        <v>1</v>
      </c>
      <c r="AH62">
        <f t="shared" si="7"/>
        <v>5</v>
      </c>
      <c r="AI62" t="str">
        <f>VLOOKUP(B62, Currency!A:B, 2, FALSE)</f>
        <v>USD</v>
      </c>
      <c r="AJ62">
        <f t="shared" si="8"/>
        <v>4</v>
      </c>
      <c r="AK62">
        <f t="shared" si="13"/>
        <v>5</v>
      </c>
      <c r="AL62" t="str">
        <f t="shared" si="9"/>
        <v>May</v>
      </c>
      <c r="AM62">
        <f t="shared" si="14"/>
        <v>2023</v>
      </c>
      <c r="AN62" t="str">
        <f t="shared" si="10"/>
        <v>0Billerud AB</v>
      </c>
      <c r="AO62">
        <f>IF(COUNTIF($AN$2:AN62, AN62)=1, 1, 0)</f>
        <v>1</v>
      </c>
      <c r="AP62" t="str">
        <f t="shared" si="15"/>
        <v>&gt;3</v>
      </c>
      <c r="AQ62" t="str">
        <f t="shared" si="16"/>
        <v>&gt;3</v>
      </c>
      <c r="AR62" t="str">
        <f t="shared" si="17"/>
        <v>&lt;=3</v>
      </c>
    </row>
    <row r="63" spans="1:44" x14ac:dyDescent="0.3">
      <c r="A63" t="s">
        <v>33</v>
      </c>
      <c r="B63" t="s">
        <v>147</v>
      </c>
      <c r="C63" t="s">
        <v>179</v>
      </c>
      <c r="D63">
        <v>2112</v>
      </c>
      <c r="E63">
        <v>23120033</v>
      </c>
      <c r="F63" t="s">
        <v>148</v>
      </c>
      <c r="G63" t="s">
        <v>149</v>
      </c>
      <c r="H63">
        <v>1500</v>
      </c>
      <c r="I63">
        <v>225</v>
      </c>
      <c r="J63">
        <v>337500</v>
      </c>
      <c r="K63" s="7" t="str">
        <f>IFERROR(IF(B63&lt;&gt;"", TEXT(VLOOKUP(B63, 'Expected Date'!A:B, 2, FALSE) + DATE(RIGHT(C63,2),MID(C63,4,2),LEFT(C63,2)), "dd/mm/yy"), ""), "")</f>
        <v>02/06/23</v>
      </c>
      <c r="L63" t="s">
        <v>38</v>
      </c>
      <c r="M63" t="s">
        <v>39</v>
      </c>
      <c r="N63" t="s">
        <v>49</v>
      </c>
      <c r="O63" t="s">
        <v>180</v>
      </c>
      <c r="P63">
        <v>23190650</v>
      </c>
      <c r="Q63" t="s">
        <v>148</v>
      </c>
      <c r="R63" t="s">
        <v>149</v>
      </c>
      <c r="S63">
        <v>515</v>
      </c>
      <c r="T63">
        <v>225</v>
      </c>
      <c r="U63">
        <v>115875</v>
      </c>
      <c r="V63" t="str">
        <f t="shared" si="11"/>
        <v>Accepted</v>
      </c>
      <c r="W63">
        <f>IFERROR(VLOOKUP(N63, Payment_Terms!A:B, 2, FALSE), "Payment term not found!")</f>
        <v>30</v>
      </c>
      <c r="X63" t="str">
        <f>IFERROR(VLOOKUP(R63, Item_Category!A:B, 2, FALSE), "Uncategorized")</f>
        <v>Fibre drum</v>
      </c>
      <c r="Y63" s="5">
        <f t="shared" si="12"/>
        <v>0</v>
      </c>
      <c r="Z63">
        <f t="shared" si="0"/>
        <v>5</v>
      </c>
      <c r="AA63">
        <f t="shared" si="1"/>
        <v>43</v>
      </c>
      <c r="AB63">
        <f t="shared" si="2"/>
        <v>1</v>
      </c>
      <c r="AC63" s="10">
        <f t="shared" si="3"/>
        <v>53</v>
      </c>
      <c r="AD63" s="5">
        <f t="shared" si="4"/>
        <v>1</v>
      </c>
      <c r="AE63" s="5">
        <f t="shared" si="5"/>
        <v>1</v>
      </c>
      <c r="AF63" s="5">
        <f t="shared" si="6"/>
        <v>0</v>
      </c>
      <c r="AG63">
        <f>IF(B63&lt;&gt;"", COUNTIFS($B$2:B63, B63), "")</f>
        <v>2</v>
      </c>
      <c r="AH63">
        <f t="shared" si="7"/>
        <v>5</v>
      </c>
      <c r="AI63" t="str">
        <f>VLOOKUP(B63, Currency!A:B, 2, FALSE)</f>
        <v>INR</v>
      </c>
      <c r="AJ63">
        <f t="shared" si="8"/>
        <v>4</v>
      </c>
      <c r="AK63">
        <f t="shared" si="13"/>
        <v>5</v>
      </c>
      <c r="AL63" t="str">
        <f t="shared" si="9"/>
        <v>May</v>
      </c>
      <c r="AM63">
        <f t="shared" si="14"/>
        <v>2023</v>
      </c>
      <c r="AN63" t="str">
        <f t="shared" si="10"/>
        <v>30Navodaya Packing Industries</v>
      </c>
      <c r="AO63">
        <f>IF(COUNTIF($AN$2:AN63, AN63)=1, 1, 0)</f>
        <v>0</v>
      </c>
      <c r="AP63" t="str">
        <f t="shared" si="15"/>
        <v>&gt;3</v>
      </c>
      <c r="AQ63" t="str">
        <f t="shared" si="16"/>
        <v>&gt;3</v>
      </c>
      <c r="AR63" t="str">
        <f t="shared" si="17"/>
        <v>&lt;=3</v>
      </c>
    </row>
    <row r="64" spans="1:44" x14ac:dyDescent="0.3">
      <c r="A64" t="s">
        <v>33</v>
      </c>
      <c r="B64" t="s">
        <v>107</v>
      </c>
      <c r="C64" t="s">
        <v>105</v>
      </c>
      <c r="D64">
        <v>4031</v>
      </c>
      <c r="E64">
        <v>23120109</v>
      </c>
      <c r="F64" t="s">
        <v>166</v>
      </c>
      <c r="G64" t="s">
        <v>167</v>
      </c>
      <c r="H64">
        <v>2000</v>
      </c>
      <c r="I64">
        <v>33.75</v>
      </c>
      <c r="J64">
        <v>67500</v>
      </c>
      <c r="K64" s="7" t="str">
        <f>IFERROR(IF(B64&lt;&gt;"", TEXT(VLOOKUP(B64, 'Expected Date'!A:B, 2, FALSE) + DATE(RIGHT(C64,2),MID(C64,4,2),LEFT(C64,2)), "dd/mm/yy"), ""), "")</f>
        <v>04/09/23</v>
      </c>
      <c r="L64" t="s">
        <v>38</v>
      </c>
      <c r="M64" t="s">
        <v>39</v>
      </c>
      <c r="N64" t="s">
        <v>109</v>
      </c>
      <c r="O64" t="s">
        <v>181</v>
      </c>
      <c r="P64">
        <v>23191104</v>
      </c>
      <c r="Q64" t="s">
        <v>166</v>
      </c>
      <c r="R64" t="s">
        <v>167</v>
      </c>
      <c r="S64">
        <v>2008</v>
      </c>
      <c r="T64">
        <v>33.75</v>
      </c>
      <c r="U64">
        <v>67770</v>
      </c>
      <c r="V64" t="str">
        <f t="shared" si="11"/>
        <v>Accepted</v>
      </c>
      <c r="W64">
        <f>IFERROR(VLOOKUP(N64, Payment_Terms!A:B, 2, FALSE), "Payment term not found!")</f>
        <v>0</v>
      </c>
      <c r="X64" t="str">
        <f>IFERROR(VLOOKUP(R64, Item_Category!A:B, 2, FALSE), "Uncategorized")</f>
        <v>Bags</v>
      </c>
      <c r="Y64" s="5">
        <f t="shared" si="12"/>
        <v>0</v>
      </c>
      <c r="Z64">
        <f t="shared" si="0"/>
        <v>5</v>
      </c>
      <c r="AA64">
        <f t="shared" si="1"/>
        <v>17</v>
      </c>
      <c r="AB64">
        <f t="shared" si="2"/>
        <v>1</v>
      </c>
      <c r="AC64" s="10">
        <f t="shared" si="3"/>
        <v>27</v>
      </c>
      <c r="AD64" s="5">
        <f t="shared" si="4"/>
        <v>1</v>
      </c>
      <c r="AE64" s="5">
        <f t="shared" si="5"/>
        <v>1</v>
      </c>
      <c r="AF64" s="5">
        <f t="shared" si="6"/>
        <v>0</v>
      </c>
      <c r="AG64">
        <f>IF(B64&lt;&gt;"", COUNTIFS($B$2:B64, B64), "")</f>
        <v>3</v>
      </c>
      <c r="AH64">
        <f t="shared" si="7"/>
        <v>5</v>
      </c>
      <c r="AI64" t="str">
        <f>VLOOKUP(B64, Currency!A:B, 2, FALSE)</f>
        <v>INR</v>
      </c>
      <c r="AJ64">
        <f t="shared" si="8"/>
        <v>4</v>
      </c>
      <c r="AK64">
        <f t="shared" si="13"/>
        <v>8</v>
      </c>
      <c r="AL64" t="str">
        <f t="shared" si="9"/>
        <v>August</v>
      </c>
      <c r="AM64">
        <f t="shared" si="14"/>
        <v>2023</v>
      </c>
      <c r="AN64" t="str">
        <f t="shared" si="10"/>
        <v>0KAPILA INDUSTRIES</v>
      </c>
      <c r="AO64">
        <f>IF(COUNTIF($AN$2:AN64, AN64)=1, 1, 0)</f>
        <v>0</v>
      </c>
      <c r="AP64" t="str">
        <f t="shared" si="15"/>
        <v>&gt;3</v>
      </c>
      <c r="AQ64" t="str">
        <f t="shared" si="16"/>
        <v>&gt;3</v>
      </c>
      <c r="AR64" t="str">
        <f t="shared" si="17"/>
        <v>&lt;=3</v>
      </c>
    </row>
    <row r="65" spans="1:44" x14ac:dyDescent="0.3">
      <c r="A65" t="s">
        <v>33</v>
      </c>
      <c r="B65" t="s">
        <v>150</v>
      </c>
      <c r="C65" t="s">
        <v>182</v>
      </c>
      <c r="D65">
        <v>2409</v>
      </c>
      <c r="E65">
        <v>23110192</v>
      </c>
      <c r="F65" t="s">
        <v>135</v>
      </c>
      <c r="G65" t="s">
        <v>136</v>
      </c>
      <c r="H65">
        <v>200</v>
      </c>
      <c r="I65">
        <v>6904.76</v>
      </c>
      <c r="J65">
        <v>1380952</v>
      </c>
      <c r="K65" s="7" t="str">
        <f>IFERROR(IF(B65&lt;&gt;"", TEXT(VLOOKUP(B65, 'Expected Date'!A:B, 2, FALSE) + DATE(RIGHT(C65,2),MID(C65,4,2),LEFT(C65,2)), "dd/mm/yy"), ""), "")</f>
        <v>23/06/23</v>
      </c>
      <c r="L65" t="s">
        <v>38</v>
      </c>
      <c r="M65" t="s">
        <v>48</v>
      </c>
      <c r="N65" t="s">
        <v>183</v>
      </c>
      <c r="O65" t="s">
        <v>184</v>
      </c>
      <c r="P65">
        <v>23190440</v>
      </c>
      <c r="Q65" t="s">
        <v>135</v>
      </c>
      <c r="R65" t="s">
        <v>136</v>
      </c>
      <c r="S65">
        <v>19</v>
      </c>
      <c r="T65">
        <v>6904.76</v>
      </c>
      <c r="U65">
        <v>131190.44</v>
      </c>
      <c r="V65" t="str">
        <f t="shared" si="11"/>
        <v>Accepted</v>
      </c>
      <c r="W65">
        <f>IFERROR(VLOOKUP(N65, Payment_Terms!A:B, 2, FALSE), "Payment term not found!")</f>
        <v>30</v>
      </c>
      <c r="X65" t="str">
        <f>IFERROR(VLOOKUP(R65, Item_Category!A:B, 2, FALSE), "Uncategorized")</f>
        <v>Coal materials</v>
      </c>
      <c r="Y65" s="5">
        <f t="shared" si="12"/>
        <v>0</v>
      </c>
      <c r="Z65">
        <f t="shared" si="0"/>
        <v>5</v>
      </c>
      <c r="AA65">
        <f t="shared" si="1"/>
        <v>-7</v>
      </c>
      <c r="AB65">
        <f t="shared" si="2"/>
        <v>5</v>
      </c>
      <c r="AC65" s="10">
        <f t="shared" si="3"/>
        <v>3</v>
      </c>
      <c r="AD65" s="5">
        <f t="shared" si="4"/>
        <v>1</v>
      </c>
      <c r="AE65" s="5">
        <f t="shared" si="5"/>
        <v>1</v>
      </c>
      <c r="AF65" s="5">
        <f t="shared" si="6"/>
        <v>0</v>
      </c>
      <c r="AG65">
        <f>IF(B65&lt;&gt;"", COUNTIFS($B$2:B65, B65), "")</f>
        <v>2</v>
      </c>
      <c r="AH65">
        <f t="shared" si="7"/>
        <v>5</v>
      </c>
      <c r="AI65" t="str">
        <f>VLOOKUP(B65, Currency!A:B, 2, FALSE)</f>
        <v>INR</v>
      </c>
      <c r="AJ65">
        <f t="shared" si="8"/>
        <v>5</v>
      </c>
      <c r="AK65">
        <f t="shared" si="13"/>
        <v>6</v>
      </c>
      <c r="AL65" t="str">
        <f t="shared" si="9"/>
        <v>June</v>
      </c>
      <c r="AM65">
        <f t="shared" si="14"/>
        <v>2023</v>
      </c>
      <c r="AN65" t="str">
        <f t="shared" si="10"/>
        <v>30Venkatadurga Enterprises</v>
      </c>
      <c r="AO65">
        <f>IF(COUNTIF($AN$2:AN65, AN65)=1, 1, 0)</f>
        <v>0</v>
      </c>
      <c r="AP65" t="str">
        <f t="shared" si="15"/>
        <v>&gt;3</v>
      </c>
      <c r="AQ65" t="str">
        <f t="shared" si="16"/>
        <v>&gt;3</v>
      </c>
      <c r="AR65" t="str">
        <f t="shared" si="17"/>
        <v>&gt;3</v>
      </c>
    </row>
    <row r="66" spans="1:44" x14ac:dyDescent="0.3">
      <c r="A66" t="s">
        <v>33</v>
      </c>
      <c r="B66" t="s">
        <v>150</v>
      </c>
      <c r="C66" t="s">
        <v>182</v>
      </c>
      <c r="D66">
        <v>2409</v>
      </c>
      <c r="E66">
        <v>23110192</v>
      </c>
      <c r="F66" t="s">
        <v>135</v>
      </c>
      <c r="G66" t="s">
        <v>136</v>
      </c>
      <c r="H66">
        <v>200</v>
      </c>
      <c r="I66">
        <v>6904.76</v>
      </c>
      <c r="J66">
        <v>1380952</v>
      </c>
      <c r="K66" s="7" t="str">
        <f>IFERROR(IF(B66&lt;&gt;"", TEXT(VLOOKUP(B66, 'Expected Date'!A:B, 2, FALSE) + DATE(RIGHT(C66,2),MID(C66,4,2),LEFT(C66,2)), "dd/mm/yy"), ""), "")</f>
        <v>23/06/23</v>
      </c>
      <c r="L66" t="s">
        <v>38</v>
      </c>
      <c r="M66" t="s">
        <v>48</v>
      </c>
      <c r="N66" t="s">
        <v>183</v>
      </c>
      <c r="O66" t="s">
        <v>184</v>
      </c>
      <c r="P66">
        <v>23190441</v>
      </c>
      <c r="Q66" t="s">
        <v>135</v>
      </c>
      <c r="R66" t="s">
        <v>136</v>
      </c>
      <c r="S66">
        <v>19</v>
      </c>
      <c r="T66">
        <v>6904.76</v>
      </c>
      <c r="U66">
        <v>131190.44</v>
      </c>
      <c r="V66" t="str">
        <f t="shared" si="11"/>
        <v>Accepted</v>
      </c>
      <c r="W66">
        <f>IFERROR(VLOOKUP(N66, Payment_Terms!A:B, 2, FALSE), "Payment term not found!")</f>
        <v>30</v>
      </c>
      <c r="X66" t="str">
        <f>IFERROR(VLOOKUP(R66, Item_Category!A:B, 2, FALSE), "Uncategorized")</f>
        <v>Coal materials</v>
      </c>
      <c r="Y66" s="5">
        <f t="shared" ref="Y66:Y129" si="18">IFERROR(IF(AND(E66&lt;&gt;"", G66&lt;&gt;""), MAX(0, (H66-SUMIFS(S:S, E:E, E66, G:G, G66))/H66), ""), (H66-S66)/H66)</f>
        <v>0</v>
      </c>
      <c r="Z66">
        <f t="shared" ref="Z66:Z129" si="19">IF(Y66&lt;=0%,5,(IF(AND(Y66&gt;0%,Y66&lt;=2%),4,IF(AND(Y66&gt;2%,Y66&lt;=5%),3,IF(AND(Y66&gt;5%,Y66&lt;10%),2,1)))))</f>
        <v>5</v>
      </c>
      <c r="AA66">
        <f t="shared" ref="AA66:AA129" si="20">DATE(RIGHT(O66,2),MID(O66,4,2),LEFT(O66,2)) - DATE(RIGHT(K66,2),MID(K66,4,2),LEFT(K66,2))</f>
        <v>-7</v>
      </c>
      <c r="AB66">
        <f t="shared" ref="AB66:AB129" si="21">IF(AA66 &lt;= 2, 5, IF(AA66 &lt;= 4, 4, IF(AA66 &lt;= 7, 3, IF(AA66&lt;=10,2,1))))</f>
        <v>5</v>
      </c>
      <c r="AC66" s="10">
        <f t="shared" ref="AC66:AC129" si="22">ABS(DATE(RIGHT(O66,2),MID(O66,4,2),LEFT(O66,2)) - DATE(RIGHT(C66,2),MID(C66,4,2),LEFT(C66,2)))</f>
        <v>3</v>
      </c>
      <c r="AD66" s="5">
        <f t="shared" ref="AD66:AD129" si="23">IF(V66="Accepted",1,0)</f>
        <v>1</v>
      </c>
      <c r="AE66" s="5">
        <f t="shared" ref="AE66:AE129" si="24">ROUNDUP((SUMIFS(S:S, B:B, B66, V:V, "Accepted")/SUMIF(B:B,B66,S:S)),2)</f>
        <v>1</v>
      </c>
      <c r="AF66" s="5">
        <f t="shared" ref="AF66:AF129" si="25">ROUNDUP(ABS(100%-AE66),2)</f>
        <v>0</v>
      </c>
      <c r="AG66">
        <f>IF(B66&lt;&gt;"", COUNTIFS($B$2:B66, B66), "")</f>
        <v>3</v>
      </c>
      <c r="AH66">
        <f t="shared" ref="AH66:AH129" si="26">IF(AF66=0%,5,IF(AND(AF66&gt;0%,AF66&lt;=2%),4,IF(AND(AF66&gt;2%,AF66&lt;=5%),3,IF(AND(AF66&gt;5%,AF66&lt;10%),2,1))))</f>
        <v>5</v>
      </c>
      <c r="AI66" t="str">
        <f>VLOOKUP(B66, Currency!A:B, 2, FALSE)</f>
        <v>INR</v>
      </c>
      <c r="AJ66">
        <f t="shared" ref="AJ66:AJ129" si="27">_xlfn.CEILING.MATH(((0.4*AH66)+(0.3*Z66)+(0.3*AB66)),1)</f>
        <v>5</v>
      </c>
      <c r="AK66">
        <f t="shared" ref="AK66:AK129" si="28">MONTH(DATE(RIGHT(C66,2),MID(C66,4,2),LEFT(C66,2)))</f>
        <v>6</v>
      </c>
      <c r="AL66" t="str">
        <f t="shared" ref="AL66:AL129" si="29">TEXT(DATE(RIGHT(C66,2),MID(C66,4,2),LEFT(C66,2)),"mmmm")</f>
        <v>June</v>
      </c>
      <c r="AM66">
        <f t="shared" si="14"/>
        <v>2023</v>
      </c>
      <c r="AN66" t="str">
        <f t="shared" ref="AN66:AN129" si="30">W66&amp;B66</f>
        <v>30Venkatadurga Enterprises</v>
      </c>
      <c r="AO66">
        <f>IF(COUNTIF($AN$2:AN66, AN66)=1, 1, 0)</f>
        <v>0</v>
      </c>
      <c r="AP66" t="str">
        <f t="shared" si="15"/>
        <v>&gt;3</v>
      </c>
      <c r="AQ66" t="str">
        <f t="shared" si="16"/>
        <v>&gt;3</v>
      </c>
      <c r="AR66" t="str">
        <f t="shared" si="17"/>
        <v>&gt;3</v>
      </c>
    </row>
    <row r="67" spans="1:44" x14ac:dyDescent="0.3">
      <c r="A67" t="s">
        <v>33</v>
      </c>
      <c r="B67" t="s">
        <v>150</v>
      </c>
      <c r="C67" t="s">
        <v>182</v>
      </c>
      <c r="D67">
        <v>2409</v>
      </c>
      <c r="E67">
        <v>23110192</v>
      </c>
      <c r="F67" t="s">
        <v>135</v>
      </c>
      <c r="G67" t="s">
        <v>136</v>
      </c>
      <c r="H67">
        <v>200</v>
      </c>
      <c r="I67">
        <v>6904.76</v>
      </c>
      <c r="J67">
        <v>1380952</v>
      </c>
      <c r="K67" s="7" t="str">
        <f>IFERROR(IF(B67&lt;&gt;"", TEXT(VLOOKUP(B67, 'Expected Date'!A:B, 2, FALSE) + DATE(RIGHT(C67,2),MID(C67,4,2),LEFT(C67,2)), "dd/mm/yy"), ""), "")</f>
        <v>23/06/23</v>
      </c>
      <c r="L67" t="s">
        <v>38</v>
      </c>
      <c r="M67" t="s">
        <v>48</v>
      </c>
      <c r="N67" t="s">
        <v>183</v>
      </c>
      <c r="O67" t="s">
        <v>184</v>
      </c>
      <c r="P67">
        <v>23190442</v>
      </c>
      <c r="Q67" t="s">
        <v>135</v>
      </c>
      <c r="R67" t="s">
        <v>136</v>
      </c>
      <c r="S67">
        <v>20</v>
      </c>
      <c r="T67">
        <v>6904.76</v>
      </c>
      <c r="U67">
        <v>138095.20000000001</v>
      </c>
      <c r="V67" t="str">
        <f t="shared" ref="V67:V130" si="31">V66</f>
        <v>Accepted</v>
      </c>
      <c r="W67">
        <f>IFERROR(VLOOKUP(N67, Payment_Terms!A:B, 2, FALSE), "Payment term not found!")</f>
        <v>30</v>
      </c>
      <c r="X67" t="str">
        <f>IFERROR(VLOOKUP(R67, Item_Category!A:B, 2, FALSE), "Uncategorized")</f>
        <v>Coal materials</v>
      </c>
      <c r="Y67" s="5">
        <f t="shared" si="18"/>
        <v>0</v>
      </c>
      <c r="Z67">
        <f t="shared" si="19"/>
        <v>5</v>
      </c>
      <c r="AA67">
        <f t="shared" si="20"/>
        <v>-7</v>
      </c>
      <c r="AB67">
        <f t="shared" si="21"/>
        <v>5</v>
      </c>
      <c r="AC67" s="10">
        <f t="shared" si="22"/>
        <v>3</v>
      </c>
      <c r="AD67" s="5">
        <f t="shared" si="23"/>
        <v>1</v>
      </c>
      <c r="AE67" s="5">
        <f t="shared" si="24"/>
        <v>1</v>
      </c>
      <c r="AF67" s="5">
        <f t="shared" si="25"/>
        <v>0</v>
      </c>
      <c r="AG67">
        <f>IF(B67&lt;&gt;"", COUNTIFS($B$2:B67, B67), "")</f>
        <v>4</v>
      </c>
      <c r="AH67">
        <f t="shared" si="26"/>
        <v>5</v>
      </c>
      <c r="AI67" t="str">
        <f>VLOOKUP(B67, Currency!A:B, 2, FALSE)</f>
        <v>INR</v>
      </c>
      <c r="AJ67">
        <f t="shared" si="27"/>
        <v>5</v>
      </c>
      <c r="AK67">
        <f t="shared" si="28"/>
        <v>6</v>
      </c>
      <c r="AL67" t="str">
        <f t="shared" si="29"/>
        <v>June</v>
      </c>
      <c r="AM67">
        <f t="shared" ref="AM67:AM130" si="32">YEAR(DATE(VALUE(MID(C67,7,2))+2000, MID(C67,4,2), MID(C67,1,2)))</f>
        <v>2023</v>
      </c>
      <c r="AN67" t="str">
        <f t="shared" si="30"/>
        <v>30Venkatadurga Enterprises</v>
      </c>
      <c r="AO67">
        <f>IF(COUNTIF($AN$2:AN67, AN67)=1, 1, 0)</f>
        <v>0</v>
      </c>
      <c r="AP67" t="str">
        <f t="shared" ref="AP67:AP130" si="33">IF(AH67&lt;=3,"&lt;=3","&gt;3")</f>
        <v>&gt;3</v>
      </c>
      <c r="AQ67" t="str">
        <f t="shared" ref="AQ67:AQ130" si="34">IF(Z67&lt;=3,"&lt;=3","&gt;3")</f>
        <v>&gt;3</v>
      </c>
      <c r="AR67" t="str">
        <f t="shared" ref="AR67:AR130" si="35">IF(AB67&lt;=3,"&lt;=3","&gt;3")</f>
        <v>&gt;3</v>
      </c>
    </row>
    <row r="68" spans="1:44" x14ac:dyDescent="0.3">
      <c r="A68" t="s">
        <v>33</v>
      </c>
      <c r="B68" t="s">
        <v>150</v>
      </c>
      <c r="C68" t="s">
        <v>182</v>
      </c>
      <c r="D68">
        <v>2409</v>
      </c>
      <c r="E68">
        <v>23110192</v>
      </c>
      <c r="F68" t="s">
        <v>135</v>
      </c>
      <c r="G68" t="s">
        <v>136</v>
      </c>
      <c r="H68">
        <v>200</v>
      </c>
      <c r="I68">
        <v>6904.76</v>
      </c>
      <c r="J68">
        <v>1380952</v>
      </c>
      <c r="K68" s="7" t="str">
        <f>IFERROR(IF(B68&lt;&gt;"", TEXT(VLOOKUP(B68, 'Expected Date'!A:B, 2, FALSE) + DATE(RIGHT(C68,2),MID(C68,4,2),LEFT(C68,2)), "dd/mm/yy"), ""), "")</f>
        <v>23/06/23</v>
      </c>
      <c r="L68" t="s">
        <v>38</v>
      </c>
      <c r="M68" t="s">
        <v>48</v>
      </c>
      <c r="N68" t="s">
        <v>183</v>
      </c>
      <c r="O68" t="s">
        <v>45</v>
      </c>
      <c r="P68">
        <v>23190444</v>
      </c>
      <c r="Q68" t="s">
        <v>135</v>
      </c>
      <c r="R68" t="s">
        <v>136</v>
      </c>
      <c r="S68">
        <v>25</v>
      </c>
      <c r="T68">
        <v>6904.76</v>
      </c>
      <c r="U68">
        <v>172619</v>
      </c>
      <c r="V68" t="str">
        <f t="shared" si="31"/>
        <v>Accepted</v>
      </c>
      <c r="W68">
        <f>IFERROR(VLOOKUP(N68, Payment_Terms!A:B, 2, FALSE), "Payment term not found!")</f>
        <v>30</v>
      </c>
      <c r="X68" t="str">
        <f>IFERROR(VLOOKUP(R68, Item_Category!A:B, 2, FALSE), "Uncategorized")</f>
        <v>Coal materials</v>
      </c>
      <c r="Y68" s="5">
        <f t="shared" si="18"/>
        <v>0</v>
      </c>
      <c r="Z68">
        <f t="shared" si="19"/>
        <v>5</v>
      </c>
      <c r="AA68">
        <f t="shared" si="20"/>
        <v>-6</v>
      </c>
      <c r="AB68">
        <f t="shared" si="21"/>
        <v>5</v>
      </c>
      <c r="AC68" s="10">
        <f t="shared" si="22"/>
        <v>4</v>
      </c>
      <c r="AD68" s="5">
        <f t="shared" si="23"/>
        <v>1</v>
      </c>
      <c r="AE68" s="5">
        <f t="shared" si="24"/>
        <v>1</v>
      </c>
      <c r="AF68" s="5">
        <f t="shared" si="25"/>
        <v>0</v>
      </c>
      <c r="AG68">
        <f>IF(B68&lt;&gt;"", COUNTIFS($B$2:B68, B68), "")</f>
        <v>5</v>
      </c>
      <c r="AH68">
        <f t="shared" si="26"/>
        <v>5</v>
      </c>
      <c r="AI68" t="str">
        <f>VLOOKUP(B68, Currency!A:B, 2, FALSE)</f>
        <v>INR</v>
      </c>
      <c r="AJ68">
        <f t="shared" si="27"/>
        <v>5</v>
      </c>
      <c r="AK68">
        <f t="shared" si="28"/>
        <v>6</v>
      </c>
      <c r="AL68" t="str">
        <f t="shared" si="29"/>
        <v>June</v>
      </c>
      <c r="AM68">
        <f t="shared" si="32"/>
        <v>2023</v>
      </c>
      <c r="AN68" t="str">
        <f t="shared" si="30"/>
        <v>30Venkatadurga Enterprises</v>
      </c>
      <c r="AO68">
        <f>IF(COUNTIF($AN$2:AN68, AN68)=1, 1, 0)</f>
        <v>0</v>
      </c>
      <c r="AP68" t="str">
        <f t="shared" si="33"/>
        <v>&gt;3</v>
      </c>
      <c r="AQ68" t="str">
        <f t="shared" si="34"/>
        <v>&gt;3</v>
      </c>
      <c r="AR68" t="str">
        <f t="shared" si="35"/>
        <v>&gt;3</v>
      </c>
    </row>
    <row r="69" spans="1:44" x14ac:dyDescent="0.3">
      <c r="A69" t="s">
        <v>33</v>
      </c>
      <c r="B69" t="s">
        <v>185</v>
      </c>
      <c r="C69" t="s">
        <v>108</v>
      </c>
      <c r="D69">
        <v>1809</v>
      </c>
      <c r="E69">
        <v>23120023</v>
      </c>
      <c r="F69" t="s">
        <v>186</v>
      </c>
      <c r="G69" t="s">
        <v>187</v>
      </c>
      <c r="H69">
        <v>4000</v>
      </c>
      <c r="I69">
        <v>126</v>
      </c>
      <c r="J69">
        <v>504000</v>
      </c>
      <c r="K69" s="7" t="str">
        <f>IFERROR(IF(B69&lt;&gt;"", TEXT(VLOOKUP(B69, 'Expected Date'!A:B, 2, FALSE) + DATE(RIGHT(C69,2),MID(C69,4,2),LEFT(C69,2)), "dd/mm/yy"), ""), "")</f>
        <v>20/05/23</v>
      </c>
      <c r="L69" t="s">
        <v>68</v>
      </c>
      <c r="M69" t="s">
        <v>48</v>
      </c>
      <c r="N69" t="s">
        <v>188</v>
      </c>
      <c r="O69" t="s">
        <v>45</v>
      </c>
      <c r="P69">
        <v>23190445</v>
      </c>
      <c r="Q69" t="s">
        <v>186</v>
      </c>
      <c r="R69" t="s">
        <v>187</v>
      </c>
      <c r="S69">
        <v>1978</v>
      </c>
      <c r="T69">
        <v>126</v>
      </c>
      <c r="U69">
        <v>249228</v>
      </c>
      <c r="V69" t="str">
        <f t="shared" si="31"/>
        <v>Accepted</v>
      </c>
      <c r="W69">
        <f>IFERROR(VLOOKUP(N69, Payment_Terms!A:B, 2, FALSE), "Payment term not found!")</f>
        <v>30</v>
      </c>
      <c r="X69" t="str">
        <f>IFERROR(VLOOKUP(R69, Item_Category!A:B, 2, FALSE), "Uncategorized")</f>
        <v>Liner</v>
      </c>
      <c r="Y69" s="5">
        <f t="shared" si="18"/>
        <v>1.0500000000000001E-2</v>
      </c>
      <c r="Z69">
        <f t="shared" si="19"/>
        <v>4</v>
      </c>
      <c r="AA69">
        <f t="shared" si="20"/>
        <v>28</v>
      </c>
      <c r="AB69">
        <f t="shared" si="21"/>
        <v>1</v>
      </c>
      <c r="AC69" s="10">
        <f t="shared" si="22"/>
        <v>38</v>
      </c>
      <c r="AD69" s="5">
        <f t="shared" si="23"/>
        <v>1</v>
      </c>
      <c r="AE69" s="5">
        <f t="shared" si="24"/>
        <v>1</v>
      </c>
      <c r="AF69" s="5">
        <f t="shared" si="25"/>
        <v>0</v>
      </c>
      <c r="AG69">
        <f>IF(B69&lt;&gt;"", COUNTIFS($B$2:B69, B69), "")</f>
        <v>1</v>
      </c>
      <c r="AH69">
        <f t="shared" si="26"/>
        <v>5</v>
      </c>
      <c r="AI69" t="str">
        <f>VLOOKUP(B69, Currency!A:B, 2, FALSE)</f>
        <v>INR</v>
      </c>
      <c r="AJ69">
        <f t="shared" si="27"/>
        <v>4</v>
      </c>
      <c r="AK69">
        <f t="shared" si="28"/>
        <v>5</v>
      </c>
      <c r="AL69" t="str">
        <f t="shared" si="29"/>
        <v>May</v>
      </c>
      <c r="AM69">
        <f t="shared" si="32"/>
        <v>2023</v>
      </c>
      <c r="AN69" t="str">
        <f t="shared" si="30"/>
        <v>30SAI RAM FOOD GRADE PACKAGING INDUSTRIES</v>
      </c>
      <c r="AO69">
        <f>IF(COUNTIF($AN$2:AN69, AN69)=1, 1, 0)</f>
        <v>1</v>
      </c>
      <c r="AP69" t="str">
        <f t="shared" si="33"/>
        <v>&gt;3</v>
      </c>
      <c r="AQ69" t="str">
        <f t="shared" si="34"/>
        <v>&gt;3</v>
      </c>
      <c r="AR69" t="str">
        <f t="shared" si="35"/>
        <v>&lt;=3</v>
      </c>
    </row>
    <row r="70" spans="1:44" x14ac:dyDescent="0.3">
      <c r="A70" t="s">
        <v>33</v>
      </c>
      <c r="B70" t="s">
        <v>150</v>
      </c>
      <c r="C70" t="s">
        <v>151</v>
      </c>
      <c r="D70">
        <v>4381</v>
      </c>
      <c r="E70">
        <v>23120122</v>
      </c>
      <c r="F70" t="s">
        <v>152</v>
      </c>
      <c r="G70" t="s">
        <v>54</v>
      </c>
      <c r="H70">
        <v>200</v>
      </c>
      <c r="I70">
        <v>7900</v>
      </c>
      <c r="J70">
        <v>1580000</v>
      </c>
      <c r="K70" s="7" t="str">
        <f>IFERROR(IF(B70&lt;&gt;"", TEXT(VLOOKUP(B70, 'Expected Date'!A:B, 2, FALSE) + DATE(RIGHT(C70,2),MID(C70,4,2),LEFT(C70,2)), "dd/mm/yy"), ""), "")</f>
        <v>24/09/23</v>
      </c>
      <c r="L70" t="s">
        <v>38</v>
      </c>
      <c r="M70" t="s">
        <v>48</v>
      </c>
      <c r="N70" t="s">
        <v>155</v>
      </c>
      <c r="O70" t="s">
        <v>156</v>
      </c>
      <c r="P70">
        <v>23191110</v>
      </c>
      <c r="Q70" t="s">
        <v>152</v>
      </c>
      <c r="R70" t="s">
        <v>153</v>
      </c>
      <c r="S70">
        <v>31.16</v>
      </c>
      <c r="T70">
        <v>7900</v>
      </c>
      <c r="U70">
        <v>246164</v>
      </c>
      <c r="V70" t="str">
        <f t="shared" si="31"/>
        <v>Accepted</v>
      </c>
      <c r="W70">
        <f>IFERROR(VLOOKUP(N70, Payment_Terms!A:B, 2, FALSE), "Payment term not found!")</f>
        <v>30</v>
      </c>
      <c r="X70" t="str">
        <f>IFERROR(VLOOKUP(R70, Item_Category!A:B, 2, FALSE), "Uncategorized")</f>
        <v>Coal materials</v>
      </c>
      <c r="Y70" s="5">
        <f t="shared" si="18"/>
        <v>0</v>
      </c>
      <c r="Z70">
        <f t="shared" si="19"/>
        <v>5</v>
      </c>
      <c r="AA70">
        <f t="shared" si="20"/>
        <v>-6</v>
      </c>
      <c r="AB70">
        <f t="shared" si="21"/>
        <v>5</v>
      </c>
      <c r="AC70" s="10">
        <f t="shared" si="22"/>
        <v>4</v>
      </c>
      <c r="AD70" s="5">
        <f t="shared" si="23"/>
        <v>1</v>
      </c>
      <c r="AE70" s="5">
        <f t="shared" si="24"/>
        <v>1</v>
      </c>
      <c r="AF70" s="5">
        <f t="shared" si="25"/>
        <v>0</v>
      </c>
      <c r="AG70">
        <f>IF(B70&lt;&gt;"", COUNTIFS($B$2:B70, B70), "")</f>
        <v>6</v>
      </c>
      <c r="AH70">
        <f t="shared" si="26"/>
        <v>5</v>
      </c>
      <c r="AI70" t="str">
        <f>VLOOKUP(B70, Currency!A:B, 2, FALSE)</f>
        <v>INR</v>
      </c>
      <c r="AJ70">
        <f t="shared" si="27"/>
        <v>5</v>
      </c>
      <c r="AK70">
        <f t="shared" si="28"/>
        <v>9</v>
      </c>
      <c r="AL70" t="str">
        <f t="shared" si="29"/>
        <v>September</v>
      </c>
      <c r="AM70">
        <f t="shared" si="32"/>
        <v>2023</v>
      </c>
      <c r="AN70" t="str">
        <f t="shared" si="30"/>
        <v>30Venkatadurga Enterprises</v>
      </c>
      <c r="AO70">
        <f>IF(COUNTIF($AN$2:AN70, AN70)=1, 1, 0)</f>
        <v>0</v>
      </c>
      <c r="AP70" t="str">
        <f t="shared" si="33"/>
        <v>&gt;3</v>
      </c>
      <c r="AQ70" t="str">
        <f t="shared" si="34"/>
        <v>&gt;3</v>
      </c>
      <c r="AR70" t="str">
        <f t="shared" si="35"/>
        <v>&gt;3</v>
      </c>
    </row>
    <row r="71" spans="1:44" x14ac:dyDescent="0.3">
      <c r="A71" t="s">
        <v>33</v>
      </c>
      <c r="B71" t="s">
        <v>150</v>
      </c>
      <c r="C71" t="s">
        <v>151</v>
      </c>
      <c r="D71">
        <v>4381</v>
      </c>
      <c r="E71">
        <v>23120122</v>
      </c>
      <c r="F71" t="s">
        <v>152</v>
      </c>
      <c r="G71" t="s">
        <v>54</v>
      </c>
      <c r="H71">
        <v>200</v>
      </c>
      <c r="I71">
        <v>7900</v>
      </c>
      <c r="J71">
        <v>1580000</v>
      </c>
      <c r="K71" s="7" t="str">
        <f>IFERROR(IF(B71&lt;&gt;"", TEXT(VLOOKUP(B71, 'Expected Date'!A:B, 2, FALSE) + DATE(RIGHT(C71,2),MID(C71,4,2),LEFT(C71,2)), "dd/mm/yy"), ""), "")</f>
        <v>24/09/23</v>
      </c>
      <c r="L71" t="s">
        <v>38</v>
      </c>
      <c r="M71" t="s">
        <v>48</v>
      </c>
      <c r="N71" t="s">
        <v>155</v>
      </c>
      <c r="O71" t="s">
        <v>189</v>
      </c>
      <c r="P71">
        <v>23191111</v>
      </c>
      <c r="Q71" t="s">
        <v>152</v>
      </c>
      <c r="R71" t="s">
        <v>153</v>
      </c>
      <c r="S71">
        <v>31.14</v>
      </c>
      <c r="T71">
        <v>7900</v>
      </c>
      <c r="U71">
        <v>246006</v>
      </c>
      <c r="V71" t="str">
        <f t="shared" si="31"/>
        <v>Accepted</v>
      </c>
      <c r="W71">
        <f>IFERROR(VLOOKUP(N71, Payment_Terms!A:B, 2, FALSE), "Payment term not found!")</f>
        <v>30</v>
      </c>
      <c r="X71" t="str">
        <f>IFERROR(VLOOKUP(R71, Item_Category!A:B, 2, FALSE), "Uncategorized")</f>
        <v>Coal materials</v>
      </c>
      <c r="Y71" s="5">
        <f t="shared" si="18"/>
        <v>0</v>
      </c>
      <c r="Z71">
        <f t="shared" si="19"/>
        <v>5</v>
      </c>
      <c r="AA71">
        <f t="shared" si="20"/>
        <v>-7</v>
      </c>
      <c r="AB71">
        <f t="shared" si="21"/>
        <v>5</v>
      </c>
      <c r="AC71" s="10">
        <f t="shared" si="22"/>
        <v>3</v>
      </c>
      <c r="AD71" s="5">
        <f t="shared" si="23"/>
        <v>1</v>
      </c>
      <c r="AE71" s="5">
        <f t="shared" si="24"/>
        <v>1</v>
      </c>
      <c r="AF71" s="5">
        <f t="shared" si="25"/>
        <v>0</v>
      </c>
      <c r="AG71">
        <f>IF(B71&lt;&gt;"", COUNTIFS($B$2:B71, B71), "")</f>
        <v>7</v>
      </c>
      <c r="AH71">
        <f t="shared" si="26"/>
        <v>5</v>
      </c>
      <c r="AI71" t="str">
        <f>VLOOKUP(B71, Currency!A:B, 2, FALSE)</f>
        <v>INR</v>
      </c>
      <c r="AJ71">
        <f t="shared" si="27"/>
        <v>5</v>
      </c>
      <c r="AK71">
        <f t="shared" si="28"/>
        <v>9</v>
      </c>
      <c r="AL71" t="str">
        <f t="shared" si="29"/>
        <v>September</v>
      </c>
      <c r="AM71">
        <f t="shared" si="32"/>
        <v>2023</v>
      </c>
      <c r="AN71" t="str">
        <f t="shared" si="30"/>
        <v>30Venkatadurga Enterprises</v>
      </c>
      <c r="AO71">
        <f>IF(COUNTIF($AN$2:AN71, AN71)=1, 1, 0)</f>
        <v>0</v>
      </c>
      <c r="AP71" t="str">
        <f t="shared" si="33"/>
        <v>&gt;3</v>
      </c>
      <c r="AQ71" t="str">
        <f t="shared" si="34"/>
        <v>&gt;3</v>
      </c>
      <c r="AR71" t="str">
        <f t="shared" si="35"/>
        <v>&gt;3</v>
      </c>
    </row>
    <row r="72" spans="1:44" x14ac:dyDescent="0.3">
      <c r="A72" t="s">
        <v>33</v>
      </c>
      <c r="B72" t="s">
        <v>150</v>
      </c>
      <c r="C72" t="s">
        <v>151</v>
      </c>
      <c r="D72">
        <v>4381</v>
      </c>
      <c r="E72">
        <v>23120122</v>
      </c>
      <c r="F72" t="s">
        <v>152</v>
      </c>
      <c r="G72" t="s">
        <v>54</v>
      </c>
      <c r="H72">
        <v>200</v>
      </c>
      <c r="I72">
        <v>7900</v>
      </c>
      <c r="J72">
        <v>1580000</v>
      </c>
      <c r="K72" s="7" t="str">
        <f>IFERROR(IF(B72&lt;&gt;"", TEXT(VLOOKUP(B72, 'Expected Date'!A:B, 2, FALSE) + DATE(RIGHT(C72,2),MID(C72,4,2),LEFT(C72,2)), "dd/mm/yy"), ""), "")</f>
        <v>24/09/23</v>
      </c>
      <c r="L72" t="s">
        <v>38</v>
      </c>
      <c r="M72" t="s">
        <v>48</v>
      </c>
      <c r="N72" t="s">
        <v>155</v>
      </c>
      <c r="O72" t="s">
        <v>181</v>
      </c>
      <c r="P72">
        <v>23191118</v>
      </c>
      <c r="Q72" t="s">
        <v>152</v>
      </c>
      <c r="R72" t="s">
        <v>153</v>
      </c>
      <c r="S72">
        <v>31.17</v>
      </c>
      <c r="T72">
        <v>7900</v>
      </c>
      <c r="U72">
        <v>246243</v>
      </c>
      <c r="V72" t="str">
        <f t="shared" si="31"/>
        <v>Accepted</v>
      </c>
      <c r="W72">
        <f>IFERROR(VLOOKUP(N72, Payment_Terms!A:B, 2, FALSE), "Payment term not found!")</f>
        <v>30</v>
      </c>
      <c r="X72" t="str">
        <f>IFERROR(VLOOKUP(R72, Item_Category!A:B, 2, FALSE), "Uncategorized")</f>
        <v>Coal materials</v>
      </c>
      <c r="Y72" s="5">
        <f t="shared" si="18"/>
        <v>0</v>
      </c>
      <c r="Z72">
        <f t="shared" si="19"/>
        <v>5</v>
      </c>
      <c r="AA72">
        <f t="shared" si="20"/>
        <v>-3</v>
      </c>
      <c r="AB72">
        <f t="shared" si="21"/>
        <v>5</v>
      </c>
      <c r="AC72" s="10">
        <f t="shared" si="22"/>
        <v>7</v>
      </c>
      <c r="AD72" s="5">
        <f t="shared" si="23"/>
        <v>1</v>
      </c>
      <c r="AE72" s="5">
        <f t="shared" si="24"/>
        <v>1</v>
      </c>
      <c r="AF72" s="5">
        <f t="shared" si="25"/>
        <v>0</v>
      </c>
      <c r="AG72">
        <f>IF(B72&lt;&gt;"", COUNTIFS($B$2:B72, B72), "")</f>
        <v>8</v>
      </c>
      <c r="AH72">
        <f t="shared" si="26"/>
        <v>5</v>
      </c>
      <c r="AI72" t="str">
        <f>VLOOKUP(B72, Currency!A:B, 2, FALSE)</f>
        <v>INR</v>
      </c>
      <c r="AJ72">
        <f t="shared" si="27"/>
        <v>5</v>
      </c>
      <c r="AK72">
        <f t="shared" si="28"/>
        <v>9</v>
      </c>
      <c r="AL72" t="str">
        <f t="shared" si="29"/>
        <v>September</v>
      </c>
      <c r="AM72">
        <f t="shared" si="32"/>
        <v>2023</v>
      </c>
      <c r="AN72" t="str">
        <f t="shared" si="30"/>
        <v>30Venkatadurga Enterprises</v>
      </c>
      <c r="AO72">
        <f>IF(COUNTIF($AN$2:AN72, AN72)=1, 1, 0)</f>
        <v>0</v>
      </c>
      <c r="AP72" t="str">
        <f t="shared" si="33"/>
        <v>&gt;3</v>
      </c>
      <c r="AQ72" t="str">
        <f t="shared" si="34"/>
        <v>&gt;3</v>
      </c>
      <c r="AR72" t="str">
        <f t="shared" si="35"/>
        <v>&gt;3</v>
      </c>
    </row>
    <row r="73" spans="1:44" x14ac:dyDescent="0.3">
      <c r="A73" t="str">
        <f>A59</f>
        <v>Woodpulp</v>
      </c>
      <c r="B73" t="s">
        <v>140</v>
      </c>
      <c r="C73" t="s">
        <v>71</v>
      </c>
      <c r="D73">
        <v>2720</v>
      </c>
      <c r="E73">
        <v>23120069</v>
      </c>
      <c r="F73" t="s">
        <v>142</v>
      </c>
      <c r="G73" t="s">
        <v>360</v>
      </c>
      <c r="H73">
        <v>125</v>
      </c>
      <c r="I73">
        <v>830</v>
      </c>
      <c r="J73">
        <v>8476375</v>
      </c>
      <c r="K73" s="7" t="str">
        <f>IFERROR(IF(B73&lt;&gt;"", TEXT(VLOOKUP(B73, 'Expected Date'!A:B, 2, FALSE) + DATE(RIGHT(C73,2),MID(C73,4,2),LEFT(C73,2)), "dd/mm/yy"), ""), "")</f>
        <v>06/08/23</v>
      </c>
      <c r="L73" t="s">
        <v>68</v>
      </c>
      <c r="M73" t="str">
        <f>M47</f>
        <v>MT</v>
      </c>
      <c r="N73" t="s">
        <v>190</v>
      </c>
      <c r="O73" t="s">
        <v>191</v>
      </c>
      <c r="P73">
        <v>23190975</v>
      </c>
      <c r="Q73" t="s">
        <v>142</v>
      </c>
      <c r="R73" t="s">
        <v>143</v>
      </c>
      <c r="S73">
        <v>124.41800000000001</v>
      </c>
      <c r="T73">
        <v>830</v>
      </c>
      <c r="U73">
        <v>8488542.4700000007</v>
      </c>
      <c r="V73" t="str">
        <f t="shared" si="31"/>
        <v>Accepted</v>
      </c>
      <c r="W73">
        <f>IFERROR(VLOOKUP(N73, Payment_Terms!A:B, 2, FALSE), "Payment term not found!")</f>
        <v>0</v>
      </c>
      <c r="X73" t="str">
        <f>IFERROR(VLOOKUP(R73, Item_Category!A:B, 2, FALSE), "Uncategorized")</f>
        <v>Wood pulp</v>
      </c>
      <c r="Y73" s="5">
        <f t="shared" si="18"/>
        <v>4.6559999999999492E-3</v>
      </c>
      <c r="Z73">
        <f t="shared" si="19"/>
        <v>4</v>
      </c>
      <c r="AA73">
        <f t="shared" si="20"/>
        <v>22</v>
      </c>
      <c r="AB73">
        <f t="shared" si="21"/>
        <v>1</v>
      </c>
      <c r="AC73" s="10">
        <f t="shared" si="22"/>
        <v>67</v>
      </c>
      <c r="AD73" s="5">
        <f t="shared" si="23"/>
        <v>1</v>
      </c>
      <c r="AE73" s="5">
        <f t="shared" si="24"/>
        <v>1</v>
      </c>
      <c r="AF73" s="5">
        <f t="shared" si="25"/>
        <v>0</v>
      </c>
      <c r="AG73">
        <f>IF(B73&lt;&gt;"", COUNTIFS($B$2:B73, B73), "")</f>
        <v>5</v>
      </c>
      <c r="AH73">
        <f t="shared" si="26"/>
        <v>5</v>
      </c>
      <c r="AI73" t="str">
        <f>VLOOKUP(B73, Currency!A:B, 2, FALSE)</f>
        <v>USD</v>
      </c>
      <c r="AJ73">
        <f t="shared" si="27"/>
        <v>4</v>
      </c>
      <c r="AK73">
        <f t="shared" si="28"/>
        <v>6</v>
      </c>
      <c r="AL73" t="str">
        <f t="shared" si="29"/>
        <v>June</v>
      </c>
      <c r="AM73">
        <f t="shared" si="32"/>
        <v>2023</v>
      </c>
      <c r="AN73" t="str">
        <f t="shared" si="30"/>
        <v>0Sappi Paper Holdings GMBH</v>
      </c>
      <c r="AO73">
        <f>IF(COUNTIF($AN$2:AN73, AN73)=1, 1, 0)</f>
        <v>1</v>
      </c>
      <c r="AP73" t="str">
        <f t="shared" si="33"/>
        <v>&gt;3</v>
      </c>
      <c r="AQ73" t="str">
        <f t="shared" si="34"/>
        <v>&gt;3</v>
      </c>
      <c r="AR73" t="str">
        <f t="shared" si="35"/>
        <v>&lt;=3</v>
      </c>
    </row>
    <row r="74" spans="1:44" x14ac:dyDescent="0.3">
      <c r="A74" t="s">
        <v>33</v>
      </c>
      <c r="B74" t="s">
        <v>51</v>
      </c>
      <c r="C74" t="s">
        <v>52</v>
      </c>
      <c r="D74">
        <v>3768</v>
      </c>
      <c r="E74">
        <v>23120100</v>
      </c>
      <c r="F74" t="s">
        <v>61</v>
      </c>
      <c r="G74" t="s">
        <v>62</v>
      </c>
      <c r="H74">
        <v>142</v>
      </c>
      <c r="I74">
        <v>6288.5</v>
      </c>
      <c r="J74">
        <v>892967</v>
      </c>
      <c r="K74" s="7" t="str">
        <f>IFERROR(IF(B74&lt;&gt;"", TEXT(VLOOKUP(B74, 'Expected Date'!A:B, 2, FALSE) + DATE(RIGHT(C74,2),MID(C74,4,2),LEFT(C74,2)), "dd/mm/yy"), ""), "")</f>
        <v>05/09/23</v>
      </c>
      <c r="L74" t="s">
        <v>38</v>
      </c>
      <c r="M74" t="s">
        <v>48</v>
      </c>
      <c r="N74" t="s">
        <v>55</v>
      </c>
      <c r="O74" t="s">
        <v>192</v>
      </c>
      <c r="P74">
        <v>23190880</v>
      </c>
      <c r="Q74" t="s">
        <v>61</v>
      </c>
      <c r="R74" t="s">
        <v>62</v>
      </c>
      <c r="S74">
        <v>21</v>
      </c>
      <c r="T74">
        <v>6288.5</v>
      </c>
      <c r="U74">
        <v>132058.5</v>
      </c>
      <c r="V74" t="str">
        <f t="shared" si="31"/>
        <v>Accepted</v>
      </c>
      <c r="W74">
        <f>IFERROR(VLOOKUP(N74, Payment_Terms!A:B, 2, FALSE), "Payment term not found!")</f>
        <v>0</v>
      </c>
      <c r="X74" t="str">
        <f>IFERROR(VLOOKUP(R74, Item_Category!A:B, 2, FALSE), "Uncategorized")</f>
        <v>Coal materials</v>
      </c>
      <c r="Y74" s="5">
        <f t="shared" si="18"/>
        <v>0</v>
      </c>
      <c r="Z74">
        <f t="shared" si="19"/>
        <v>5</v>
      </c>
      <c r="AA74">
        <f t="shared" si="20"/>
        <v>-22</v>
      </c>
      <c r="AB74">
        <f t="shared" si="21"/>
        <v>5</v>
      </c>
      <c r="AC74" s="10">
        <f t="shared" si="22"/>
        <v>2</v>
      </c>
      <c r="AD74" s="5">
        <f t="shared" si="23"/>
        <v>1</v>
      </c>
      <c r="AE74" s="5">
        <f t="shared" si="24"/>
        <v>1</v>
      </c>
      <c r="AF74" s="5">
        <f t="shared" si="25"/>
        <v>0</v>
      </c>
      <c r="AG74">
        <f>IF(B74&lt;&gt;"", COUNTIFS($B$2:B74, B74), "")</f>
        <v>29</v>
      </c>
      <c r="AH74">
        <f t="shared" si="26"/>
        <v>5</v>
      </c>
      <c r="AI74" t="str">
        <f>VLOOKUP(B74, Currency!A:B, 2, FALSE)</f>
        <v>INR</v>
      </c>
      <c r="AJ74">
        <f t="shared" si="27"/>
        <v>5</v>
      </c>
      <c r="AK74">
        <f t="shared" si="28"/>
        <v>8</v>
      </c>
      <c r="AL74" t="str">
        <f t="shared" si="29"/>
        <v>August</v>
      </c>
      <c r="AM74">
        <f t="shared" si="32"/>
        <v>2023</v>
      </c>
      <c r="AN74" t="str">
        <f t="shared" si="30"/>
        <v>0The Singareni Collieries Company Ltd</v>
      </c>
      <c r="AO74">
        <f>IF(COUNTIF($AN$2:AN74, AN74)=1, 1, 0)</f>
        <v>0</v>
      </c>
      <c r="AP74" t="str">
        <f t="shared" si="33"/>
        <v>&gt;3</v>
      </c>
      <c r="AQ74" t="str">
        <f t="shared" si="34"/>
        <v>&gt;3</v>
      </c>
      <c r="AR74" t="str">
        <f t="shared" si="35"/>
        <v>&gt;3</v>
      </c>
    </row>
    <row r="75" spans="1:44" x14ac:dyDescent="0.3">
      <c r="A75" t="str">
        <f>A73</f>
        <v>Woodpulp</v>
      </c>
      <c r="B75" t="s">
        <v>140</v>
      </c>
      <c r="C75" t="s">
        <v>193</v>
      </c>
      <c r="D75">
        <v>3154</v>
      </c>
      <c r="E75">
        <v>23120089</v>
      </c>
      <c r="F75" t="s">
        <v>142</v>
      </c>
      <c r="G75" t="s">
        <v>360</v>
      </c>
      <c r="H75">
        <v>125</v>
      </c>
      <c r="I75">
        <v>830</v>
      </c>
      <c r="J75">
        <v>8460812.5</v>
      </c>
      <c r="K75" s="7" t="str">
        <f>IFERROR(IF(B75&lt;&gt;"", TEXT(VLOOKUP(B75, 'Expected Date'!A:B, 2, FALSE) + DATE(RIGHT(C75,2),MID(C75,4,2),LEFT(C75,2)), "dd/mm/yy"), ""), "")</f>
        <v>31/08/23</v>
      </c>
      <c r="L75" t="s">
        <v>68</v>
      </c>
      <c r="M75" t="str">
        <f>M47</f>
        <v>MT</v>
      </c>
      <c r="N75" t="s">
        <v>190</v>
      </c>
      <c r="O75" t="s">
        <v>194</v>
      </c>
      <c r="P75">
        <v>23191221</v>
      </c>
      <c r="Q75" t="s">
        <v>142</v>
      </c>
      <c r="R75" t="s">
        <v>143</v>
      </c>
      <c r="S75">
        <v>122.529</v>
      </c>
      <c r="T75">
        <v>830</v>
      </c>
      <c r="U75">
        <v>8369833.46</v>
      </c>
      <c r="V75" t="str">
        <f t="shared" si="31"/>
        <v>Accepted</v>
      </c>
      <c r="W75">
        <f>IFERROR(VLOOKUP(N75, Payment_Terms!A:B, 2, FALSE), "Payment term not found!")</f>
        <v>0</v>
      </c>
      <c r="X75" t="str">
        <f>IFERROR(VLOOKUP(R75, Item_Category!A:B, 2, FALSE), "Uncategorized")</f>
        <v>Wood pulp</v>
      </c>
      <c r="Y75" s="5">
        <f t="shared" si="18"/>
        <v>1.9768000000000029E-2</v>
      </c>
      <c r="Z75">
        <f t="shared" si="19"/>
        <v>4</v>
      </c>
      <c r="AA75">
        <f t="shared" si="20"/>
        <v>26</v>
      </c>
      <c r="AB75">
        <f t="shared" si="21"/>
        <v>1</v>
      </c>
      <c r="AC75" s="10">
        <f t="shared" si="22"/>
        <v>71</v>
      </c>
      <c r="AD75" s="5">
        <f t="shared" si="23"/>
        <v>1</v>
      </c>
      <c r="AE75" s="5">
        <f t="shared" si="24"/>
        <v>1</v>
      </c>
      <c r="AF75" s="5">
        <f t="shared" si="25"/>
        <v>0</v>
      </c>
      <c r="AG75">
        <f>IF(B75&lt;&gt;"", COUNTIFS($B$2:B75, B75), "")</f>
        <v>6</v>
      </c>
      <c r="AH75">
        <f t="shared" si="26"/>
        <v>5</v>
      </c>
      <c r="AI75" t="str">
        <f>VLOOKUP(B75, Currency!A:B, 2, FALSE)</f>
        <v>USD</v>
      </c>
      <c r="AJ75">
        <f t="shared" si="27"/>
        <v>4</v>
      </c>
      <c r="AK75">
        <f t="shared" si="28"/>
        <v>7</v>
      </c>
      <c r="AL75" t="str">
        <f t="shared" si="29"/>
        <v>July</v>
      </c>
      <c r="AM75">
        <f t="shared" si="32"/>
        <v>2023</v>
      </c>
      <c r="AN75" t="str">
        <f t="shared" si="30"/>
        <v>0Sappi Paper Holdings GMBH</v>
      </c>
      <c r="AO75">
        <f>IF(COUNTIF($AN$2:AN75, AN75)=1, 1, 0)</f>
        <v>0</v>
      </c>
      <c r="AP75" t="str">
        <f t="shared" si="33"/>
        <v>&gt;3</v>
      </c>
      <c r="AQ75" t="str">
        <f t="shared" si="34"/>
        <v>&gt;3</v>
      </c>
      <c r="AR75" t="str">
        <f t="shared" si="35"/>
        <v>&lt;=3</v>
      </c>
    </row>
    <row r="76" spans="1:44" x14ac:dyDescent="0.3">
      <c r="A76" t="s">
        <v>33</v>
      </c>
      <c r="B76" t="s">
        <v>107</v>
      </c>
      <c r="C76" t="s">
        <v>195</v>
      </c>
      <c r="D76">
        <v>2456</v>
      </c>
      <c r="E76">
        <v>23120045</v>
      </c>
      <c r="F76" t="s">
        <v>92</v>
      </c>
      <c r="G76" t="s">
        <v>93</v>
      </c>
      <c r="H76">
        <v>6000</v>
      </c>
      <c r="I76">
        <v>33.799999999999997</v>
      </c>
      <c r="J76">
        <v>202800</v>
      </c>
      <c r="K76" s="7" t="str">
        <f>IFERROR(IF(B76&lt;&gt;"", TEXT(VLOOKUP(B76, 'Expected Date'!A:B, 2, FALSE) + DATE(RIGHT(C76,2),MID(C76,4,2),LEFT(C76,2)), "dd/mm/yy"), ""), "")</f>
        <v>25/06/23</v>
      </c>
      <c r="L76" t="s">
        <v>38</v>
      </c>
      <c r="M76" t="s">
        <v>39</v>
      </c>
      <c r="N76" t="s">
        <v>109</v>
      </c>
      <c r="O76" t="s">
        <v>180</v>
      </c>
      <c r="P76">
        <v>23190651</v>
      </c>
      <c r="Q76" t="s">
        <v>92</v>
      </c>
      <c r="R76" t="s">
        <v>93</v>
      </c>
      <c r="S76">
        <v>9005</v>
      </c>
      <c r="T76">
        <v>33.799999999999997</v>
      </c>
      <c r="U76">
        <v>304369</v>
      </c>
      <c r="V76" t="str">
        <f t="shared" si="31"/>
        <v>Accepted</v>
      </c>
      <c r="W76">
        <f>IFERROR(VLOOKUP(N76, Payment_Terms!A:B, 2, FALSE), "Payment term not found!")</f>
        <v>0</v>
      </c>
      <c r="X76" t="str">
        <f>IFERROR(VLOOKUP(R76, Item_Category!A:B, 2, FALSE), "Uncategorized")</f>
        <v>Bags</v>
      </c>
      <c r="Y76" s="5">
        <f t="shared" si="18"/>
        <v>0</v>
      </c>
      <c r="Z76">
        <f t="shared" si="19"/>
        <v>5</v>
      </c>
      <c r="AA76">
        <f t="shared" si="20"/>
        <v>20</v>
      </c>
      <c r="AB76">
        <f t="shared" si="21"/>
        <v>1</v>
      </c>
      <c r="AC76" s="10">
        <f t="shared" si="22"/>
        <v>30</v>
      </c>
      <c r="AD76" s="5">
        <f t="shared" si="23"/>
        <v>1</v>
      </c>
      <c r="AE76" s="5">
        <f t="shared" si="24"/>
        <v>1</v>
      </c>
      <c r="AF76" s="5">
        <f t="shared" si="25"/>
        <v>0</v>
      </c>
      <c r="AG76">
        <f>IF(B76&lt;&gt;"", COUNTIFS($B$2:B76, B76), "")</f>
        <v>4</v>
      </c>
      <c r="AH76">
        <f t="shared" si="26"/>
        <v>5</v>
      </c>
      <c r="AI76" t="str">
        <f>VLOOKUP(B76, Currency!A:B, 2, FALSE)</f>
        <v>INR</v>
      </c>
      <c r="AJ76">
        <f t="shared" si="27"/>
        <v>4</v>
      </c>
      <c r="AK76">
        <f t="shared" si="28"/>
        <v>6</v>
      </c>
      <c r="AL76" t="str">
        <f t="shared" si="29"/>
        <v>June</v>
      </c>
      <c r="AM76">
        <f t="shared" si="32"/>
        <v>2023</v>
      </c>
      <c r="AN76" t="str">
        <f t="shared" si="30"/>
        <v>0KAPILA INDUSTRIES</v>
      </c>
      <c r="AO76">
        <f>IF(COUNTIF($AN$2:AN76, AN76)=1, 1, 0)</f>
        <v>0</v>
      </c>
      <c r="AP76" t="str">
        <f t="shared" si="33"/>
        <v>&gt;3</v>
      </c>
      <c r="AQ76" t="str">
        <f t="shared" si="34"/>
        <v>&gt;3</v>
      </c>
      <c r="AR76" t="str">
        <f t="shared" si="35"/>
        <v>&lt;=3</v>
      </c>
    </row>
    <row r="77" spans="1:44" x14ac:dyDescent="0.3">
      <c r="A77" t="s">
        <v>33</v>
      </c>
      <c r="B77" t="s">
        <v>150</v>
      </c>
      <c r="C77" t="s">
        <v>89</v>
      </c>
      <c r="D77">
        <v>2865</v>
      </c>
      <c r="E77">
        <v>23120081</v>
      </c>
      <c r="F77" t="s">
        <v>196</v>
      </c>
      <c r="G77" t="s">
        <v>197</v>
      </c>
      <c r="H77">
        <v>100</v>
      </c>
      <c r="I77">
        <v>5600</v>
      </c>
      <c r="J77">
        <v>560000</v>
      </c>
      <c r="K77" s="7" t="str">
        <f>IFERROR(IF(B77&lt;&gt;"", TEXT(VLOOKUP(B77, 'Expected Date'!A:B, 2, FALSE) + DATE(RIGHT(C77,2),MID(C77,4,2),LEFT(C77,2)), "dd/mm/yy"), ""), "")</f>
        <v>15/07/23</v>
      </c>
      <c r="L77" t="s">
        <v>68</v>
      </c>
      <c r="M77" t="s">
        <v>48</v>
      </c>
      <c r="N77" t="s">
        <v>183</v>
      </c>
      <c r="O77" t="s">
        <v>180</v>
      </c>
      <c r="P77">
        <v>23190652</v>
      </c>
      <c r="Q77" t="s">
        <v>196</v>
      </c>
      <c r="R77" t="s">
        <v>197</v>
      </c>
      <c r="S77">
        <v>25.31</v>
      </c>
      <c r="T77">
        <v>5600</v>
      </c>
      <c r="U77">
        <v>141736</v>
      </c>
      <c r="V77" t="str">
        <f t="shared" si="31"/>
        <v>Accepted</v>
      </c>
      <c r="W77">
        <f>IFERROR(VLOOKUP(N77, Payment_Terms!A:B, 2, FALSE), "Payment term not found!")</f>
        <v>30</v>
      </c>
      <c r="X77" t="str">
        <f>IFERROR(VLOOKUP(R77, Item_Category!A:B, 2, FALSE), "Uncategorized")</f>
        <v>Coal materials</v>
      </c>
      <c r="Y77" s="5">
        <f t="shared" si="18"/>
        <v>0.54689999999999994</v>
      </c>
      <c r="Z77">
        <f t="shared" si="19"/>
        <v>1</v>
      </c>
      <c r="AA77">
        <f t="shared" si="20"/>
        <v>0</v>
      </c>
      <c r="AB77">
        <f t="shared" si="21"/>
        <v>5</v>
      </c>
      <c r="AC77" s="10">
        <f t="shared" si="22"/>
        <v>10</v>
      </c>
      <c r="AD77" s="5">
        <f t="shared" si="23"/>
        <v>1</v>
      </c>
      <c r="AE77" s="5">
        <f t="shared" si="24"/>
        <v>1</v>
      </c>
      <c r="AF77" s="5">
        <f t="shared" si="25"/>
        <v>0</v>
      </c>
      <c r="AG77">
        <f>IF(B77&lt;&gt;"", COUNTIFS($B$2:B77, B77), "")</f>
        <v>9</v>
      </c>
      <c r="AH77">
        <f t="shared" si="26"/>
        <v>5</v>
      </c>
      <c r="AI77" t="str">
        <f>VLOOKUP(B77, Currency!A:B, 2, FALSE)</f>
        <v>INR</v>
      </c>
      <c r="AJ77">
        <f t="shared" si="27"/>
        <v>4</v>
      </c>
      <c r="AK77">
        <f t="shared" si="28"/>
        <v>7</v>
      </c>
      <c r="AL77" t="str">
        <f t="shared" si="29"/>
        <v>July</v>
      </c>
      <c r="AM77">
        <f t="shared" si="32"/>
        <v>2023</v>
      </c>
      <c r="AN77" t="str">
        <f t="shared" si="30"/>
        <v>30Venkatadurga Enterprises</v>
      </c>
      <c r="AO77">
        <f>IF(COUNTIF($AN$2:AN77, AN77)=1, 1, 0)</f>
        <v>0</v>
      </c>
      <c r="AP77" t="str">
        <f t="shared" si="33"/>
        <v>&gt;3</v>
      </c>
      <c r="AQ77" t="str">
        <f t="shared" si="34"/>
        <v>&lt;=3</v>
      </c>
      <c r="AR77" t="str">
        <f t="shared" si="35"/>
        <v>&gt;3</v>
      </c>
    </row>
    <row r="78" spans="1:44" x14ac:dyDescent="0.3">
      <c r="A78" t="s">
        <v>33</v>
      </c>
      <c r="B78" t="s">
        <v>73</v>
      </c>
      <c r="C78" t="s">
        <v>198</v>
      </c>
      <c r="D78">
        <v>3461</v>
      </c>
      <c r="E78">
        <v>23120095</v>
      </c>
      <c r="F78" t="s">
        <v>75</v>
      </c>
      <c r="G78" t="s">
        <v>76</v>
      </c>
      <c r="H78">
        <v>1600</v>
      </c>
      <c r="I78">
        <v>900</v>
      </c>
      <c r="J78">
        <v>1440000</v>
      </c>
      <c r="K78" s="7" t="str">
        <f>IFERROR(IF(B78&lt;&gt;"", TEXT(VLOOKUP(B78, 'Expected Date'!A:B, 2, FALSE) + DATE(RIGHT(C78,2),MID(C78,4,2),LEFT(C78,2)), "dd/mm/yy"), ""), "")</f>
        <v>20/08/23</v>
      </c>
      <c r="L78" t="s">
        <v>38</v>
      </c>
      <c r="M78" t="s">
        <v>39</v>
      </c>
      <c r="N78" t="s">
        <v>77</v>
      </c>
      <c r="O78" t="s">
        <v>199</v>
      </c>
      <c r="P78">
        <v>23190966</v>
      </c>
      <c r="Q78" t="s">
        <v>75</v>
      </c>
      <c r="R78" t="s">
        <v>76</v>
      </c>
      <c r="S78">
        <v>350</v>
      </c>
      <c r="T78">
        <v>900</v>
      </c>
      <c r="U78">
        <v>315000</v>
      </c>
      <c r="V78" t="str">
        <f t="shared" si="31"/>
        <v>Accepted</v>
      </c>
      <c r="W78">
        <f>IFERROR(VLOOKUP(N78, Payment_Terms!A:B, 2, FALSE), "Payment term not found!")</f>
        <v>0</v>
      </c>
      <c r="X78" t="str">
        <f>IFERROR(VLOOKUP(R78, Item_Category!A:B, 2, FALSE), "Uncategorized")</f>
        <v>Pallets</v>
      </c>
      <c r="Y78" s="5">
        <f t="shared" si="18"/>
        <v>0</v>
      </c>
      <c r="Z78">
        <f t="shared" si="19"/>
        <v>5</v>
      </c>
      <c r="AA78">
        <f t="shared" si="20"/>
        <v>6</v>
      </c>
      <c r="AB78">
        <f t="shared" si="21"/>
        <v>3</v>
      </c>
      <c r="AC78" s="10">
        <f t="shared" si="22"/>
        <v>26</v>
      </c>
      <c r="AD78" s="5">
        <f t="shared" si="23"/>
        <v>1</v>
      </c>
      <c r="AE78" s="5">
        <f t="shared" si="24"/>
        <v>1</v>
      </c>
      <c r="AF78" s="5">
        <f t="shared" si="25"/>
        <v>0</v>
      </c>
      <c r="AG78">
        <f>IF(B78&lt;&gt;"", COUNTIFS($B$2:B78, B78), "")</f>
        <v>6</v>
      </c>
      <c r="AH78">
        <f t="shared" si="26"/>
        <v>5</v>
      </c>
      <c r="AI78" t="str">
        <f>VLOOKUP(B78, Currency!A:B, 2, FALSE)</f>
        <v>INR</v>
      </c>
      <c r="AJ78">
        <f t="shared" si="27"/>
        <v>5</v>
      </c>
      <c r="AK78">
        <f t="shared" si="28"/>
        <v>7</v>
      </c>
      <c r="AL78" t="str">
        <f t="shared" si="29"/>
        <v>July</v>
      </c>
      <c r="AM78">
        <f t="shared" si="32"/>
        <v>2023</v>
      </c>
      <c r="AN78" t="str">
        <f t="shared" si="30"/>
        <v>0Nilkamal Limited</v>
      </c>
      <c r="AO78">
        <f>IF(COUNTIF($AN$2:AN78, AN78)=1, 1, 0)</f>
        <v>0</v>
      </c>
      <c r="AP78" t="str">
        <f t="shared" si="33"/>
        <v>&gt;3</v>
      </c>
      <c r="AQ78" t="str">
        <f t="shared" si="34"/>
        <v>&gt;3</v>
      </c>
      <c r="AR78" t="str">
        <f t="shared" si="35"/>
        <v>&lt;=3</v>
      </c>
    </row>
    <row r="79" spans="1:44" x14ac:dyDescent="0.3">
      <c r="A79" t="s">
        <v>33</v>
      </c>
      <c r="B79" t="s">
        <v>64</v>
      </c>
      <c r="C79" t="s">
        <v>169</v>
      </c>
      <c r="D79">
        <v>2153</v>
      </c>
      <c r="E79">
        <v>23120034</v>
      </c>
      <c r="F79" t="s">
        <v>125</v>
      </c>
      <c r="G79" t="s">
        <v>126</v>
      </c>
      <c r="H79">
        <v>2400</v>
      </c>
      <c r="I79">
        <v>22.5</v>
      </c>
      <c r="J79">
        <v>54000</v>
      </c>
      <c r="K79" s="7" t="str">
        <f>IFERROR(IF(B79&lt;&gt;"", TEXT(VLOOKUP(B79, 'Expected Date'!A:B, 2, FALSE) + DATE(RIGHT(C79,2),MID(C79,4,2),LEFT(C79,2)), "dd/mm/yy"), ""), "")</f>
        <v>04/06/23</v>
      </c>
      <c r="L79" t="s">
        <v>38</v>
      </c>
      <c r="M79" t="s">
        <v>48</v>
      </c>
      <c r="N79" t="s">
        <v>69</v>
      </c>
      <c r="O79" t="s">
        <v>172</v>
      </c>
      <c r="P79">
        <v>23190338</v>
      </c>
      <c r="Q79" t="s">
        <v>125</v>
      </c>
      <c r="R79" t="s">
        <v>126</v>
      </c>
      <c r="S79">
        <v>2400</v>
      </c>
      <c r="T79">
        <v>22.5</v>
      </c>
      <c r="U79">
        <v>54000</v>
      </c>
      <c r="V79" t="str">
        <f t="shared" si="31"/>
        <v>Accepted</v>
      </c>
      <c r="W79">
        <f>IFERROR(VLOOKUP(N79, Payment_Terms!A:B, 2, FALSE), "Payment term not found!")</f>
        <v>30</v>
      </c>
      <c r="X79" t="str">
        <f>IFERROR(VLOOKUP(R79, Item_Category!A:B, 2, FALSE), "Uncategorized")</f>
        <v>Bags</v>
      </c>
      <c r="Y79" s="5">
        <f t="shared" si="18"/>
        <v>0</v>
      </c>
      <c r="Z79">
        <f t="shared" si="19"/>
        <v>5</v>
      </c>
      <c r="AA79">
        <f t="shared" si="20"/>
        <v>-59</v>
      </c>
      <c r="AB79">
        <f t="shared" si="21"/>
        <v>5</v>
      </c>
      <c r="AC79" s="10">
        <f t="shared" si="22"/>
        <v>49</v>
      </c>
      <c r="AD79" s="5">
        <f t="shared" si="23"/>
        <v>1</v>
      </c>
      <c r="AE79" s="5">
        <f t="shared" si="24"/>
        <v>1</v>
      </c>
      <c r="AF79" s="5">
        <f t="shared" si="25"/>
        <v>0</v>
      </c>
      <c r="AG79">
        <f>IF(B79&lt;&gt;"", COUNTIFS($B$2:B79, B79), "")</f>
        <v>5</v>
      </c>
      <c r="AH79">
        <f t="shared" si="26"/>
        <v>5</v>
      </c>
      <c r="AI79" t="str">
        <f>VLOOKUP(B79, Currency!A:B, 2, FALSE)</f>
        <v>INR</v>
      </c>
      <c r="AJ79">
        <f t="shared" si="27"/>
        <v>5</v>
      </c>
      <c r="AK79">
        <f t="shared" si="28"/>
        <v>5</v>
      </c>
      <c r="AL79" t="str">
        <f t="shared" si="29"/>
        <v>May</v>
      </c>
      <c r="AM79">
        <f t="shared" si="32"/>
        <v>2023</v>
      </c>
      <c r="AN79" t="str">
        <f t="shared" si="30"/>
        <v>30Epic Polymers</v>
      </c>
      <c r="AO79">
        <f>IF(COUNTIF($AN$2:AN79, AN79)=1, 1, 0)</f>
        <v>0</v>
      </c>
      <c r="AP79" t="str">
        <f t="shared" si="33"/>
        <v>&gt;3</v>
      </c>
      <c r="AQ79" t="str">
        <f t="shared" si="34"/>
        <v>&gt;3</v>
      </c>
      <c r="AR79" t="str">
        <f t="shared" si="35"/>
        <v>&gt;3</v>
      </c>
    </row>
    <row r="80" spans="1:44" x14ac:dyDescent="0.3">
      <c r="A80" t="str">
        <f>A75</f>
        <v>Woodpulp</v>
      </c>
      <c r="B80" t="s">
        <v>140</v>
      </c>
      <c r="C80" t="s">
        <v>169</v>
      </c>
      <c r="D80">
        <v>2156</v>
      </c>
      <c r="E80">
        <v>23120036</v>
      </c>
      <c r="F80" t="s">
        <v>142</v>
      </c>
      <c r="G80" t="s">
        <v>360</v>
      </c>
      <c r="H80">
        <v>100</v>
      </c>
      <c r="I80">
        <v>830</v>
      </c>
      <c r="J80">
        <v>6768650</v>
      </c>
      <c r="K80" s="7" t="str">
        <f>IFERROR(IF(B80&lt;&gt;"", TEXT(VLOOKUP(B80, 'Expected Date'!A:B, 2, FALSE) + DATE(RIGHT(C80,2),MID(C80,4,2),LEFT(C80,2)), "dd/mm/yy"), ""), "")</f>
        <v>09/07/23</v>
      </c>
      <c r="L80" t="s">
        <v>68</v>
      </c>
      <c r="M80" t="str">
        <f>M47</f>
        <v>MT</v>
      </c>
      <c r="N80" t="s">
        <v>144</v>
      </c>
      <c r="O80" t="s">
        <v>179</v>
      </c>
      <c r="P80">
        <v>23190349</v>
      </c>
      <c r="Q80" t="s">
        <v>142</v>
      </c>
      <c r="R80" t="s">
        <v>143</v>
      </c>
      <c r="S80">
        <v>99.274000000000001</v>
      </c>
      <c r="T80">
        <v>830</v>
      </c>
      <c r="U80">
        <v>6719509.5999999996</v>
      </c>
      <c r="V80" t="str">
        <f t="shared" si="31"/>
        <v>Accepted</v>
      </c>
      <c r="W80">
        <f>IFERROR(VLOOKUP(N80, Payment_Terms!A:B, 2, FALSE), "Payment term not found!")</f>
        <v>30</v>
      </c>
      <c r="X80" t="str">
        <f>IFERROR(VLOOKUP(R80, Item_Category!A:B, 2, FALSE), "Uncategorized")</f>
        <v>Wood pulp</v>
      </c>
      <c r="Y80" s="5">
        <f t="shared" si="18"/>
        <v>7.2599999999999913E-3</v>
      </c>
      <c r="Z80">
        <f t="shared" si="19"/>
        <v>4</v>
      </c>
      <c r="AA80">
        <f t="shared" si="20"/>
        <v>-47</v>
      </c>
      <c r="AB80">
        <f t="shared" si="21"/>
        <v>5</v>
      </c>
      <c r="AC80" s="10">
        <f t="shared" si="22"/>
        <v>2</v>
      </c>
      <c r="AD80" s="5">
        <f t="shared" si="23"/>
        <v>1</v>
      </c>
      <c r="AE80" s="5">
        <f t="shared" si="24"/>
        <v>1</v>
      </c>
      <c r="AF80" s="5">
        <f t="shared" si="25"/>
        <v>0</v>
      </c>
      <c r="AG80">
        <f>IF(B80&lt;&gt;"", COUNTIFS($B$2:B80, B80), "")</f>
        <v>7</v>
      </c>
      <c r="AH80">
        <f t="shared" si="26"/>
        <v>5</v>
      </c>
      <c r="AI80" t="str">
        <f>VLOOKUP(B80, Currency!A:B, 2, FALSE)</f>
        <v>USD</v>
      </c>
      <c r="AJ80">
        <f t="shared" si="27"/>
        <v>5</v>
      </c>
      <c r="AK80">
        <f t="shared" si="28"/>
        <v>5</v>
      </c>
      <c r="AL80" t="str">
        <f t="shared" si="29"/>
        <v>May</v>
      </c>
      <c r="AM80">
        <f t="shared" si="32"/>
        <v>2023</v>
      </c>
      <c r="AN80" t="str">
        <f t="shared" si="30"/>
        <v>30Sappi Paper Holdings GMBH</v>
      </c>
      <c r="AO80">
        <f>IF(COUNTIF($AN$2:AN80, AN80)=1, 1, 0)</f>
        <v>0</v>
      </c>
      <c r="AP80" t="str">
        <f t="shared" si="33"/>
        <v>&gt;3</v>
      </c>
      <c r="AQ80" t="str">
        <f t="shared" si="34"/>
        <v>&gt;3</v>
      </c>
      <c r="AR80" t="str">
        <f t="shared" si="35"/>
        <v>&gt;3</v>
      </c>
    </row>
    <row r="81" spans="1:44" x14ac:dyDescent="0.3">
      <c r="A81" t="s">
        <v>33</v>
      </c>
      <c r="B81" t="s">
        <v>200</v>
      </c>
      <c r="C81" t="s">
        <v>108</v>
      </c>
      <c r="D81">
        <v>1807</v>
      </c>
      <c r="E81">
        <v>23120021</v>
      </c>
      <c r="F81" t="s">
        <v>186</v>
      </c>
      <c r="G81" t="s">
        <v>187</v>
      </c>
      <c r="H81">
        <v>4000</v>
      </c>
      <c r="I81">
        <v>126</v>
      </c>
      <c r="J81">
        <v>504000</v>
      </c>
      <c r="K81" s="7" t="str">
        <f>IFERROR(IF(B81&lt;&gt;"", TEXT(VLOOKUP(B81, 'Expected Date'!A:B, 2, FALSE) + DATE(RIGHT(C81,2),MID(C81,4,2),LEFT(C81,2)), "dd/mm/yy"), ""), "")</f>
        <v>20/05/23</v>
      </c>
      <c r="L81" t="s">
        <v>38</v>
      </c>
      <c r="M81" t="s">
        <v>48</v>
      </c>
      <c r="N81" t="s">
        <v>188</v>
      </c>
      <c r="O81" t="s">
        <v>201</v>
      </c>
      <c r="P81">
        <v>23190581</v>
      </c>
      <c r="Q81" t="s">
        <v>186</v>
      </c>
      <c r="R81" t="s">
        <v>187</v>
      </c>
      <c r="S81">
        <v>2000</v>
      </c>
      <c r="T81">
        <v>126</v>
      </c>
      <c r="U81">
        <v>252000</v>
      </c>
      <c r="V81" t="str">
        <f t="shared" si="31"/>
        <v>Accepted</v>
      </c>
      <c r="W81">
        <f>IFERROR(VLOOKUP(N81, Payment_Terms!A:B, 2, FALSE), "Payment term not found!")</f>
        <v>30</v>
      </c>
      <c r="X81" t="str">
        <f>IFERROR(VLOOKUP(R81, Item_Category!A:B, 2, FALSE), "Uncategorized")</f>
        <v>Liner</v>
      </c>
      <c r="Y81" s="5">
        <f t="shared" si="18"/>
        <v>0</v>
      </c>
      <c r="Z81">
        <f t="shared" si="19"/>
        <v>5</v>
      </c>
      <c r="AA81">
        <f t="shared" si="20"/>
        <v>42</v>
      </c>
      <c r="AB81">
        <f t="shared" si="21"/>
        <v>1</v>
      </c>
      <c r="AC81" s="10">
        <f t="shared" si="22"/>
        <v>52</v>
      </c>
      <c r="AD81" s="5">
        <f t="shared" si="23"/>
        <v>1</v>
      </c>
      <c r="AE81" s="5">
        <f t="shared" si="24"/>
        <v>1</v>
      </c>
      <c r="AF81" s="5">
        <f t="shared" si="25"/>
        <v>0</v>
      </c>
      <c r="AG81">
        <f>IF(B81&lt;&gt;"", COUNTIFS($B$2:B81, B81), "")</f>
        <v>1</v>
      </c>
      <c r="AH81">
        <f t="shared" si="26"/>
        <v>5</v>
      </c>
      <c r="AI81" t="str">
        <f>VLOOKUP(B81, Currency!A:B, 2, FALSE)</f>
        <v>INR</v>
      </c>
      <c r="AJ81">
        <f t="shared" si="27"/>
        <v>4</v>
      </c>
      <c r="AK81">
        <f t="shared" si="28"/>
        <v>5</v>
      </c>
      <c r="AL81" t="str">
        <f t="shared" si="29"/>
        <v>May</v>
      </c>
      <c r="AM81">
        <f t="shared" si="32"/>
        <v>2023</v>
      </c>
      <c r="AN81" t="str">
        <f t="shared" si="30"/>
        <v>30Foldpack India Private Limited</v>
      </c>
      <c r="AO81">
        <f>IF(COUNTIF($AN$2:AN81, AN81)=1, 1, 0)</f>
        <v>1</v>
      </c>
      <c r="AP81" t="str">
        <f t="shared" si="33"/>
        <v>&gt;3</v>
      </c>
      <c r="AQ81" t="str">
        <f t="shared" si="34"/>
        <v>&gt;3</v>
      </c>
      <c r="AR81" t="str">
        <f t="shared" si="35"/>
        <v>&lt;=3</v>
      </c>
    </row>
    <row r="82" spans="1:44" x14ac:dyDescent="0.3">
      <c r="A82" t="s">
        <v>33</v>
      </c>
      <c r="B82" t="s">
        <v>64</v>
      </c>
      <c r="C82" t="s">
        <v>169</v>
      </c>
      <c r="D82">
        <v>2153</v>
      </c>
      <c r="E82">
        <v>23120034</v>
      </c>
      <c r="F82" t="s">
        <v>66</v>
      </c>
      <c r="G82" t="s">
        <v>67</v>
      </c>
      <c r="H82">
        <v>2400</v>
      </c>
      <c r="I82">
        <v>22.5</v>
      </c>
      <c r="J82">
        <v>54000</v>
      </c>
      <c r="K82" s="7" t="str">
        <f>IFERROR(IF(B82&lt;&gt;"", TEXT(VLOOKUP(B82, 'Expected Date'!A:B, 2, FALSE) + DATE(RIGHT(C82,2),MID(C82,4,2),LEFT(C82,2)), "dd/mm/yy"), ""), "")</f>
        <v>04/06/23</v>
      </c>
      <c r="L82" t="s">
        <v>38</v>
      </c>
      <c r="M82" t="s">
        <v>39</v>
      </c>
      <c r="N82" t="s">
        <v>69</v>
      </c>
      <c r="O82" t="s">
        <v>172</v>
      </c>
      <c r="P82">
        <v>23190338</v>
      </c>
      <c r="Q82" t="s">
        <v>66</v>
      </c>
      <c r="R82" t="s">
        <v>67</v>
      </c>
      <c r="S82">
        <v>2400</v>
      </c>
      <c r="T82">
        <v>22.5</v>
      </c>
      <c r="U82">
        <v>54000</v>
      </c>
      <c r="V82" t="str">
        <f t="shared" si="31"/>
        <v>Accepted</v>
      </c>
      <c r="W82">
        <f>IFERROR(VLOOKUP(N82, Payment_Terms!A:B, 2, FALSE), "Payment term not found!")</f>
        <v>30</v>
      </c>
      <c r="X82" t="str">
        <f>IFERROR(VLOOKUP(R82, Item_Category!A:B, 2, FALSE), "Uncategorized")</f>
        <v>Bags</v>
      </c>
      <c r="Y82" s="5">
        <f t="shared" si="18"/>
        <v>0</v>
      </c>
      <c r="Z82">
        <f t="shared" si="19"/>
        <v>5</v>
      </c>
      <c r="AA82">
        <f t="shared" si="20"/>
        <v>-59</v>
      </c>
      <c r="AB82">
        <f t="shared" si="21"/>
        <v>5</v>
      </c>
      <c r="AC82" s="10">
        <f t="shared" si="22"/>
        <v>49</v>
      </c>
      <c r="AD82" s="5">
        <f t="shared" si="23"/>
        <v>1</v>
      </c>
      <c r="AE82" s="5">
        <f t="shared" si="24"/>
        <v>1</v>
      </c>
      <c r="AF82" s="5">
        <f t="shared" si="25"/>
        <v>0</v>
      </c>
      <c r="AG82">
        <f>IF(B82&lt;&gt;"", COUNTIFS($B$2:B82, B82), "")</f>
        <v>6</v>
      </c>
      <c r="AH82">
        <f t="shared" si="26"/>
        <v>5</v>
      </c>
      <c r="AI82" t="str">
        <f>VLOOKUP(B82, Currency!A:B, 2, FALSE)</f>
        <v>INR</v>
      </c>
      <c r="AJ82">
        <f t="shared" si="27"/>
        <v>5</v>
      </c>
      <c r="AK82">
        <f t="shared" si="28"/>
        <v>5</v>
      </c>
      <c r="AL82" t="str">
        <f t="shared" si="29"/>
        <v>May</v>
      </c>
      <c r="AM82">
        <f t="shared" si="32"/>
        <v>2023</v>
      </c>
      <c r="AN82" t="str">
        <f t="shared" si="30"/>
        <v>30Epic Polymers</v>
      </c>
      <c r="AO82">
        <f>IF(COUNTIF($AN$2:AN82, AN82)=1, 1, 0)</f>
        <v>0</v>
      </c>
      <c r="AP82" t="str">
        <f t="shared" si="33"/>
        <v>&gt;3</v>
      </c>
      <c r="AQ82" t="str">
        <f t="shared" si="34"/>
        <v>&gt;3</v>
      </c>
      <c r="AR82" t="str">
        <f t="shared" si="35"/>
        <v>&gt;3</v>
      </c>
    </row>
    <row r="83" spans="1:44" x14ac:dyDescent="0.3">
      <c r="A83" t="s">
        <v>33</v>
      </c>
      <c r="B83" t="s">
        <v>51</v>
      </c>
      <c r="C83" t="s">
        <v>52</v>
      </c>
      <c r="D83">
        <v>3768</v>
      </c>
      <c r="E83">
        <v>23120100</v>
      </c>
      <c r="F83" t="s">
        <v>53</v>
      </c>
      <c r="G83" t="s">
        <v>54</v>
      </c>
      <c r="H83">
        <v>435.83</v>
      </c>
      <c r="I83">
        <v>7412.17</v>
      </c>
      <c r="J83">
        <v>3230446.05</v>
      </c>
      <c r="K83" s="7" t="str">
        <f>IFERROR(IF(B83&lt;&gt;"", TEXT(VLOOKUP(B83, 'Expected Date'!A:B, 2, FALSE) + DATE(RIGHT(C83,2),MID(C83,4,2),LEFT(C83,2)), "dd/mm/yy"), ""), "")</f>
        <v>05/09/23</v>
      </c>
      <c r="L83" t="s">
        <v>38</v>
      </c>
      <c r="M83" t="s">
        <v>48</v>
      </c>
      <c r="N83" t="s">
        <v>55</v>
      </c>
      <c r="O83" t="s">
        <v>94</v>
      </c>
      <c r="P83">
        <v>23190868</v>
      </c>
      <c r="Q83" t="s">
        <v>53</v>
      </c>
      <c r="R83" t="s">
        <v>54</v>
      </c>
      <c r="S83">
        <v>12.37</v>
      </c>
      <c r="T83">
        <v>7412.17</v>
      </c>
      <c r="U83">
        <v>91688.54</v>
      </c>
      <c r="V83" t="str">
        <f t="shared" si="31"/>
        <v>Accepted</v>
      </c>
      <c r="W83">
        <f>IFERROR(VLOOKUP(N83, Payment_Terms!A:B, 2, FALSE), "Payment term not found!")</f>
        <v>0</v>
      </c>
      <c r="X83" t="str">
        <f>IFERROR(VLOOKUP(R83, Item_Category!A:B, 2, FALSE), "Uncategorized")</f>
        <v>Coal materials</v>
      </c>
      <c r="Y83" s="5">
        <f t="shared" si="18"/>
        <v>1.3042566794577706E-16</v>
      </c>
      <c r="Z83">
        <f t="shared" si="19"/>
        <v>4</v>
      </c>
      <c r="AA83">
        <f t="shared" si="20"/>
        <v>-29</v>
      </c>
      <c r="AB83">
        <f t="shared" si="21"/>
        <v>5</v>
      </c>
      <c r="AC83" s="10">
        <f t="shared" si="22"/>
        <v>9</v>
      </c>
      <c r="AD83" s="5">
        <f t="shared" si="23"/>
        <v>1</v>
      </c>
      <c r="AE83" s="5">
        <f t="shared" si="24"/>
        <v>1</v>
      </c>
      <c r="AF83" s="5">
        <f t="shared" si="25"/>
        <v>0</v>
      </c>
      <c r="AG83">
        <f>IF(B83&lt;&gt;"", COUNTIFS($B$2:B83, B83), "")</f>
        <v>30</v>
      </c>
      <c r="AH83">
        <f t="shared" si="26"/>
        <v>5</v>
      </c>
      <c r="AI83" t="str">
        <f>VLOOKUP(B83, Currency!A:B, 2, FALSE)</f>
        <v>INR</v>
      </c>
      <c r="AJ83">
        <f t="shared" si="27"/>
        <v>5</v>
      </c>
      <c r="AK83">
        <f t="shared" si="28"/>
        <v>8</v>
      </c>
      <c r="AL83" t="str">
        <f t="shared" si="29"/>
        <v>August</v>
      </c>
      <c r="AM83">
        <f t="shared" si="32"/>
        <v>2023</v>
      </c>
      <c r="AN83" t="str">
        <f t="shared" si="30"/>
        <v>0The Singareni Collieries Company Ltd</v>
      </c>
      <c r="AO83">
        <f>IF(COUNTIF($AN$2:AN83, AN83)=1, 1, 0)</f>
        <v>0</v>
      </c>
      <c r="AP83" t="str">
        <f t="shared" si="33"/>
        <v>&gt;3</v>
      </c>
      <c r="AQ83" t="str">
        <f t="shared" si="34"/>
        <v>&gt;3</v>
      </c>
      <c r="AR83" t="str">
        <f t="shared" si="35"/>
        <v>&gt;3</v>
      </c>
    </row>
    <row r="84" spans="1:44" x14ac:dyDescent="0.3">
      <c r="A84" t="s">
        <v>33</v>
      </c>
      <c r="B84" t="s">
        <v>51</v>
      </c>
      <c r="C84" t="s">
        <v>52</v>
      </c>
      <c r="D84">
        <v>3768</v>
      </c>
      <c r="E84">
        <v>23120100</v>
      </c>
      <c r="F84" t="s">
        <v>53</v>
      </c>
      <c r="G84" t="s">
        <v>54</v>
      </c>
      <c r="H84">
        <v>435.83</v>
      </c>
      <c r="I84">
        <v>7412.17</v>
      </c>
      <c r="J84">
        <v>3230446.05</v>
      </c>
      <c r="K84" s="7" t="str">
        <f>IFERROR(IF(B84&lt;&gt;"", TEXT(VLOOKUP(B84, 'Expected Date'!A:B, 2, FALSE) + DATE(RIGHT(C84,2),MID(C84,4,2),LEFT(C84,2)), "dd/mm/yy"), ""), "")</f>
        <v>05/09/23</v>
      </c>
      <c r="L84" t="s">
        <v>38</v>
      </c>
      <c r="M84" t="s">
        <v>48</v>
      </c>
      <c r="N84" t="s">
        <v>55</v>
      </c>
      <c r="O84" t="s">
        <v>202</v>
      </c>
      <c r="P84">
        <v>23190869</v>
      </c>
      <c r="Q84" t="s">
        <v>53</v>
      </c>
      <c r="R84" t="s">
        <v>54</v>
      </c>
      <c r="S84">
        <v>30.76</v>
      </c>
      <c r="T84">
        <v>7412.17</v>
      </c>
      <c r="U84">
        <v>227998.35</v>
      </c>
      <c r="V84" t="str">
        <f t="shared" si="31"/>
        <v>Accepted</v>
      </c>
      <c r="W84">
        <f>IFERROR(VLOOKUP(N84, Payment_Terms!A:B, 2, FALSE), "Payment term not found!")</f>
        <v>0</v>
      </c>
      <c r="X84" t="str">
        <f>IFERROR(VLOOKUP(R84, Item_Category!A:B, 2, FALSE), "Uncategorized")</f>
        <v>Coal materials</v>
      </c>
      <c r="Y84" s="5">
        <f t="shared" si="18"/>
        <v>1.3042566794577706E-16</v>
      </c>
      <c r="Z84">
        <f t="shared" si="19"/>
        <v>4</v>
      </c>
      <c r="AA84">
        <f t="shared" si="20"/>
        <v>-27</v>
      </c>
      <c r="AB84">
        <f t="shared" si="21"/>
        <v>5</v>
      </c>
      <c r="AC84" s="10">
        <f t="shared" si="22"/>
        <v>7</v>
      </c>
      <c r="AD84" s="5">
        <f t="shared" si="23"/>
        <v>1</v>
      </c>
      <c r="AE84" s="5">
        <f t="shared" si="24"/>
        <v>1</v>
      </c>
      <c r="AF84" s="5">
        <f t="shared" si="25"/>
        <v>0</v>
      </c>
      <c r="AG84">
        <f>IF(B84&lt;&gt;"", COUNTIFS($B$2:B84, B84), "")</f>
        <v>31</v>
      </c>
      <c r="AH84">
        <f t="shared" si="26"/>
        <v>5</v>
      </c>
      <c r="AI84" t="str">
        <f>VLOOKUP(B84, Currency!A:B, 2, FALSE)</f>
        <v>INR</v>
      </c>
      <c r="AJ84">
        <f t="shared" si="27"/>
        <v>5</v>
      </c>
      <c r="AK84">
        <f t="shared" si="28"/>
        <v>8</v>
      </c>
      <c r="AL84" t="str">
        <f t="shared" si="29"/>
        <v>August</v>
      </c>
      <c r="AM84">
        <f t="shared" si="32"/>
        <v>2023</v>
      </c>
      <c r="AN84" t="str">
        <f t="shared" si="30"/>
        <v>0The Singareni Collieries Company Ltd</v>
      </c>
      <c r="AO84">
        <f>IF(COUNTIF($AN$2:AN84, AN84)=1, 1, 0)</f>
        <v>0</v>
      </c>
      <c r="AP84" t="str">
        <f t="shared" si="33"/>
        <v>&gt;3</v>
      </c>
      <c r="AQ84" t="str">
        <f t="shared" si="34"/>
        <v>&gt;3</v>
      </c>
      <c r="AR84" t="str">
        <f t="shared" si="35"/>
        <v>&gt;3</v>
      </c>
    </row>
    <row r="85" spans="1:44" x14ac:dyDescent="0.3">
      <c r="A85" t="s">
        <v>33</v>
      </c>
      <c r="B85" t="s">
        <v>51</v>
      </c>
      <c r="C85" t="s">
        <v>52</v>
      </c>
      <c r="D85">
        <v>3768</v>
      </c>
      <c r="E85">
        <v>23120100</v>
      </c>
      <c r="F85" t="s">
        <v>53</v>
      </c>
      <c r="G85" t="s">
        <v>54</v>
      </c>
      <c r="H85">
        <v>435.83</v>
      </c>
      <c r="I85">
        <v>7412.17</v>
      </c>
      <c r="J85">
        <v>3230446.05</v>
      </c>
      <c r="K85" s="7" t="str">
        <f>IFERROR(IF(B85&lt;&gt;"", TEXT(VLOOKUP(B85, 'Expected Date'!A:B, 2, FALSE) + DATE(RIGHT(C85,2),MID(C85,4,2),LEFT(C85,2)), "dd/mm/yy"), ""), "")</f>
        <v>05/09/23</v>
      </c>
      <c r="L85" t="s">
        <v>38</v>
      </c>
      <c r="M85" t="s">
        <v>48</v>
      </c>
      <c r="N85" t="s">
        <v>55</v>
      </c>
      <c r="O85" t="s">
        <v>74</v>
      </c>
      <c r="P85">
        <v>23190871</v>
      </c>
      <c r="Q85" t="s">
        <v>53</v>
      </c>
      <c r="R85" t="s">
        <v>54</v>
      </c>
      <c r="S85">
        <v>30.59</v>
      </c>
      <c r="T85">
        <v>7412.17</v>
      </c>
      <c r="U85">
        <v>226738.28</v>
      </c>
      <c r="V85" t="str">
        <f t="shared" si="31"/>
        <v>Accepted</v>
      </c>
      <c r="W85">
        <f>IFERROR(VLOOKUP(N85, Payment_Terms!A:B, 2, FALSE), "Payment term not found!")</f>
        <v>0</v>
      </c>
      <c r="X85" t="str">
        <f>IFERROR(VLOOKUP(R85, Item_Category!A:B, 2, FALSE), "Uncategorized")</f>
        <v>Coal materials</v>
      </c>
      <c r="Y85" s="5">
        <f t="shared" si="18"/>
        <v>1.3042566794577706E-16</v>
      </c>
      <c r="Z85">
        <f t="shared" si="19"/>
        <v>4</v>
      </c>
      <c r="AA85">
        <f t="shared" si="20"/>
        <v>-25</v>
      </c>
      <c r="AB85">
        <f t="shared" si="21"/>
        <v>5</v>
      </c>
      <c r="AC85" s="10">
        <f t="shared" si="22"/>
        <v>5</v>
      </c>
      <c r="AD85" s="5">
        <f t="shared" si="23"/>
        <v>1</v>
      </c>
      <c r="AE85" s="5">
        <f t="shared" si="24"/>
        <v>1</v>
      </c>
      <c r="AF85" s="5">
        <f t="shared" si="25"/>
        <v>0</v>
      </c>
      <c r="AG85">
        <f>IF(B85&lt;&gt;"", COUNTIFS($B$2:B85, B85), "")</f>
        <v>32</v>
      </c>
      <c r="AH85">
        <f t="shared" si="26"/>
        <v>5</v>
      </c>
      <c r="AI85" t="str">
        <f>VLOOKUP(B85, Currency!A:B, 2, FALSE)</f>
        <v>INR</v>
      </c>
      <c r="AJ85">
        <f t="shared" si="27"/>
        <v>5</v>
      </c>
      <c r="AK85">
        <f t="shared" si="28"/>
        <v>8</v>
      </c>
      <c r="AL85" t="str">
        <f t="shared" si="29"/>
        <v>August</v>
      </c>
      <c r="AM85">
        <f t="shared" si="32"/>
        <v>2023</v>
      </c>
      <c r="AN85" t="str">
        <f t="shared" si="30"/>
        <v>0The Singareni Collieries Company Ltd</v>
      </c>
      <c r="AO85">
        <f>IF(COUNTIF($AN$2:AN85, AN85)=1, 1, 0)</f>
        <v>0</v>
      </c>
      <c r="AP85" t="str">
        <f t="shared" si="33"/>
        <v>&gt;3</v>
      </c>
      <c r="AQ85" t="str">
        <f t="shared" si="34"/>
        <v>&gt;3</v>
      </c>
      <c r="AR85" t="str">
        <f t="shared" si="35"/>
        <v>&gt;3</v>
      </c>
    </row>
    <row r="86" spans="1:44" x14ac:dyDescent="0.3">
      <c r="A86" t="s">
        <v>33</v>
      </c>
      <c r="B86" t="s">
        <v>34</v>
      </c>
      <c r="C86" t="s">
        <v>117</v>
      </c>
      <c r="D86">
        <v>2900</v>
      </c>
      <c r="E86">
        <v>23120084</v>
      </c>
      <c r="F86" t="s">
        <v>92</v>
      </c>
      <c r="G86" t="s">
        <v>93</v>
      </c>
      <c r="H86">
        <v>6000</v>
      </c>
      <c r="I86">
        <v>33.75</v>
      </c>
      <c r="J86">
        <v>202500</v>
      </c>
      <c r="K86" s="7" t="str">
        <f>IFERROR(IF(B86&lt;&gt;"", TEXT(VLOOKUP(B86, 'Expected Date'!A:B, 2, FALSE) + DATE(RIGHT(C86,2),MID(C86,4,2),LEFT(C86,2)), "dd/mm/yy"), ""), "")</f>
        <v>17/07/23</v>
      </c>
      <c r="L86" t="s">
        <v>68</v>
      </c>
      <c r="M86" t="s">
        <v>39</v>
      </c>
      <c r="N86" t="s">
        <v>40</v>
      </c>
      <c r="O86" t="s">
        <v>203</v>
      </c>
      <c r="P86">
        <v>23190653</v>
      </c>
      <c r="Q86" t="s">
        <v>92</v>
      </c>
      <c r="R86" t="s">
        <v>93</v>
      </c>
      <c r="S86">
        <v>5962</v>
      </c>
      <c r="T86">
        <v>33.75</v>
      </c>
      <c r="U86">
        <v>201217.5</v>
      </c>
      <c r="V86" t="str">
        <f t="shared" si="31"/>
        <v>Accepted</v>
      </c>
      <c r="W86">
        <f>IFERROR(VLOOKUP(N86, Payment_Terms!A:B, 2, FALSE), "Payment term not found!")</f>
        <v>30</v>
      </c>
      <c r="X86" t="str">
        <f>IFERROR(VLOOKUP(R86, Item_Category!A:B, 2, FALSE), "Uncategorized")</f>
        <v>Bags</v>
      </c>
      <c r="Y86" s="5">
        <f t="shared" si="18"/>
        <v>6.3333333333333332E-3</v>
      </c>
      <c r="Z86">
        <f t="shared" si="19"/>
        <v>4</v>
      </c>
      <c r="AA86">
        <f t="shared" si="20"/>
        <v>-1</v>
      </c>
      <c r="AB86">
        <f t="shared" si="21"/>
        <v>5</v>
      </c>
      <c r="AC86" s="10">
        <f t="shared" si="22"/>
        <v>9</v>
      </c>
      <c r="AD86" s="5">
        <f t="shared" si="23"/>
        <v>1</v>
      </c>
      <c r="AE86" s="5">
        <f t="shared" si="24"/>
        <v>1</v>
      </c>
      <c r="AF86" s="5">
        <f t="shared" si="25"/>
        <v>0</v>
      </c>
      <c r="AG86">
        <f>IF(B86&lt;&gt;"", COUNTIFS($B$2:B86, B86), "")</f>
        <v>6</v>
      </c>
      <c r="AH86">
        <f t="shared" si="26"/>
        <v>5</v>
      </c>
      <c r="AI86" t="str">
        <f>VLOOKUP(B86, Currency!A:B, 2, FALSE)</f>
        <v>INR</v>
      </c>
      <c r="AJ86">
        <f t="shared" si="27"/>
        <v>5</v>
      </c>
      <c r="AK86">
        <f t="shared" si="28"/>
        <v>7</v>
      </c>
      <c r="AL86" t="str">
        <f t="shared" si="29"/>
        <v>July</v>
      </c>
      <c r="AM86">
        <f t="shared" si="32"/>
        <v>2023</v>
      </c>
      <c r="AN86" t="str">
        <f t="shared" si="30"/>
        <v>30Ami Enterprises</v>
      </c>
      <c r="AO86">
        <f>IF(COUNTIF($AN$2:AN86, AN86)=1, 1, 0)</f>
        <v>0</v>
      </c>
      <c r="AP86" t="str">
        <f t="shared" si="33"/>
        <v>&gt;3</v>
      </c>
      <c r="AQ86" t="str">
        <f t="shared" si="34"/>
        <v>&gt;3</v>
      </c>
      <c r="AR86" t="str">
        <f t="shared" si="35"/>
        <v>&gt;3</v>
      </c>
    </row>
    <row r="87" spans="1:44" x14ac:dyDescent="0.3">
      <c r="A87" t="s">
        <v>33</v>
      </c>
      <c r="B87" t="s">
        <v>34</v>
      </c>
      <c r="C87" t="s">
        <v>117</v>
      </c>
      <c r="D87">
        <v>2900</v>
      </c>
      <c r="E87">
        <v>23120084</v>
      </c>
      <c r="F87" t="s">
        <v>204</v>
      </c>
      <c r="G87" t="s">
        <v>205</v>
      </c>
      <c r="H87">
        <v>2000</v>
      </c>
      <c r="I87">
        <v>33.75</v>
      </c>
      <c r="J87">
        <v>67500</v>
      </c>
      <c r="K87" s="7" t="str">
        <f>IFERROR(IF(B87&lt;&gt;"", TEXT(VLOOKUP(B87, 'Expected Date'!A:B, 2, FALSE) + DATE(RIGHT(C87,2),MID(C87,4,2),LEFT(C87,2)), "dd/mm/yy"), ""), "")</f>
        <v>17/07/23</v>
      </c>
      <c r="L87" t="s">
        <v>38</v>
      </c>
      <c r="M87" t="s">
        <v>39</v>
      </c>
      <c r="N87" t="s">
        <v>40</v>
      </c>
      <c r="O87" t="s">
        <v>203</v>
      </c>
      <c r="P87">
        <v>23190653</v>
      </c>
      <c r="Q87" t="s">
        <v>204</v>
      </c>
      <c r="R87" t="s">
        <v>205</v>
      </c>
      <c r="S87">
        <v>2061</v>
      </c>
      <c r="T87">
        <v>33.75</v>
      </c>
      <c r="U87">
        <v>69558.75</v>
      </c>
      <c r="V87" t="str">
        <f t="shared" si="31"/>
        <v>Accepted</v>
      </c>
      <c r="W87">
        <f>IFERROR(VLOOKUP(N87, Payment_Terms!A:B, 2, FALSE), "Payment term not found!")</f>
        <v>30</v>
      </c>
      <c r="X87" t="str">
        <f>IFERROR(VLOOKUP(R87, Item_Category!A:B, 2, FALSE), "Uncategorized")</f>
        <v>SSG-Bags</v>
      </c>
      <c r="Y87" s="5">
        <f t="shared" si="18"/>
        <v>0</v>
      </c>
      <c r="Z87">
        <f t="shared" si="19"/>
        <v>5</v>
      </c>
      <c r="AA87">
        <f t="shared" si="20"/>
        <v>-1</v>
      </c>
      <c r="AB87">
        <f t="shared" si="21"/>
        <v>5</v>
      </c>
      <c r="AC87" s="10">
        <f t="shared" si="22"/>
        <v>9</v>
      </c>
      <c r="AD87" s="5">
        <f t="shared" si="23"/>
        <v>1</v>
      </c>
      <c r="AE87" s="5">
        <f t="shared" si="24"/>
        <v>1</v>
      </c>
      <c r="AF87" s="5">
        <f t="shared" si="25"/>
        <v>0</v>
      </c>
      <c r="AG87">
        <f>IF(B87&lt;&gt;"", COUNTIFS($B$2:B87, B87), "")</f>
        <v>7</v>
      </c>
      <c r="AH87">
        <f t="shared" si="26"/>
        <v>5</v>
      </c>
      <c r="AI87" t="str">
        <f>VLOOKUP(B87, Currency!A:B, 2, FALSE)</f>
        <v>INR</v>
      </c>
      <c r="AJ87">
        <f t="shared" si="27"/>
        <v>5</v>
      </c>
      <c r="AK87">
        <f t="shared" si="28"/>
        <v>7</v>
      </c>
      <c r="AL87" t="str">
        <f t="shared" si="29"/>
        <v>July</v>
      </c>
      <c r="AM87">
        <f t="shared" si="32"/>
        <v>2023</v>
      </c>
      <c r="AN87" t="str">
        <f t="shared" si="30"/>
        <v>30Ami Enterprises</v>
      </c>
      <c r="AO87">
        <f>IF(COUNTIF($AN$2:AN87, AN87)=1, 1, 0)</f>
        <v>0</v>
      </c>
      <c r="AP87" t="str">
        <f t="shared" si="33"/>
        <v>&gt;3</v>
      </c>
      <c r="AQ87" t="str">
        <f t="shared" si="34"/>
        <v>&gt;3</v>
      </c>
      <c r="AR87" t="str">
        <f t="shared" si="35"/>
        <v>&gt;3</v>
      </c>
    </row>
    <row r="88" spans="1:44" x14ac:dyDescent="0.3">
      <c r="A88" t="s">
        <v>33</v>
      </c>
      <c r="B88" t="s">
        <v>44</v>
      </c>
      <c r="C88" t="s">
        <v>206</v>
      </c>
      <c r="D88">
        <v>4349</v>
      </c>
      <c r="E88">
        <v>23120121</v>
      </c>
      <c r="F88" t="s">
        <v>46</v>
      </c>
      <c r="G88" t="s">
        <v>47</v>
      </c>
      <c r="H88">
        <v>600</v>
      </c>
      <c r="I88">
        <v>65</v>
      </c>
      <c r="J88">
        <v>39000</v>
      </c>
      <c r="K88" s="7" t="str">
        <f>IFERROR(IF(B88&lt;&gt;"", TEXT(VLOOKUP(B88, 'Expected Date'!A:B, 2, FALSE) + DATE(RIGHT(C88,2),MID(C88,4,2),LEFT(C88,2)), "dd/mm/yy"), ""), "")</f>
        <v>18/09/23</v>
      </c>
      <c r="L88" t="s">
        <v>38</v>
      </c>
      <c r="M88" t="s">
        <v>48</v>
      </c>
      <c r="N88" t="s">
        <v>49</v>
      </c>
      <c r="O88" t="s">
        <v>151</v>
      </c>
      <c r="P88">
        <v>23191069</v>
      </c>
      <c r="Q88" t="s">
        <v>46</v>
      </c>
      <c r="R88" t="s">
        <v>47</v>
      </c>
      <c r="S88">
        <v>300</v>
      </c>
      <c r="T88">
        <v>65</v>
      </c>
      <c r="U88">
        <v>19500</v>
      </c>
      <c r="V88" t="str">
        <f t="shared" si="31"/>
        <v>Accepted</v>
      </c>
      <c r="W88">
        <f>IFERROR(VLOOKUP(N88, Payment_Terms!A:B, 2, FALSE), "Payment term not found!")</f>
        <v>30</v>
      </c>
      <c r="X88" t="str">
        <f>IFERROR(VLOOKUP(R88, Item_Category!A:B, 2, FALSE), "Uncategorized")</f>
        <v>Gas</v>
      </c>
      <c r="Y88" s="5">
        <f t="shared" si="18"/>
        <v>0</v>
      </c>
      <c r="Z88">
        <f t="shared" si="19"/>
        <v>5</v>
      </c>
      <c r="AA88">
        <f t="shared" si="20"/>
        <v>-4</v>
      </c>
      <c r="AB88">
        <f t="shared" si="21"/>
        <v>5</v>
      </c>
      <c r="AC88" s="10">
        <f t="shared" si="22"/>
        <v>1</v>
      </c>
      <c r="AD88" s="5">
        <f t="shared" si="23"/>
        <v>1</v>
      </c>
      <c r="AE88" s="5">
        <f t="shared" si="24"/>
        <v>1</v>
      </c>
      <c r="AF88" s="5">
        <f t="shared" si="25"/>
        <v>0</v>
      </c>
      <c r="AG88">
        <f>IF(B88&lt;&gt;"", COUNTIFS($B$2:B88, B88), "")</f>
        <v>2</v>
      </c>
      <c r="AH88">
        <f t="shared" si="26"/>
        <v>5</v>
      </c>
      <c r="AI88" t="str">
        <f>VLOOKUP(B88, Currency!A:B, 2, FALSE)</f>
        <v>INR</v>
      </c>
      <c r="AJ88">
        <f t="shared" si="27"/>
        <v>5</v>
      </c>
      <c r="AK88">
        <f t="shared" si="28"/>
        <v>9</v>
      </c>
      <c r="AL88" t="str">
        <f t="shared" si="29"/>
        <v>September</v>
      </c>
      <c r="AM88">
        <f t="shared" si="32"/>
        <v>2023</v>
      </c>
      <c r="AN88" t="str">
        <f t="shared" si="30"/>
        <v>30Surat Ammonia &amp; Chemical Co.</v>
      </c>
      <c r="AO88">
        <f>IF(COUNTIF($AN$2:AN88, AN88)=1, 1, 0)</f>
        <v>0</v>
      </c>
      <c r="AP88" t="str">
        <f t="shared" si="33"/>
        <v>&gt;3</v>
      </c>
      <c r="AQ88" t="str">
        <f t="shared" si="34"/>
        <v>&gt;3</v>
      </c>
      <c r="AR88" t="str">
        <f t="shared" si="35"/>
        <v>&gt;3</v>
      </c>
    </row>
    <row r="89" spans="1:44" x14ac:dyDescent="0.3">
      <c r="A89" t="s">
        <v>33</v>
      </c>
      <c r="B89" t="s">
        <v>51</v>
      </c>
      <c r="C89" t="s">
        <v>52</v>
      </c>
      <c r="D89">
        <v>3768</v>
      </c>
      <c r="E89">
        <v>23120100</v>
      </c>
      <c r="F89" t="s">
        <v>53</v>
      </c>
      <c r="G89" t="s">
        <v>54</v>
      </c>
      <c r="H89">
        <v>435.83</v>
      </c>
      <c r="I89">
        <v>7412.17</v>
      </c>
      <c r="J89">
        <v>3230446.05</v>
      </c>
      <c r="K89" s="7" t="str">
        <f>IFERROR(IF(B89&lt;&gt;"", TEXT(VLOOKUP(B89, 'Expected Date'!A:B, 2, FALSE) + DATE(RIGHT(C89,2),MID(C89,4,2),LEFT(C89,2)), "dd/mm/yy"), ""), "")</f>
        <v>05/09/23</v>
      </c>
      <c r="L89" t="s">
        <v>38</v>
      </c>
      <c r="M89" t="s">
        <v>48</v>
      </c>
      <c r="N89" t="s">
        <v>55</v>
      </c>
      <c r="O89" t="s">
        <v>74</v>
      </c>
      <c r="P89">
        <v>23190872</v>
      </c>
      <c r="Q89" t="s">
        <v>53</v>
      </c>
      <c r="R89" t="s">
        <v>54</v>
      </c>
      <c r="S89">
        <v>25.78</v>
      </c>
      <c r="T89">
        <v>7412.17</v>
      </c>
      <c r="U89">
        <v>191085.74</v>
      </c>
      <c r="V89" t="str">
        <f t="shared" si="31"/>
        <v>Accepted</v>
      </c>
      <c r="W89">
        <f>IFERROR(VLOOKUP(N89, Payment_Terms!A:B, 2, FALSE), "Payment term not found!")</f>
        <v>0</v>
      </c>
      <c r="X89" t="str">
        <f>IFERROR(VLOOKUP(R89, Item_Category!A:B, 2, FALSE), "Uncategorized")</f>
        <v>Coal materials</v>
      </c>
      <c r="Y89" s="5">
        <f t="shared" si="18"/>
        <v>1.3042566794577706E-16</v>
      </c>
      <c r="Z89">
        <f t="shared" si="19"/>
        <v>4</v>
      </c>
      <c r="AA89">
        <f t="shared" si="20"/>
        <v>-25</v>
      </c>
      <c r="AB89">
        <f t="shared" si="21"/>
        <v>5</v>
      </c>
      <c r="AC89" s="10">
        <f t="shared" si="22"/>
        <v>5</v>
      </c>
      <c r="AD89" s="5">
        <f t="shared" si="23"/>
        <v>1</v>
      </c>
      <c r="AE89" s="5">
        <f t="shared" si="24"/>
        <v>1</v>
      </c>
      <c r="AF89" s="5">
        <f t="shared" si="25"/>
        <v>0</v>
      </c>
      <c r="AG89">
        <f>IF(B89&lt;&gt;"", COUNTIFS($B$2:B89, B89), "")</f>
        <v>33</v>
      </c>
      <c r="AH89">
        <f t="shared" si="26"/>
        <v>5</v>
      </c>
      <c r="AI89" t="str">
        <f>VLOOKUP(B89, Currency!A:B, 2, FALSE)</f>
        <v>INR</v>
      </c>
      <c r="AJ89">
        <f t="shared" si="27"/>
        <v>5</v>
      </c>
      <c r="AK89">
        <f t="shared" si="28"/>
        <v>8</v>
      </c>
      <c r="AL89" t="str">
        <f t="shared" si="29"/>
        <v>August</v>
      </c>
      <c r="AM89">
        <f t="shared" si="32"/>
        <v>2023</v>
      </c>
      <c r="AN89" t="str">
        <f t="shared" si="30"/>
        <v>0The Singareni Collieries Company Ltd</v>
      </c>
      <c r="AO89">
        <f>IF(COUNTIF($AN$2:AN89, AN89)=1, 1, 0)</f>
        <v>0</v>
      </c>
      <c r="AP89" t="str">
        <f t="shared" si="33"/>
        <v>&gt;3</v>
      </c>
      <c r="AQ89" t="str">
        <f t="shared" si="34"/>
        <v>&gt;3</v>
      </c>
      <c r="AR89" t="str">
        <f t="shared" si="35"/>
        <v>&gt;3</v>
      </c>
    </row>
    <row r="90" spans="1:44" x14ac:dyDescent="0.3">
      <c r="A90" t="s">
        <v>33</v>
      </c>
      <c r="B90" t="s">
        <v>51</v>
      </c>
      <c r="C90" t="s">
        <v>52</v>
      </c>
      <c r="D90">
        <v>3768</v>
      </c>
      <c r="E90">
        <v>23120100</v>
      </c>
      <c r="F90" t="s">
        <v>61</v>
      </c>
      <c r="G90" t="s">
        <v>62</v>
      </c>
      <c r="H90">
        <v>142</v>
      </c>
      <c r="I90">
        <v>6288.5</v>
      </c>
      <c r="J90">
        <v>892967</v>
      </c>
      <c r="K90" s="7" t="str">
        <f>IFERROR(IF(B90&lt;&gt;"", TEXT(VLOOKUP(B90, 'Expected Date'!A:B, 2, FALSE) + DATE(RIGHT(C90,2),MID(C90,4,2),LEFT(C90,2)), "dd/mm/yy"), ""), "")</f>
        <v>05/09/23</v>
      </c>
      <c r="L90" t="s">
        <v>38</v>
      </c>
      <c r="M90" t="s">
        <v>48</v>
      </c>
      <c r="N90" t="s">
        <v>55</v>
      </c>
      <c r="O90" t="s">
        <v>207</v>
      </c>
      <c r="P90">
        <v>23190879</v>
      </c>
      <c r="Q90" t="s">
        <v>61</v>
      </c>
      <c r="R90" t="s">
        <v>62</v>
      </c>
      <c r="S90">
        <v>20</v>
      </c>
      <c r="T90">
        <v>6288.5</v>
      </c>
      <c r="U90">
        <v>125770</v>
      </c>
      <c r="V90" t="str">
        <f t="shared" si="31"/>
        <v>Accepted</v>
      </c>
      <c r="W90">
        <f>IFERROR(VLOOKUP(N90, Payment_Terms!A:B, 2, FALSE), "Payment term not found!")</f>
        <v>0</v>
      </c>
      <c r="X90" t="str">
        <f>IFERROR(VLOOKUP(R90, Item_Category!A:B, 2, FALSE), "Uncategorized")</f>
        <v>Coal materials</v>
      </c>
      <c r="Y90" s="5">
        <f t="shared" si="18"/>
        <v>0</v>
      </c>
      <c r="Z90">
        <f t="shared" si="19"/>
        <v>5</v>
      </c>
      <c r="AA90">
        <f t="shared" si="20"/>
        <v>-23</v>
      </c>
      <c r="AB90">
        <f t="shared" si="21"/>
        <v>5</v>
      </c>
      <c r="AC90" s="10">
        <f t="shared" si="22"/>
        <v>3</v>
      </c>
      <c r="AD90" s="5">
        <f t="shared" si="23"/>
        <v>1</v>
      </c>
      <c r="AE90" s="5">
        <f t="shared" si="24"/>
        <v>1</v>
      </c>
      <c r="AF90" s="5">
        <f t="shared" si="25"/>
        <v>0</v>
      </c>
      <c r="AG90">
        <f>IF(B90&lt;&gt;"", COUNTIFS($B$2:B90, B90), "")</f>
        <v>34</v>
      </c>
      <c r="AH90">
        <f t="shared" si="26"/>
        <v>5</v>
      </c>
      <c r="AI90" t="str">
        <f>VLOOKUP(B90, Currency!A:B, 2, FALSE)</f>
        <v>INR</v>
      </c>
      <c r="AJ90">
        <f t="shared" si="27"/>
        <v>5</v>
      </c>
      <c r="AK90">
        <f t="shared" si="28"/>
        <v>8</v>
      </c>
      <c r="AL90" t="str">
        <f t="shared" si="29"/>
        <v>August</v>
      </c>
      <c r="AM90">
        <f t="shared" si="32"/>
        <v>2023</v>
      </c>
      <c r="AN90" t="str">
        <f t="shared" si="30"/>
        <v>0The Singareni Collieries Company Ltd</v>
      </c>
      <c r="AO90">
        <f>IF(COUNTIF($AN$2:AN90, AN90)=1, 1, 0)</f>
        <v>0</v>
      </c>
      <c r="AP90" t="str">
        <f t="shared" si="33"/>
        <v>&gt;3</v>
      </c>
      <c r="AQ90" t="str">
        <f t="shared" si="34"/>
        <v>&gt;3</v>
      </c>
      <c r="AR90" t="str">
        <f t="shared" si="35"/>
        <v>&gt;3</v>
      </c>
    </row>
    <row r="91" spans="1:44" x14ac:dyDescent="0.3">
      <c r="A91" t="s">
        <v>33</v>
      </c>
      <c r="B91" t="s">
        <v>51</v>
      </c>
      <c r="C91" t="s">
        <v>52</v>
      </c>
      <c r="D91">
        <v>3768</v>
      </c>
      <c r="E91">
        <v>23120100</v>
      </c>
      <c r="F91" t="s">
        <v>61</v>
      </c>
      <c r="G91" t="s">
        <v>62</v>
      </c>
      <c r="H91">
        <v>142</v>
      </c>
      <c r="I91">
        <v>6288.5</v>
      </c>
      <c r="J91">
        <v>892967</v>
      </c>
      <c r="K91" s="7" t="str">
        <f>IFERROR(IF(B91&lt;&gt;"", TEXT(VLOOKUP(B91, 'Expected Date'!A:B, 2, FALSE) + DATE(RIGHT(C91,2),MID(C91,4,2),LEFT(C91,2)), "dd/mm/yy"), ""), "")</f>
        <v>05/09/23</v>
      </c>
      <c r="L91" t="s">
        <v>38</v>
      </c>
      <c r="M91" t="s">
        <v>48</v>
      </c>
      <c r="N91" t="s">
        <v>55</v>
      </c>
      <c r="O91" t="s">
        <v>207</v>
      </c>
      <c r="P91">
        <v>23190878</v>
      </c>
      <c r="Q91" t="s">
        <v>61</v>
      </c>
      <c r="R91" t="s">
        <v>62</v>
      </c>
      <c r="S91">
        <v>20</v>
      </c>
      <c r="T91">
        <v>6288.5</v>
      </c>
      <c r="U91">
        <v>125770</v>
      </c>
      <c r="V91" t="str">
        <f t="shared" si="31"/>
        <v>Accepted</v>
      </c>
      <c r="W91">
        <f>IFERROR(VLOOKUP(N91, Payment_Terms!A:B, 2, FALSE), "Payment term not found!")</f>
        <v>0</v>
      </c>
      <c r="X91" t="str">
        <f>IFERROR(VLOOKUP(R91, Item_Category!A:B, 2, FALSE), "Uncategorized")</f>
        <v>Coal materials</v>
      </c>
      <c r="Y91" s="5">
        <f t="shared" si="18"/>
        <v>0</v>
      </c>
      <c r="Z91">
        <f t="shared" si="19"/>
        <v>5</v>
      </c>
      <c r="AA91">
        <f t="shared" si="20"/>
        <v>-23</v>
      </c>
      <c r="AB91">
        <f t="shared" si="21"/>
        <v>5</v>
      </c>
      <c r="AC91" s="10">
        <f t="shared" si="22"/>
        <v>3</v>
      </c>
      <c r="AD91" s="5">
        <f t="shared" si="23"/>
        <v>1</v>
      </c>
      <c r="AE91" s="5">
        <f t="shared" si="24"/>
        <v>1</v>
      </c>
      <c r="AF91" s="5">
        <f t="shared" si="25"/>
        <v>0</v>
      </c>
      <c r="AG91">
        <f>IF(B91&lt;&gt;"", COUNTIFS($B$2:B91, B91), "")</f>
        <v>35</v>
      </c>
      <c r="AH91">
        <f t="shared" si="26"/>
        <v>5</v>
      </c>
      <c r="AI91" t="str">
        <f>VLOOKUP(B91, Currency!A:B, 2, FALSE)</f>
        <v>INR</v>
      </c>
      <c r="AJ91">
        <f t="shared" si="27"/>
        <v>5</v>
      </c>
      <c r="AK91">
        <f t="shared" si="28"/>
        <v>8</v>
      </c>
      <c r="AL91" t="str">
        <f t="shared" si="29"/>
        <v>August</v>
      </c>
      <c r="AM91">
        <f t="shared" si="32"/>
        <v>2023</v>
      </c>
      <c r="AN91" t="str">
        <f t="shared" si="30"/>
        <v>0The Singareni Collieries Company Ltd</v>
      </c>
      <c r="AO91">
        <f>IF(COUNTIF($AN$2:AN91, AN91)=1, 1, 0)</f>
        <v>0</v>
      </c>
      <c r="AP91" t="str">
        <f t="shared" si="33"/>
        <v>&gt;3</v>
      </c>
      <c r="AQ91" t="str">
        <f t="shared" si="34"/>
        <v>&gt;3</v>
      </c>
      <c r="AR91" t="str">
        <f t="shared" si="35"/>
        <v>&gt;3</v>
      </c>
    </row>
    <row r="92" spans="1:44" x14ac:dyDescent="0.3">
      <c r="A92" t="s">
        <v>33</v>
      </c>
      <c r="B92" t="s">
        <v>51</v>
      </c>
      <c r="C92" t="s">
        <v>52</v>
      </c>
      <c r="D92">
        <v>3768</v>
      </c>
      <c r="E92">
        <v>23120100</v>
      </c>
      <c r="F92" t="s">
        <v>61</v>
      </c>
      <c r="G92" t="s">
        <v>62</v>
      </c>
      <c r="H92">
        <v>142</v>
      </c>
      <c r="I92">
        <v>6288.5</v>
      </c>
      <c r="J92">
        <v>892967</v>
      </c>
      <c r="K92" s="7" t="str">
        <f>IFERROR(IF(B92&lt;&gt;"", TEXT(VLOOKUP(B92, 'Expected Date'!A:B, 2, FALSE) + DATE(RIGHT(C92,2),MID(C92,4,2),LEFT(C92,2)), "dd/mm/yy"), ""), "")</f>
        <v>05/09/23</v>
      </c>
      <c r="L92" t="s">
        <v>38</v>
      </c>
      <c r="M92" t="s">
        <v>48</v>
      </c>
      <c r="N92" t="s">
        <v>55</v>
      </c>
      <c r="O92" t="s">
        <v>208</v>
      </c>
      <c r="P92">
        <v>23190877</v>
      </c>
      <c r="Q92" t="s">
        <v>61</v>
      </c>
      <c r="R92" t="s">
        <v>62</v>
      </c>
      <c r="S92">
        <v>20</v>
      </c>
      <c r="T92">
        <v>6288.5</v>
      </c>
      <c r="U92">
        <v>125770</v>
      </c>
      <c r="V92" t="str">
        <f t="shared" si="31"/>
        <v>Accepted</v>
      </c>
      <c r="W92">
        <f>IFERROR(VLOOKUP(N92, Payment_Terms!A:B, 2, FALSE), "Payment term not found!")</f>
        <v>0</v>
      </c>
      <c r="X92" t="str">
        <f>IFERROR(VLOOKUP(R92, Item_Category!A:B, 2, FALSE), "Uncategorized")</f>
        <v>Coal materials</v>
      </c>
      <c r="Y92" s="5">
        <f t="shared" si="18"/>
        <v>0</v>
      </c>
      <c r="Z92">
        <f t="shared" si="19"/>
        <v>5</v>
      </c>
      <c r="AA92">
        <f t="shared" si="20"/>
        <v>-24</v>
      </c>
      <c r="AB92">
        <f t="shared" si="21"/>
        <v>5</v>
      </c>
      <c r="AC92" s="10">
        <f t="shared" si="22"/>
        <v>4</v>
      </c>
      <c r="AD92" s="5">
        <f t="shared" si="23"/>
        <v>1</v>
      </c>
      <c r="AE92" s="5">
        <f t="shared" si="24"/>
        <v>1</v>
      </c>
      <c r="AF92" s="5">
        <f t="shared" si="25"/>
        <v>0</v>
      </c>
      <c r="AG92">
        <f>IF(B92&lt;&gt;"", COUNTIFS($B$2:B92, B92), "")</f>
        <v>36</v>
      </c>
      <c r="AH92">
        <f t="shared" si="26"/>
        <v>5</v>
      </c>
      <c r="AI92" t="str">
        <f>VLOOKUP(B92, Currency!A:B, 2, FALSE)</f>
        <v>INR</v>
      </c>
      <c r="AJ92">
        <f t="shared" si="27"/>
        <v>5</v>
      </c>
      <c r="AK92">
        <f t="shared" si="28"/>
        <v>8</v>
      </c>
      <c r="AL92" t="str">
        <f t="shared" si="29"/>
        <v>August</v>
      </c>
      <c r="AM92">
        <f t="shared" si="32"/>
        <v>2023</v>
      </c>
      <c r="AN92" t="str">
        <f t="shared" si="30"/>
        <v>0The Singareni Collieries Company Ltd</v>
      </c>
      <c r="AO92">
        <f>IF(COUNTIF($AN$2:AN92, AN92)=1, 1, 0)</f>
        <v>0</v>
      </c>
      <c r="AP92" t="str">
        <f t="shared" si="33"/>
        <v>&gt;3</v>
      </c>
      <c r="AQ92" t="str">
        <f t="shared" si="34"/>
        <v>&gt;3</v>
      </c>
      <c r="AR92" t="str">
        <f t="shared" si="35"/>
        <v>&gt;3</v>
      </c>
    </row>
    <row r="93" spans="1:44" x14ac:dyDescent="0.3">
      <c r="A93" t="s">
        <v>33</v>
      </c>
      <c r="B93" t="s">
        <v>51</v>
      </c>
      <c r="C93" t="s">
        <v>52</v>
      </c>
      <c r="D93">
        <v>3768</v>
      </c>
      <c r="E93">
        <v>23120100</v>
      </c>
      <c r="F93" t="s">
        <v>61</v>
      </c>
      <c r="G93" t="s">
        <v>62</v>
      </c>
      <c r="H93">
        <v>142</v>
      </c>
      <c r="I93">
        <v>6288.5</v>
      </c>
      <c r="J93">
        <v>892967</v>
      </c>
      <c r="K93" s="7" t="str">
        <f>IFERROR(IF(B93&lt;&gt;"", TEXT(VLOOKUP(B93, 'Expected Date'!A:B, 2, FALSE) + DATE(RIGHT(C93,2),MID(C93,4,2),LEFT(C93,2)), "dd/mm/yy"), ""), "")</f>
        <v>05/09/23</v>
      </c>
      <c r="L93" t="s">
        <v>38</v>
      </c>
      <c r="M93" t="s">
        <v>48</v>
      </c>
      <c r="N93" t="s">
        <v>55</v>
      </c>
      <c r="O93" t="s">
        <v>74</v>
      </c>
      <c r="P93">
        <v>23190874</v>
      </c>
      <c r="Q93" t="s">
        <v>61</v>
      </c>
      <c r="R93" t="s">
        <v>62</v>
      </c>
      <c r="S93">
        <v>20</v>
      </c>
      <c r="T93">
        <v>6288.5</v>
      </c>
      <c r="U93">
        <v>125770</v>
      </c>
      <c r="V93" t="str">
        <f t="shared" si="31"/>
        <v>Accepted</v>
      </c>
      <c r="W93">
        <f>IFERROR(VLOOKUP(N93, Payment_Terms!A:B, 2, FALSE), "Payment term not found!")</f>
        <v>0</v>
      </c>
      <c r="X93" t="str">
        <f>IFERROR(VLOOKUP(R93, Item_Category!A:B, 2, FALSE), "Uncategorized")</f>
        <v>Coal materials</v>
      </c>
      <c r="Y93" s="5">
        <f t="shared" si="18"/>
        <v>0</v>
      </c>
      <c r="Z93">
        <f t="shared" si="19"/>
        <v>5</v>
      </c>
      <c r="AA93">
        <f t="shared" si="20"/>
        <v>-25</v>
      </c>
      <c r="AB93">
        <f t="shared" si="21"/>
        <v>5</v>
      </c>
      <c r="AC93" s="10">
        <f t="shared" si="22"/>
        <v>5</v>
      </c>
      <c r="AD93" s="5">
        <f t="shared" si="23"/>
        <v>1</v>
      </c>
      <c r="AE93" s="5">
        <f t="shared" si="24"/>
        <v>1</v>
      </c>
      <c r="AF93" s="5">
        <f t="shared" si="25"/>
        <v>0</v>
      </c>
      <c r="AG93">
        <f>IF(B93&lt;&gt;"", COUNTIFS($B$2:B93, B93), "")</f>
        <v>37</v>
      </c>
      <c r="AH93">
        <f t="shared" si="26"/>
        <v>5</v>
      </c>
      <c r="AI93" t="str">
        <f>VLOOKUP(B93, Currency!A:B, 2, FALSE)</f>
        <v>INR</v>
      </c>
      <c r="AJ93">
        <f t="shared" si="27"/>
        <v>5</v>
      </c>
      <c r="AK93">
        <f t="shared" si="28"/>
        <v>8</v>
      </c>
      <c r="AL93" t="str">
        <f t="shared" si="29"/>
        <v>August</v>
      </c>
      <c r="AM93">
        <f t="shared" si="32"/>
        <v>2023</v>
      </c>
      <c r="AN93" t="str">
        <f t="shared" si="30"/>
        <v>0The Singareni Collieries Company Ltd</v>
      </c>
      <c r="AO93">
        <f>IF(COUNTIF($AN$2:AN93, AN93)=1, 1, 0)</f>
        <v>0</v>
      </c>
      <c r="AP93" t="str">
        <f t="shared" si="33"/>
        <v>&gt;3</v>
      </c>
      <c r="AQ93" t="str">
        <f t="shared" si="34"/>
        <v>&gt;3</v>
      </c>
      <c r="AR93" t="str">
        <f t="shared" si="35"/>
        <v>&gt;3</v>
      </c>
    </row>
    <row r="94" spans="1:44" x14ac:dyDescent="0.3">
      <c r="A94" t="s">
        <v>33</v>
      </c>
      <c r="B94" t="s">
        <v>51</v>
      </c>
      <c r="C94" t="s">
        <v>169</v>
      </c>
      <c r="D94">
        <v>2154</v>
      </c>
      <c r="E94">
        <v>23120035</v>
      </c>
      <c r="F94" t="s">
        <v>53</v>
      </c>
      <c r="G94" t="s">
        <v>54</v>
      </c>
      <c r="H94">
        <v>76.569999999999993</v>
      </c>
      <c r="I94">
        <v>7412.17</v>
      </c>
      <c r="J94">
        <v>567549.86</v>
      </c>
      <c r="K94" s="7" t="str">
        <f>IFERROR(IF(B94&lt;&gt;"", TEXT(VLOOKUP(B94, 'Expected Date'!A:B, 2, FALSE) + DATE(RIGHT(C94,2),MID(C94,4,2),LEFT(C94,2)), "dd/mm/yy"), ""), "")</f>
        <v>14/06/23</v>
      </c>
      <c r="L94" t="s">
        <v>38</v>
      </c>
      <c r="M94" t="s">
        <v>48</v>
      </c>
      <c r="N94" t="s">
        <v>55</v>
      </c>
      <c r="O94" t="s">
        <v>209</v>
      </c>
      <c r="P94">
        <v>23190339</v>
      </c>
      <c r="Q94" t="s">
        <v>53</v>
      </c>
      <c r="R94" t="s">
        <v>54</v>
      </c>
      <c r="S94">
        <v>25.89</v>
      </c>
      <c r="T94">
        <v>7412.17</v>
      </c>
      <c r="U94">
        <v>191901.08</v>
      </c>
      <c r="V94" t="str">
        <f t="shared" si="31"/>
        <v>Accepted</v>
      </c>
      <c r="W94">
        <f>IFERROR(VLOOKUP(N94, Payment_Terms!A:B, 2, FALSE), "Payment term not found!")</f>
        <v>0</v>
      </c>
      <c r="X94" t="str">
        <f>IFERROR(VLOOKUP(R94, Item_Category!A:B, 2, FALSE), "Uncategorized")</f>
        <v>Coal materials</v>
      </c>
      <c r="Y94" s="5">
        <f t="shared" si="18"/>
        <v>0</v>
      </c>
      <c r="Z94">
        <f t="shared" si="19"/>
        <v>5</v>
      </c>
      <c r="AA94">
        <f t="shared" si="20"/>
        <v>-40</v>
      </c>
      <c r="AB94">
        <f t="shared" si="21"/>
        <v>5</v>
      </c>
      <c r="AC94" s="10">
        <f t="shared" si="22"/>
        <v>20</v>
      </c>
      <c r="AD94" s="5">
        <f t="shared" si="23"/>
        <v>1</v>
      </c>
      <c r="AE94" s="5">
        <f t="shared" si="24"/>
        <v>1</v>
      </c>
      <c r="AF94" s="5">
        <f t="shared" si="25"/>
        <v>0</v>
      </c>
      <c r="AG94">
        <f>IF(B94&lt;&gt;"", COUNTIFS($B$2:B94, B94), "")</f>
        <v>38</v>
      </c>
      <c r="AH94">
        <f t="shared" si="26"/>
        <v>5</v>
      </c>
      <c r="AI94" t="str">
        <f>VLOOKUP(B94, Currency!A:B, 2, FALSE)</f>
        <v>INR</v>
      </c>
      <c r="AJ94">
        <f t="shared" si="27"/>
        <v>5</v>
      </c>
      <c r="AK94">
        <f t="shared" si="28"/>
        <v>5</v>
      </c>
      <c r="AL94" t="str">
        <f t="shared" si="29"/>
        <v>May</v>
      </c>
      <c r="AM94">
        <f t="shared" si="32"/>
        <v>2023</v>
      </c>
      <c r="AN94" t="str">
        <f t="shared" si="30"/>
        <v>0The Singareni Collieries Company Ltd</v>
      </c>
      <c r="AO94">
        <f>IF(COUNTIF($AN$2:AN94, AN94)=1, 1, 0)</f>
        <v>0</v>
      </c>
      <c r="AP94" t="str">
        <f t="shared" si="33"/>
        <v>&gt;3</v>
      </c>
      <c r="AQ94" t="str">
        <f t="shared" si="34"/>
        <v>&gt;3</v>
      </c>
      <c r="AR94" t="str">
        <f t="shared" si="35"/>
        <v>&gt;3</v>
      </c>
    </row>
    <row r="95" spans="1:44" x14ac:dyDescent="0.3">
      <c r="A95" t="s">
        <v>33</v>
      </c>
      <c r="B95" t="s">
        <v>51</v>
      </c>
      <c r="C95" t="s">
        <v>169</v>
      </c>
      <c r="D95">
        <v>2154</v>
      </c>
      <c r="E95">
        <v>23120035</v>
      </c>
      <c r="F95" t="s">
        <v>53</v>
      </c>
      <c r="G95" t="s">
        <v>54</v>
      </c>
      <c r="H95">
        <v>76.569999999999993</v>
      </c>
      <c r="I95">
        <v>7412.17</v>
      </c>
      <c r="J95">
        <v>567549.86</v>
      </c>
      <c r="K95" s="7" t="str">
        <f>IFERROR(IF(B95&lt;&gt;"", TEXT(VLOOKUP(B95, 'Expected Date'!A:B, 2, FALSE) + DATE(RIGHT(C95,2),MID(C95,4,2),LEFT(C95,2)), "dd/mm/yy"), ""), "")</f>
        <v>14/06/23</v>
      </c>
      <c r="L95" t="s">
        <v>38</v>
      </c>
      <c r="M95" t="s">
        <v>48</v>
      </c>
      <c r="N95" t="s">
        <v>55</v>
      </c>
      <c r="O95" t="s">
        <v>210</v>
      </c>
      <c r="P95">
        <v>23190340</v>
      </c>
      <c r="Q95" t="s">
        <v>53</v>
      </c>
      <c r="R95" t="s">
        <v>54</v>
      </c>
      <c r="S95">
        <v>25.36</v>
      </c>
      <c r="T95">
        <v>7412.17</v>
      </c>
      <c r="U95">
        <v>187972.63</v>
      </c>
      <c r="V95" t="str">
        <f t="shared" si="31"/>
        <v>Accepted</v>
      </c>
      <c r="W95">
        <f>IFERROR(VLOOKUP(N95, Payment_Terms!A:B, 2, FALSE), "Payment term not found!")</f>
        <v>0</v>
      </c>
      <c r="X95" t="str">
        <f>IFERROR(VLOOKUP(R95, Item_Category!A:B, 2, FALSE), "Uncategorized")</f>
        <v>Coal materials</v>
      </c>
      <c r="Y95" s="5">
        <f t="shared" si="18"/>
        <v>0</v>
      </c>
      <c r="Z95">
        <f t="shared" si="19"/>
        <v>5</v>
      </c>
      <c r="AA95">
        <f t="shared" si="20"/>
        <v>-32</v>
      </c>
      <c r="AB95">
        <f t="shared" si="21"/>
        <v>5</v>
      </c>
      <c r="AC95" s="10">
        <f t="shared" si="22"/>
        <v>12</v>
      </c>
      <c r="AD95" s="5">
        <f t="shared" si="23"/>
        <v>1</v>
      </c>
      <c r="AE95" s="5">
        <f t="shared" si="24"/>
        <v>1</v>
      </c>
      <c r="AF95" s="5">
        <f t="shared" si="25"/>
        <v>0</v>
      </c>
      <c r="AG95">
        <f>IF(B95&lt;&gt;"", COUNTIFS($B$2:B95, B95), "")</f>
        <v>39</v>
      </c>
      <c r="AH95">
        <f t="shared" si="26"/>
        <v>5</v>
      </c>
      <c r="AI95" t="str">
        <f>VLOOKUP(B95, Currency!A:B, 2, FALSE)</f>
        <v>INR</v>
      </c>
      <c r="AJ95">
        <f t="shared" si="27"/>
        <v>5</v>
      </c>
      <c r="AK95">
        <f t="shared" si="28"/>
        <v>5</v>
      </c>
      <c r="AL95" t="str">
        <f t="shared" si="29"/>
        <v>May</v>
      </c>
      <c r="AM95">
        <f t="shared" si="32"/>
        <v>2023</v>
      </c>
      <c r="AN95" t="str">
        <f t="shared" si="30"/>
        <v>0The Singareni Collieries Company Ltd</v>
      </c>
      <c r="AO95">
        <f>IF(COUNTIF($AN$2:AN95, AN95)=1, 1, 0)</f>
        <v>0</v>
      </c>
      <c r="AP95" t="str">
        <f t="shared" si="33"/>
        <v>&gt;3</v>
      </c>
      <c r="AQ95" t="str">
        <f t="shared" si="34"/>
        <v>&gt;3</v>
      </c>
      <c r="AR95" t="str">
        <f t="shared" si="35"/>
        <v>&gt;3</v>
      </c>
    </row>
    <row r="96" spans="1:44" x14ac:dyDescent="0.3">
      <c r="A96" t="s">
        <v>33</v>
      </c>
      <c r="B96" t="s">
        <v>51</v>
      </c>
      <c r="C96" t="s">
        <v>169</v>
      </c>
      <c r="D96">
        <v>2154</v>
      </c>
      <c r="E96">
        <v>23120035</v>
      </c>
      <c r="F96" t="s">
        <v>53</v>
      </c>
      <c r="G96" t="s">
        <v>54</v>
      </c>
      <c r="H96">
        <v>76.569999999999993</v>
      </c>
      <c r="I96">
        <v>7412.17</v>
      </c>
      <c r="J96">
        <v>567549.86</v>
      </c>
      <c r="K96" s="7" t="str">
        <f>IFERROR(IF(B96&lt;&gt;"", TEXT(VLOOKUP(B96, 'Expected Date'!A:B, 2, FALSE) + DATE(RIGHT(C96,2),MID(C96,4,2),LEFT(C96,2)), "dd/mm/yy"), ""), "")</f>
        <v>14/06/23</v>
      </c>
      <c r="L96" t="s">
        <v>38</v>
      </c>
      <c r="M96" t="s">
        <v>48</v>
      </c>
      <c r="N96" t="s">
        <v>55</v>
      </c>
      <c r="O96" t="s">
        <v>211</v>
      </c>
      <c r="P96">
        <v>23190341</v>
      </c>
      <c r="Q96" t="s">
        <v>53</v>
      </c>
      <c r="R96" t="s">
        <v>54</v>
      </c>
      <c r="S96">
        <v>25.32</v>
      </c>
      <c r="T96">
        <v>7412.17</v>
      </c>
      <c r="U96">
        <v>187676.14</v>
      </c>
      <c r="V96" t="str">
        <f t="shared" si="31"/>
        <v>Accepted</v>
      </c>
      <c r="W96">
        <f>IFERROR(VLOOKUP(N96, Payment_Terms!A:B, 2, FALSE), "Payment term not found!")</f>
        <v>0</v>
      </c>
      <c r="X96" t="str">
        <f>IFERROR(VLOOKUP(R96, Item_Category!A:B, 2, FALSE), "Uncategorized")</f>
        <v>Coal materials</v>
      </c>
      <c r="Y96" s="5">
        <f t="shared" si="18"/>
        <v>0</v>
      </c>
      <c r="Z96">
        <f t="shared" si="19"/>
        <v>5</v>
      </c>
      <c r="AA96">
        <f t="shared" si="20"/>
        <v>-31</v>
      </c>
      <c r="AB96">
        <f t="shared" si="21"/>
        <v>5</v>
      </c>
      <c r="AC96" s="10">
        <f t="shared" si="22"/>
        <v>11</v>
      </c>
      <c r="AD96" s="5">
        <f t="shared" si="23"/>
        <v>1</v>
      </c>
      <c r="AE96" s="5">
        <f t="shared" si="24"/>
        <v>1</v>
      </c>
      <c r="AF96" s="5">
        <f t="shared" si="25"/>
        <v>0</v>
      </c>
      <c r="AG96">
        <f>IF(B96&lt;&gt;"", COUNTIFS($B$2:B96, B96), "")</f>
        <v>40</v>
      </c>
      <c r="AH96">
        <f t="shared" si="26"/>
        <v>5</v>
      </c>
      <c r="AI96" t="str">
        <f>VLOOKUP(B96, Currency!A:B, 2, FALSE)</f>
        <v>INR</v>
      </c>
      <c r="AJ96">
        <f t="shared" si="27"/>
        <v>5</v>
      </c>
      <c r="AK96">
        <f t="shared" si="28"/>
        <v>5</v>
      </c>
      <c r="AL96" t="str">
        <f t="shared" si="29"/>
        <v>May</v>
      </c>
      <c r="AM96">
        <f t="shared" si="32"/>
        <v>2023</v>
      </c>
      <c r="AN96" t="str">
        <f t="shared" si="30"/>
        <v>0The Singareni Collieries Company Ltd</v>
      </c>
      <c r="AO96">
        <f>IF(COUNTIF($AN$2:AN96, AN96)=1, 1, 0)</f>
        <v>0</v>
      </c>
      <c r="AP96" t="str">
        <f t="shared" si="33"/>
        <v>&gt;3</v>
      </c>
      <c r="AQ96" t="str">
        <f t="shared" si="34"/>
        <v>&gt;3</v>
      </c>
      <c r="AR96" t="str">
        <f t="shared" si="35"/>
        <v>&gt;3</v>
      </c>
    </row>
    <row r="97" spans="1:44" x14ac:dyDescent="0.3">
      <c r="A97" t="s">
        <v>33</v>
      </c>
      <c r="B97" t="s">
        <v>107</v>
      </c>
      <c r="C97" t="s">
        <v>108</v>
      </c>
      <c r="D97">
        <v>1804</v>
      </c>
      <c r="E97">
        <v>23120020</v>
      </c>
      <c r="F97" t="s">
        <v>92</v>
      </c>
      <c r="G97" t="s">
        <v>93</v>
      </c>
      <c r="H97">
        <v>12000</v>
      </c>
      <c r="I97">
        <v>33.799999999999997</v>
      </c>
      <c r="J97">
        <v>405600</v>
      </c>
      <c r="K97" s="7" t="str">
        <f>IFERROR(IF(B97&lt;&gt;"", TEXT(VLOOKUP(B97, 'Expected Date'!A:B, 2, FALSE) + DATE(RIGHT(C97,2),MID(C97,4,2),LEFT(C97,2)), "dd/mm/yy"), ""), "")</f>
        <v>20/05/23</v>
      </c>
      <c r="L97" t="s">
        <v>68</v>
      </c>
      <c r="M97" t="s">
        <v>39</v>
      </c>
      <c r="N97" t="s">
        <v>109</v>
      </c>
      <c r="O97" t="s">
        <v>45</v>
      </c>
      <c r="P97">
        <v>23190443</v>
      </c>
      <c r="Q97" t="s">
        <v>92</v>
      </c>
      <c r="R97" t="s">
        <v>93</v>
      </c>
      <c r="S97">
        <v>5052</v>
      </c>
      <c r="T97">
        <v>33.799999999999997</v>
      </c>
      <c r="U97">
        <v>170757.6</v>
      </c>
      <c r="V97" t="str">
        <f t="shared" si="31"/>
        <v>Accepted</v>
      </c>
      <c r="W97">
        <f>IFERROR(VLOOKUP(N97, Payment_Terms!A:B, 2, FALSE), "Payment term not found!")</f>
        <v>0</v>
      </c>
      <c r="X97" t="str">
        <f>IFERROR(VLOOKUP(R97, Item_Category!A:B, 2, FALSE), "Uncategorized")</f>
        <v>Bags</v>
      </c>
      <c r="Y97" s="5">
        <f t="shared" si="18"/>
        <v>0.10591666666666667</v>
      </c>
      <c r="Z97">
        <f t="shared" si="19"/>
        <v>1</v>
      </c>
      <c r="AA97">
        <f t="shared" si="20"/>
        <v>28</v>
      </c>
      <c r="AB97">
        <f t="shared" si="21"/>
        <v>1</v>
      </c>
      <c r="AC97" s="10">
        <f t="shared" si="22"/>
        <v>38</v>
      </c>
      <c r="AD97" s="5">
        <f t="shared" si="23"/>
        <v>1</v>
      </c>
      <c r="AE97" s="5">
        <f t="shared" si="24"/>
        <v>1</v>
      </c>
      <c r="AF97" s="5">
        <f t="shared" si="25"/>
        <v>0</v>
      </c>
      <c r="AG97">
        <f>IF(B97&lt;&gt;"", COUNTIFS($B$2:B97, B97), "")</f>
        <v>5</v>
      </c>
      <c r="AH97">
        <f t="shared" si="26"/>
        <v>5</v>
      </c>
      <c r="AI97" t="str">
        <f>VLOOKUP(B97, Currency!A:B, 2, FALSE)</f>
        <v>INR</v>
      </c>
      <c r="AJ97">
        <f t="shared" si="27"/>
        <v>3</v>
      </c>
      <c r="AK97">
        <f t="shared" si="28"/>
        <v>5</v>
      </c>
      <c r="AL97" t="str">
        <f t="shared" si="29"/>
        <v>May</v>
      </c>
      <c r="AM97">
        <f t="shared" si="32"/>
        <v>2023</v>
      </c>
      <c r="AN97" t="str">
        <f t="shared" si="30"/>
        <v>0KAPILA INDUSTRIES</v>
      </c>
      <c r="AO97">
        <f>IF(COUNTIF($AN$2:AN97, AN97)=1, 1, 0)</f>
        <v>0</v>
      </c>
      <c r="AP97" t="str">
        <f t="shared" si="33"/>
        <v>&gt;3</v>
      </c>
      <c r="AQ97" t="str">
        <f t="shared" si="34"/>
        <v>&lt;=3</v>
      </c>
      <c r="AR97" t="str">
        <f t="shared" si="35"/>
        <v>&lt;=3</v>
      </c>
    </row>
    <row r="98" spans="1:44" x14ac:dyDescent="0.3">
      <c r="A98" t="s">
        <v>33</v>
      </c>
      <c r="B98" t="s">
        <v>34</v>
      </c>
      <c r="C98" t="s">
        <v>117</v>
      </c>
      <c r="D98">
        <v>2900</v>
      </c>
      <c r="E98">
        <v>23120084</v>
      </c>
      <c r="F98" t="s">
        <v>212</v>
      </c>
      <c r="G98" t="s">
        <v>213</v>
      </c>
      <c r="H98">
        <v>6000</v>
      </c>
      <c r="I98">
        <v>33.75</v>
      </c>
      <c r="J98">
        <v>202500</v>
      </c>
      <c r="K98" s="7" t="str">
        <f>IFERROR(IF(B98&lt;&gt;"", TEXT(VLOOKUP(B98, 'Expected Date'!A:B, 2, FALSE) + DATE(RIGHT(C98,2),MID(C98,4,2),LEFT(C98,2)), "dd/mm/yy"), ""), "")</f>
        <v>17/07/23</v>
      </c>
      <c r="L98" t="s">
        <v>38</v>
      </c>
      <c r="M98" t="s">
        <v>39</v>
      </c>
      <c r="N98" t="s">
        <v>40</v>
      </c>
      <c r="O98" t="s">
        <v>203</v>
      </c>
      <c r="P98">
        <v>23190653</v>
      </c>
      <c r="Q98" t="s">
        <v>212</v>
      </c>
      <c r="R98" t="s">
        <v>213</v>
      </c>
      <c r="S98">
        <v>6038</v>
      </c>
      <c r="T98">
        <v>33.75</v>
      </c>
      <c r="U98">
        <v>203782.5</v>
      </c>
      <c r="V98" t="str">
        <f t="shared" si="31"/>
        <v>Accepted</v>
      </c>
      <c r="W98">
        <f>IFERROR(VLOOKUP(N98, Payment_Terms!A:B, 2, FALSE), "Payment term not found!")</f>
        <v>30</v>
      </c>
      <c r="X98" t="str">
        <f>IFERROR(VLOOKUP(R98, Item_Category!A:B, 2, FALSE), "Uncategorized")</f>
        <v>Bags</v>
      </c>
      <c r="Y98" s="5">
        <f t="shared" si="18"/>
        <v>0</v>
      </c>
      <c r="Z98">
        <f t="shared" si="19"/>
        <v>5</v>
      </c>
      <c r="AA98">
        <f t="shared" si="20"/>
        <v>-1</v>
      </c>
      <c r="AB98">
        <f t="shared" si="21"/>
        <v>5</v>
      </c>
      <c r="AC98" s="10">
        <f t="shared" si="22"/>
        <v>9</v>
      </c>
      <c r="AD98" s="5">
        <f t="shared" si="23"/>
        <v>1</v>
      </c>
      <c r="AE98" s="5">
        <f t="shared" si="24"/>
        <v>1</v>
      </c>
      <c r="AF98" s="5">
        <f t="shared" si="25"/>
        <v>0</v>
      </c>
      <c r="AG98">
        <f>IF(B98&lt;&gt;"", COUNTIFS($B$2:B98, B98), "")</f>
        <v>8</v>
      </c>
      <c r="AH98">
        <f t="shared" si="26"/>
        <v>5</v>
      </c>
      <c r="AI98" t="str">
        <f>VLOOKUP(B98, Currency!A:B, 2, FALSE)</f>
        <v>INR</v>
      </c>
      <c r="AJ98">
        <f t="shared" si="27"/>
        <v>5</v>
      </c>
      <c r="AK98">
        <f t="shared" si="28"/>
        <v>7</v>
      </c>
      <c r="AL98" t="str">
        <f t="shared" si="29"/>
        <v>July</v>
      </c>
      <c r="AM98">
        <f t="shared" si="32"/>
        <v>2023</v>
      </c>
      <c r="AN98" t="str">
        <f t="shared" si="30"/>
        <v>30Ami Enterprises</v>
      </c>
      <c r="AO98">
        <f>IF(COUNTIF($AN$2:AN98, AN98)=1, 1, 0)</f>
        <v>0</v>
      </c>
      <c r="AP98" t="str">
        <f t="shared" si="33"/>
        <v>&gt;3</v>
      </c>
      <c r="AQ98" t="str">
        <f t="shared" si="34"/>
        <v>&gt;3</v>
      </c>
      <c r="AR98" t="str">
        <f t="shared" si="35"/>
        <v>&gt;3</v>
      </c>
    </row>
    <row r="99" spans="1:44" x14ac:dyDescent="0.3">
      <c r="A99" t="s">
        <v>33</v>
      </c>
      <c r="B99" t="s">
        <v>51</v>
      </c>
      <c r="C99" t="s">
        <v>35</v>
      </c>
      <c r="D99">
        <v>1549</v>
      </c>
      <c r="E99">
        <v>23120010</v>
      </c>
      <c r="F99" t="s">
        <v>214</v>
      </c>
      <c r="G99" t="s">
        <v>215</v>
      </c>
      <c r="H99">
        <v>229.46</v>
      </c>
      <c r="I99">
        <v>7277.35</v>
      </c>
      <c r="J99">
        <v>1669860.73</v>
      </c>
      <c r="K99" s="7" t="str">
        <f>IFERROR(IF(B99&lt;&gt;"", TEXT(VLOOKUP(B99, 'Expected Date'!A:B, 2, FALSE) + DATE(RIGHT(C99,2),MID(C99,4,2),LEFT(C99,2)), "dd/mm/yy"), ""), "")</f>
        <v>17/05/23</v>
      </c>
      <c r="L99" t="s">
        <v>38</v>
      </c>
      <c r="M99" t="s">
        <v>48</v>
      </c>
      <c r="N99" t="s">
        <v>55</v>
      </c>
      <c r="O99" t="s">
        <v>41</v>
      </c>
      <c r="P99">
        <v>23190133</v>
      </c>
      <c r="Q99" t="s">
        <v>214</v>
      </c>
      <c r="R99" t="s">
        <v>215</v>
      </c>
      <c r="S99">
        <v>29.12</v>
      </c>
      <c r="T99">
        <v>7277.35</v>
      </c>
      <c r="U99">
        <v>211916.43</v>
      </c>
      <c r="V99" t="str">
        <f t="shared" si="31"/>
        <v>Accepted</v>
      </c>
      <c r="W99">
        <f>IFERROR(VLOOKUP(N99, Payment_Terms!A:B, 2, FALSE), "Payment term not found!")</f>
        <v>0</v>
      </c>
      <c r="X99" t="str">
        <f>IFERROR(VLOOKUP(R99, Item_Category!A:B, 2, FALSE), "Uncategorized")</f>
        <v>Coal materials</v>
      </c>
      <c r="Y99" s="5">
        <f t="shared" si="18"/>
        <v>0</v>
      </c>
      <c r="Z99">
        <f t="shared" si="19"/>
        <v>5</v>
      </c>
      <c r="AA99">
        <f t="shared" si="20"/>
        <v>-18</v>
      </c>
      <c r="AB99">
        <f t="shared" si="21"/>
        <v>5</v>
      </c>
      <c r="AC99" s="10">
        <f t="shared" si="22"/>
        <v>2</v>
      </c>
      <c r="AD99" s="5">
        <f t="shared" si="23"/>
        <v>1</v>
      </c>
      <c r="AE99" s="5">
        <f t="shared" si="24"/>
        <v>1</v>
      </c>
      <c r="AF99" s="5">
        <f t="shared" si="25"/>
        <v>0</v>
      </c>
      <c r="AG99">
        <f>IF(B99&lt;&gt;"", COUNTIFS($B$2:B99, B99), "")</f>
        <v>41</v>
      </c>
      <c r="AH99">
        <f t="shared" si="26"/>
        <v>5</v>
      </c>
      <c r="AI99" t="str">
        <f>VLOOKUP(B99, Currency!A:B, 2, FALSE)</f>
        <v>INR</v>
      </c>
      <c r="AJ99">
        <f t="shared" si="27"/>
        <v>5</v>
      </c>
      <c r="AK99">
        <f t="shared" si="28"/>
        <v>4</v>
      </c>
      <c r="AL99" t="str">
        <f t="shared" si="29"/>
        <v>April</v>
      </c>
      <c r="AM99">
        <f t="shared" si="32"/>
        <v>2023</v>
      </c>
      <c r="AN99" t="str">
        <f t="shared" si="30"/>
        <v>0The Singareni Collieries Company Ltd</v>
      </c>
      <c r="AO99">
        <f>IF(COUNTIF($AN$2:AN99, AN99)=1, 1, 0)</f>
        <v>0</v>
      </c>
      <c r="AP99" t="str">
        <f t="shared" si="33"/>
        <v>&gt;3</v>
      </c>
      <c r="AQ99" t="str">
        <f t="shared" si="34"/>
        <v>&gt;3</v>
      </c>
      <c r="AR99" t="str">
        <f t="shared" si="35"/>
        <v>&gt;3</v>
      </c>
    </row>
    <row r="100" spans="1:44" x14ac:dyDescent="0.3">
      <c r="A100" t="s">
        <v>33</v>
      </c>
      <c r="B100" t="s">
        <v>51</v>
      </c>
      <c r="C100" t="s">
        <v>35</v>
      </c>
      <c r="D100">
        <v>1549</v>
      </c>
      <c r="E100">
        <v>23120010</v>
      </c>
      <c r="F100" t="s">
        <v>214</v>
      </c>
      <c r="G100" t="s">
        <v>215</v>
      </c>
      <c r="H100">
        <v>229.46</v>
      </c>
      <c r="I100">
        <v>7277.35</v>
      </c>
      <c r="J100">
        <v>1669860.73</v>
      </c>
      <c r="K100" s="7" t="str">
        <f>IFERROR(IF(B100&lt;&gt;"", TEXT(VLOOKUP(B100, 'Expected Date'!A:B, 2, FALSE) + DATE(RIGHT(C100,2),MID(C100,4,2),LEFT(C100,2)), "dd/mm/yy"), ""), "")</f>
        <v>17/05/23</v>
      </c>
      <c r="L100" t="s">
        <v>38</v>
      </c>
      <c r="M100" t="s">
        <v>48</v>
      </c>
      <c r="N100" t="s">
        <v>55</v>
      </c>
      <c r="O100" t="s">
        <v>41</v>
      </c>
      <c r="P100">
        <v>23190134</v>
      </c>
      <c r="Q100" t="s">
        <v>214</v>
      </c>
      <c r="R100" t="s">
        <v>215</v>
      </c>
      <c r="S100">
        <v>25.16</v>
      </c>
      <c r="T100">
        <v>7277.35</v>
      </c>
      <c r="U100">
        <v>183098.13</v>
      </c>
      <c r="V100" t="str">
        <f t="shared" si="31"/>
        <v>Accepted</v>
      </c>
      <c r="W100">
        <f>IFERROR(VLOOKUP(N100, Payment_Terms!A:B, 2, FALSE), "Payment term not found!")</f>
        <v>0</v>
      </c>
      <c r="X100" t="str">
        <f>IFERROR(VLOOKUP(R100, Item_Category!A:B, 2, FALSE), "Uncategorized")</f>
        <v>Coal materials</v>
      </c>
      <c r="Y100" s="5">
        <f t="shared" si="18"/>
        <v>0</v>
      </c>
      <c r="Z100">
        <f t="shared" si="19"/>
        <v>5</v>
      </c>
      <c r="AA100">
        <f t="shared" si="20"/>
        <v>-18</v>
      </c>
      <c r="AB100">
        <f t="shared" si="21"/>
        <v>5</v>
      </c>
      <c r="AC100" s="10">
        <f t="shared" si="22"/>
        <v>2</v>
      </c>
      <c r="AD100" s="5">
        <f t="shared" si="23"/>
        <v>1</v>
      </c>
      <c r="AE100" s="5">
        <f t="shared" si="24"/>
        <v>1</v>
      </c>
      <c r="AF100" s="5">
        <f t="shared" si="25"/>
        <v>0</v>
      </c>
      <c r="AG100">
        <f>IF(B100&lt;&gt;"", COUNTIFS($B$2:B100, B100), "")</f>
        <v>42</v>
      </c>
      <c r="AH100">
        <f t="shared" si="26"/>
        <v>5</v>
      </c>
      <c r="AI100" t="str">
        <f>VLOOKUP(B100, Currency!A:B, 2, FALSE)</f>
        <v>INR</v>
      </c>
      <c r="AJ100">
        <f t="shared" si="27"/>
        <v>5</v>
      </c>
      <c r="AK100">
        <f t="shared" si="28"/>
        <v>4</v>
      </c>
      <c r="AL100" t="str">
        <f t="shared" si="29"/>
        <v>April</v>
      </c>
      <c r="AM100">
        <f t="shared" si="32"/>
        <v>2023</v>
      </c>
      <c r="AN100" t="str">
        <f t="shared" si="30"/>
        <v>0The Singareni Collieries Company Ltd</v>
      </c>
      <c r="AO100">
        <f>IF(COUNTIF($AN$2:AN100, AN100)=1, 1, 0)</f>
        <v>0</v>
      </c>
      <c r="AP100" t="str">
        <f t="shared" si="33"/>
        <v>&gt;3</v>
      </c>
      <c r="AQ100" t="str">
        <f t="shared" si="34"/>
        <v>&gt;3</v>
      </c>
      <c r="AR100" t="str">
        <f t="shared" si="35"/>
        <v>&gt;3</v>
      </c>
    </row>
    <row r="101" spans="1:44" x14ac:dyDescent="0.3">
      <c r="A101" t="s">
        <v>33</v>
      </c>
      <c r="B101" t="s">
        <v>51</v>
      </c>
      <c r="C101" t="s">
        <v>35</v>
      </c>
      <c r="D101">
        <v>1549</v>
      </c>
      <c r="E101">
        <v>23120010</v>
      </c>
      <c r="F101" t="s">
        <v>214</v>
      </c>
      <c r="G101" t="s">
        <v>215</v>
      </c>
      <c r="H101">
        <v>229.46</v>
      </c>
      <c r="I101">
        <v>7277.35</v>
      </c>
      <c r="J101">
        <v>1669860.73</v>
      </c>
      <c r="K101" s="7" t="str">
        <f>IFERROR(IF(B101&lt;&gt;"", TEXT(VLOOKUP(B101, 'Expected Date'!A:B, 2, FALSE) + DATE(RIGHT(C101,2),MID(C101,4,2),LEFT(C101,2)), "dd/mm/yy"), ""), "")</f>
        <v>17/05/23</v>
      </c>
      <c r="L101" t="s">
        <v>38</v>
      </c>
      <c r="M101" t="s">
        <v>48</v>
      </c>
      <c r="N101" t="s">
        <v>55</v>
      </c>
      <c r="O101" t="s">
        <v>41</v>
      </c>
      <c r="P101">
        <v>23190135</v>
      </c>
      <c r="Q101" t="s">
        <v>214</v>
      </c>
      <c r="R101" t="s">
        <v>215</v>
      </c>
      <c r="S101">
        <v>25.1</v>
      </c>
      <c r="T101">
        <v>7277.35</v>
      </c>
      <c r="U101">
        <v>182661.49</v>
      </c>
      <c r="V101" t="str">
        <f t="shared" si="31"/>
        <v>Accepted</v>
      </c>
      <c r="W101">
        <f>IFERROR(VLOOKUP(N101, Payment_Terms!A:B, 2, FALSE), "Payment term not found!")</f>
        <v>0</v>
      </c>
      <c r="X101" t="str">
        <f>IFERROR(VLOOKUP(R101, Item_Category!A:B, 2, FALSE), "Uncategorized")</f>
        <v>Coal materials</v>
      </c>
      <c r="Y101" s="5">
        <f t="shared" si="18"/>
        <v>0</v>
      </c>
      <c r="Z101">
        <f t="shared" si="19"/>
        <v>5</v>
      </c>
      <c r="AA101">
        <f t="shared" si="20"/>
        <v>-18</v>
      </c>
      <c r="AB101">
        <f t="shared" si="21"/>
        <v>5</v>
      </c>
      <c r="AC101" s="10">
        <f t="shared" si="22"/>
        <v>2</v>
      </c>
      <c r="AD101" s="5">
        <f t="shared" si="23"/>
        <v>1</v>
      </c>
      <c r="AE101" s="5">
        <f t="shared" si="24"/>
        <v>1</v>
      </c>
      <c r="AF101" s="5">
        <f t="shared" si="25"/>
        <v>0</v>
      </c>
      <c r="AG101">
        <f>IF(B101&lt;&gt;"", COUNTIFS($B$2:B101, B101), "")</f>
        <v>43</v>
      </c>
      <c r="AH101">
        <f t="shared" si="26"/>
        <v>5</v>
      </c>
      <c r="AI101" t="str">
        <f>VLOOKUP(B101, Currency!A:B, 2, FALSE)</f>
        <v>INR</v>
      </c>
      <c r="AJ101">
        <f t="shared" si="27"/>
        <v>5</v>
      </c>
      <c r="AK101">
        <f t="shared" si="28"/>
        <v>4</v>
      </c>
      <c r="AL101" t="str">
        <f t="shared" si="29"/>
        <v>April</v>
      </c>
      <c r="AM101">
        <f t="shared" si="32"/>
        <v>2023</v>
      </c>
      <c r="AN101" t="str">
        <f t="shared" si="30"/>
        <v>0The Singareni Collieries Company Ltd</v>
      </c>
      <c r="AO101">
        <f>IF(COUNTIF($AN$2:AN101, AN101)=1, 1, 0)</f>
        <v>0</v>
      </c>
      <c r="AP101" t="str">
        <f t="shared" si="33"/>
        <v>&gt;3</v>
      </c>
      <c r="AQ101" t="str">
        <f t="shared" si="34"/>
        <v>&gt;3</v>
      </c>
      <c r="AR101" t="str">
        <f t="shared" si="35"/>
        <v>&gt;3</v>
      </c>
    </row>
    <row r="102" spans="1:44" x14ac:dyDescent="0.3">
      <c r="A102" t="s">
        <v>33</v>
      </c>
      <c r="B102" t="s">
        <v>34</v>
      </c>
      <c r="C102" t="s">
        <v>35</v>
      </c>
      <c r="D102">
        <v>1661</v>
      </c>
      <c r="E102">
        <v>23120014</v>
      </c>
      <c r="F102" t="s">
        <v>216</v>
      </c>
      <c r="G102" t="s">
        <v>217</v>
      </c>
      <c r="H102">
        <v>2046</v>
      </c>
      <c r="I102">
        <v>35.75</v>
      </c>
      <c r="J102">
        <v>73144.5</v>
      </c>
      <c r="K102" s="7" t="str">
        <f>IFERROR(IF(B102&lt;&gt;"", TEXT(VLOOKUP(B102, 'Expected Date'!A:B, 2, FALSE) + DATE(RIGHT(C102,2),MID(C102,4,2),LEFT(C102,2)), "dd/mm/yy"), ""), "")</f>
        <v>07/05/23</v>
      </c>
      <c r="L102" t="s">
        <v>38</v>
      </c>
      <c r="M102" t="s">
        <v>39</v>
      </c>
      <c r="N102" t="s">
        <v>40</v>
      </c>
      <c r="O102" t="s">
        <v>41</v>
      </c>
      <c r="P102">
        <v>23190138</v>
      </c>
      <c r="Q102" t="s">
        <v>216</v>
      </c>
      <c r="R102" t="s">
        <v>217</v>
      </c>
      <c r="S102">
        <v>2046</v>
      </c>
      <c r="T102">
        <v>35.75</v>
      </c>
      <c r="U102">
        <v>73144.5</v>
      </c>
      <c r="V102" t="str">
        <f t="shared" si="31"/>
        <v>Accepted</v>
      </c>
      <c r="W102">
        <f>IFERROR(VLOOKUP(N102, Payment_Terms!A:B, 2, FALSE), "Payment term not found!")</f>
        <v>30</v>
      </c>
      <c r="X102" t="str">
        <f>IFERROR(VLOOKUP(R102, Item_Category!A:B, 2, FALSE), "Uncategorized")</f>
        <v>Bags</v>
      </c>
      <c r="Y102" s="5">
        <f t="shared" si="18"/>
        <v>0</v>
      </c>
      <c r="Z102">
        <f t="shared" si="19"/>
        <v>5</v>
      </c>
      <c r="AA102">
        <f t="shared" si="20"/>
        <v>-8</v>
      </c>
      <c r="AB102">
        <f t="shared" si="21"/>
        <v>5</v>
      </c>
      <c r="AC102" s="10">
        <f t="shared" si="22"/>
        <v>2</v>
      </c>
      <c r="AD102" s="5">
        <f t="shared" si="23"/>
        <v>1</v>
      </c>
      <c r="AE102" s="5">
        <f t="shared" si="24"/>
        <v>1</v>
      </c>
      <c r="AF102" s="5">
        <f t="shared" si="25"/>
        <v>0</v>
      </c>
      <c r="AG102">
        <f>IF(B102&lt;&gt;"", COUNTIFS($B$2:B102, B102), "")</f>
        <v>9</v>
      </c>
      <c r="AH102">
        <f t="shared" si="26"/>
        <v>5</v>
      </c>
      <c r="AI102" t="str">
        <f>VLOOKUP(B102, Currency!A:B, 2, FALSE)</f>
        <v>INR</v>
      </c>
      <c r="AJ102">
        <f t="shared" si="27"/>
        <v>5</v>
      </c>
      <c r="AK102">
        <f t="shared" si="28"/>
        <v>4</v>
      </c>
      <c r="AL102" t="str">
        <f t="shared" si="29"/>
        <v>April</v>
      </c>
      <c r="AM102">
        <f t="shared" si="32"/>
        <v>2023</v>
      </c>
      <c r="AN102" t="str">
        <f t="shared" si="30"/>
        <v>30Ami Enterprises</v>
      </c>
      <c r="AO102">
        <f>IF(COUNTIF($AN$2:AN102, AN102)=1, 1, 0)</f>
        <v>0</v>
      </c>
      <c r="AP102" t="str">
        <f t="shared" si="33"/>
        <v>&gt;3</v>
      </c>
      <c r="AQ102" t="str">
        <f t="shared" si="34"/>
        <v>&gt;3</v>
      </c>
      <c r="AR102" t="str">
        <f t="shared" si="35"/>
        <v>&gt;3</v>
      </c>
    </row>
    <row r="103" spans="1:44" x14ac:dyDescent="0.3">
      <c r="A103" t="s">
        <v>33</v>
      </c>
      <c r="B103" t="s">
        <v>64</v>
      </c>
      <c r="C103" t="s">
        <v>117</v>
      </c>
      <c r="D103">
        <v>2901</v>
      </c>
      <c r="E103">
        <v>23120085</v>
      </c>
      <c r="F103" t="s">
        <v>125</v>
      </c>
      <c r="G103" t="s">
        <v>126</v>
      </c>
      <c r="H103">
        <v>3000</v>
      </c>
      <c r="I103">
        <v>22.5</v>
      </c>
      <c r="J103">
        <v>67500</v>
      </c>
      <c r="K103" s="7" t="str">
        <f>IFERROR(IF(B103&lt;&gt;"", TEXT(VLOOKUP(B103, 'Expected Date'!A:B, 2, FALSE) + DATE(RIGHT(C103,2),MID(C103,4,2),LEFT(C103,2)), "dd/mm/yy"), ""), "")</f>
        <v>17/07/23</v>
      </c>
      <c r="L103" t="s">
        <v>38</v>
      </c>
      <c r="M103" t="s">
        <v>48</v>
      </c>
      <c r="N103" t="s">
        <v>69</v>
      </c>
      <c r="O103" t="s">
        <v>192</v>
      </c>
      <c r="P103">
        <v>23190837</v>
      </c>
      <c r="Q103" t="s">
        <v>125</v>
      </c>
      <c r="R103" t="s">
        <v>126</v>
      </c>
      <c r="S103">
        <v>3200</v>
      </c>
      <c r="T103">
        <v>22.5</v>
      </c>
      <c r="U103">
        <v>72000</v>
      </c>
      <c r="V103" t="str">
        <f t="shared" si="31"/>
        <v>Accepted</v>
      </c>
      <c r="W103">
        <f>IFERROR(VLOOKUP(N103, Payment_Terms!A:B, 2, FALSE), "Payment term not found!")</f>
        <v>30</v>
      </c>
      <c r="X103" t="str">
        <f>IFERROR(VLOOKUP(R103, Item_Category!A:B, 2, FALSE), "Uncategorized")</f>
        <v>Bags</v>
      </c>
      <c r="Y103" s="5">
        <f t="shared" si="18"/>
        <v>0</v>
      </c>
      <c r="Z103">
        <f t="shared" si="19"/>
        <v>5</v>
      </c>
      <c r="AA103">
        <f t="shared" si="20"/>
        <v>28</v>
      </c>
      <c r="AB103">
        <f t="shared" si="21"/>
        <v>1</v>
      </c>
      <c r="AC103" s="10">
        <f t="shared" si="22"/>
        <v>38</v>
      </c>
      <c r="AD103" s="5">
        <f t="shared" si="23"/>
        <v>1</v>
      </c>
      <c r="AE103" s="5">
        <f t="shared" si="24"/>
        <v>1</v>
      </c>
      <c r="AF103" s="5">
        <f t="shared" si="25"/>
        <v>0</v>
      </c>
      <c r="AG103">
        <f>IF(B103&lt;&gt;"", COUNTIFS($B$2:B103, B103), "")</f>
        <v>7</v>
      </c>
      <c r="AH103">
        <f t="shared" si="26"/>
        <v>5</v>
      </c>
      <c r="AI103" t="str">
        <f>VLOOKUP(B103, Currency!A:B, 2, FALSE)</f>
        <v>INR</v>
      </c>
      <c r="AJ103">
        <f t="shared" si="27"/>
        <v>4</v>
      </c>
      <c r="AK103">
        <f t="shared" si="28"/>
        <v>7</v>
      </c>
      <c r="AL103" t="str">
        <f t="shared" si="29"/>
        <v>July</v>
      </c>
      <c r="AM103">
        <f t="shared" si="32"/>
        <v>2023</v>
      </c>
      <c r="AN103" t="str">
        <f t="shared" si="30"/>
        <v>30Epic Polymers</v>
      </c>
      <c r="AO103">
        <f>IF(COUNTIF($AN$2:AN103, AN103)=1, 1, 0)</f>
        <v>0</v>
      </c>
      <c r="AP103" t="str">
        <f t="shared" si="33"/>
        <v>&gt;3</v>
      </c>
      <c r="AQ103" t="str">
        <f t="shared" si="34"/>
        <v>&gt;3</v>
      </c>
      <c r="AR103" t="str">
        <f t="shared" si="35"/>
        <v>&lt;=3</v>
      </c>
    </row>
    <row r="104" spans="1:44" x14ac:dyDescent="0.3">
      <c r="A104" t="s">
        <v>33</v>
      </c>
      <c r="B104" t="s">
        <v>51</v>
      </c>
      <c r="C104" t="s">
        <v>52</v>
      </c>
      <c r="D104">
        <v>3768</v>
      </c>
      <c r="E104">
        <v>23120100</v>
      </c>
      <c r="F104" t="s">
        <v>53</v>
      </c>
      <c r="G104" t="s">
        <v>54</v>
      </c>
      <c r="H104">
        <v>435.83</v>
      </c>
      <c r="I104">
        <v>7412.17</v>
      </c>
      <c r="J104">
        <v>3230446.05</v>
      </c>
      <c r="K104" s="7" t="str">
        <f>IFERROR(IF(B104&lt;&gt;"", TEXT(VLOOKUP(B104, 'Expected Date'!A:B, 2, FALSE) + DATE(RIGHT(C104,2),MID(C104,4,2),LEFT(C104,2)), "dd/mm/yy"), ""), "")</f>
        <v>05/09/23</v>
      </c>
      <c r="L104" t="s">
        <v>38</v>
      </c>
      <c r="M104" t="s">
        <v>48</v>
      </c>
      <c r="N104" t="s">
        <v>55</v>
      </c>
      <c r="O104" t="s">
        <v>208</v>
      </c>
      <c r="P104">
        <v>23190875</v>
      </c>
      <c r="Q104" t="s">
        <v>53</v>
      </c>
      <c r="R104" t="s">
        <v>54</v>
      </c>
      <c r="S104">
        <v>30.67</v>
      </c>
      <c r="T104">
        <v>7412.17</v>
      </c>
      <c r="U104">
        <v>227331.25</v>
      </c>
      <c r="V104" t="str">
        <f t="shared" si="31"/>
        <v>Accepted</v>
      </c>
      <c r="W104">
        <f>IFERROR(VLOOKUP(N104, Payment_Terms!A:B, 2, FALSE), "Payment term not found!")</f>
        <v>0</v>
      </c>
      <c r="X104" t="str">
        <f>IFERROR(VLOOKUP(R104, Item_Category!A:B, 2, FALSE), "Uncategorized")</f>
        <v>Coal materials</v>
      </c>
      <c r="Y104" s="5">
        <f t="shared" si="18"/>
        <v>1.3042566794577706E-16</v>
      </c>
      <c r="Z104">
        <f t="shared" si="19"/>
        <v>4</v>
      </c>
      <c r="AA104">
        <f t="shared" si="20"/>
        <v>-24</v>
      </c>
      <c r="AB104">
        <f t="shared" si="21"/>
        <v>5</v>
      </c>
      <c r="AC104" s="10">
        <f t="shared" si="22"/>
        <v>4</v>
      </c>
      <c r="AD104" s="5">
        <f t="shared" si="23"/>
        <v>1</v>
      </c>
      <c r="AE104" s="5">
        <f t="shared" si="24"/>
        <v>1</v>
      </c>
      <c r="AF104" s="5">
        <f t="shared" si="25"/>
        <v>0</v>
      </c>
      <c r="AG104">
        <f>IF(B104&lt;&gt;"", COUNTIFS($B$2:B104, B104), "")</f>
        <v>44</v>
      </c>
      <c r="AH104">
        <f t="shared" si="26"/>
        <v>5</v>
      </c>
      <c r="AI104" t="str">
        <f>VLOOKUP(B104, Currency!A:B, 2, FALSE)</f>
        <v>INR</v>
      </c>
      <c r="AJ104">
        <f t="shared" si="27"/>
        <v>5</v>
      </c>
      <c r="AK104">
        <f t="shared" si="28"/>
        <v>8</v>
      </c>
      <c r="AL104" t="str">
        <f t="shared" si="29"/>
        <v>August</v>
      </c>
      <c r="AM104">
        <f t="shared" si="32"/>
        <v>2023</v>
      </c>
      <c r="AN104" t="str">
        <f t="shared" si="30"/>
        <v>0The Singareni Collieries Company Ltd</v>
      </c>
      <c r="AO104">
        <f>IF(COUNTIF($AN$2:AN104, AN104)=1, 1, 0)</f>
        <v>0</v>
      </c>
      <c r="AP104" t="str">
        <f t="shared" si="33"/>
        <v>&gt;3</v>
      </c>
      <c r="AQ104" t="str">
        <f t="shared" si="34"/>
        <v>&gt;3</v>
      </c>
      <c r="AR104" t="str">
        <f t="shared" si="35"/>
        <v>&gt;3</v>
      </c>
    </row>
    <row r="105" spans="1:44" x14ac:dyDescent="0.3">
      <c r="A105" t="s">
        <v>33</v>
      </c>
      <c r="B105" t="s">
        <v>51</v>
      </c>
      <c r="C105" t="s">
        <v>52</v>
      </c>
      <c r="D105">
        <v>3768</v>
      </c>
      <c r="E105">
        <v>23120100</v>
      </c>
      <c r="F105" t="s">
        <v>53</v>
      </c>
      <c r="G105" t="s">
        <v>54</v>
      </c>
      <c r="H105">
        <v>435.83</v>
      </c>
      <c r="I105">
        <v>7412.17</v>
      </c>
      <c r="J105">
        <v>3230446.05</v>
      </c>
      <c r="K105" s="7" t="str">
        <f>IFERROR(IF(B105&lt;&gt;"", TEXT(VLOOKUP(B105, 'Expected Date'!A:B, 2, FALSE) + DATE(RIGHT(C105,2),MID(C105,4,2),LEFT(C105,2)), "dd/mm/yy"), ""), "")</f>
        <v>05/09/23</v>
      </c>
      <c r="L105" t="s">
        <v>38</v>
      </c>
      <c r="M105" t="s">
        <v>48</v>
      </c>
      <c r="N105" t="s">
        <v>55</v>
      </c>
      <c r="O105" t="s">
        <v>74</v>
      </c>
      <c r="P105">
        <v>23190876</v>
      </c>
      <c r="Q105" t="s">
        <v>53</v>
      </c>
      <c r="R105" t="s">
        <v>54</v>
      </c>
      <c r="S105">
        <v>25.21</v>
      </c>
      <c r="T105">
        <v>7412.17</v>
      </c>
      <c r="U105">
        <v>186860.81</v>
      </c>
      <c r="V105" t="str">
        <f t="shared" si="31"/>
        <v>Accepted</v>
      </c>
      <c r="W105">
        <f>IFERROR(VLOOKUP(N105, Payment_Terms!A:B, 2, FALSE), "Payment term not found!")</f>
        <v>0</v>
      </c>
      <c r="X105" t="str">
        <f>IFERROR(VLOOKUP(R105, Item_Category!A:B, 2, FALSE), "Uncategorized")</f>
        <v>Coal materials</v>
      </c>
      <c r="Y105" s="5">
        <f t="shared" si="18"/>
        <v>1.3042566794577706E-16</v>
      </c>
      <c r="Z105">
        <f t="shared" si="19"/>
        <v>4</v>
      </c>
      <c r="AA105">
        <f t="shared" si="20"/>
        <v>-25</v>
      </c>
      <c r="AB105">
        <f t="shared" si="21"/>
        <v>5</v>
      </c>
      <c r="AC105" s="10">
        <f t="shared" si="22"/>
        <v>5</v>
      </c>
      <c r="AD105" s="5">
        <f t="shared" si="23"/>
        <v>1</v>
      </c>
      <c r="AE105" s="5">
        <f t="shared" si="24"/>
        <v>1</v>
      </c>
      <c r="AF105" s="5">
        <f t="shared" si="25"/>
        <v>0</v>
      </c>
      <c r="AG105">
        <f>IF(B105&lt;&gt;"", COUNTIFS($B$2:B105, B105), "")</f>
        <v>45</v>
      </c>
      <c r="AH105">
        <f t="shared" si="26"/>
        <v>5</v>
      </c>
      <c r="AI105" t="str">
        <f>VLOOKUP(B105, Currency!A:B, 2, FALSE)</f>
        <v>INR</v>
      </c>
      <c r="AJ105">
        <f t="shared" si="27"/>
        <v>5</v>
      </c>
      <c r="AK105">
        <f t="shared" si="28"/>
        <v>8</v>
      </c>
      <c r="AL105" t="str">
        <f t="shared" si="29"/>
        <v>August</v>
      </c>
      <c r="AM105">
        <f t="shared" si="32"/>
        <v>2023</v>
      </c>
      <c r="AN105" t="str">
        <f t="shared" si="30"/>
        <v>0The Singareni Collieries Company Ltd</v>
      </c>
      <c r="AO105">
        <f>IF(COUNTIF($AN$2:AN105, AN105)=1, 1, 0)</f>
        <v>0</v>
      </c>
      <c r="AP105" t="str">
        <f t="shared" si="33"/>
        <v>&gt;3</v>
      </c>
      <c r="AQ105" t="str">
        <f t="shared" si="34"/>
        <v>&gt;3</v>
      </c>
      <c r="AR105" t="str">
        <f t="shared" si="35"/>
        <v>&gt;3</v>
      </c>
    </row>
    <row r="106" spans="1:44" x14ac:dyDescent="0.3">
      <c r="A106" t="s">
        <v>33</v>
      </c>
      <c r="B106" t="s">
        <v>64</v>
      </c>
      <c r="C106" t="s">
        <v>105</v>
      </c>
      <c r="D106">
        <v>4033</v>
      </c>
      <c r="E106">
        <v>23120111</v>
      </c>
      <c r="F106" t="s">
        <v>170</v>
      </c>
      <c r="G106" t="s">
        <v>171</v>
      </c>
      <c r="H106">
        <v>3000</v>
      </c>
      <c r="I106">
        <v>22.25</v>
      </c>
      <c r="J106">
        <v>66750</v>
      </c>
      <c r="K106" s="7" t="str">
        <f>IFERROR(IF(B106&lt;&gt;"", TEXT(VLOOKUP(B106, 'Expected Date'!A:B, 2, FALSE) + DATE(RIGHT(C106,2),MID(C106,4,2),LEFT(C106,2)), "dd/mm/yy"), ""), "")</f>
        <v>04/09/23</v>
      </c>
      <c r="L106" t="s">
        <v>68</v>
      </c>
      <c r="M106" t="s">
        <v>39</v>
      </c>
      <c r="N106" t="s">
        <v>69</v>
      </c>
      <c r="O106" t="s">
        <v>206</v>
      </c>
      <c r="P106">
        <v>23191059</v>
      </c>
      <c r="Q106" t="s">
        <v>170</v>
      </c>
      <c r="R106" t="s">
        <v>171</v>
      </c>
      <c r="S106">
        <v>1600</v>
      </c>
      <c r="T106">
        <v>22.25</v>
      </c>
      <c r="U106">
        <v>35600</v>
      </c>
      <c r="V106" t="str">
        <f t="shared" si="31"/>
        <v>Accepted</v>
      </c>
      <c r="W106">
        <f>IFERROR(VLOOKUP(N106, Payment_Terms!A:B, 2, FALSE), "Payment term not found!")</f>
        <v>30</v>
      </c>
      <c r="X106" t="str">
        <f>IFERROR(VLOOKUP(R106, Item_Category!A:B, 2, FALSE), "Uncategorized")</f>
        <v>Bags</v>
      </c>
      <c r="Y106" s="5">
        <f t="shared" si="18"/>
        <v>0.46666666666666667</v>
      </c>
      <c r="Z106">
        <f t="shared" si="19"/>
        <v>1</v>
      </c>
      <c r="AA106">
        <f t="shared" si="20"/>
        <v>9</v>
      </c>
      <c r="AB106">
        <f t="shared" si="21"/>
        <v>2</v>
      </c>
      <c r="AC106" s="10">
        <f t="shared" si="22"/>
        <v>19</v>
      </c>
      <c r="AD106" s="5">
        <f t="shared" si="23"/>
        <v>1</v>
      </c>
      <c r="AE106" s="5">
        <f t="shared" si="24"/>
        <v>1</v>
      </c>
      <c r="AF106" s="5">
        <f t="shared" si="25"/>
        <v>0</v>
      </c>
      <c r="AG106">
        <f>IF(B106&lt;&gt;"", COUNTIFS($B$2:B106, B106), "")</f>
        <v>8</v>
      </c>
      <c r="AH106">
        <f t="shared" si="26"/>
        <v>5</v>
      </c>
      <c r="AI106" t="str">
        <f>VLOOKUP(B106, Currency!A:B, 2, FALSE)</f>
        <v>INR</v>
      </c>
      <c r="AJ106">
        <f t="shared" si="27"/>
        <v>3</v>
      </c>
      <c r="AK106">
        <f t="shared" si="28"/>
        <v>8</v>
      </c>
      <c r="AL106" t="str">
        <f t="shared" si="29"/>
        <v>August</v>
      </c>
      <c r="AM106">
        <f t="shared" si="32"/>
        <v>2023</v>
      </c>
      <c r="AN106" t="str">
        <f t="shared" si="30"/>
        <v>30Epic Polymers</v>
      </c>
      <c r="AO106">
        <f>IF(COUNTIF($AN$2:AN106, AN106)=1, 1, 0)</f>
        <v>0</v>
      </c>
      <c r="AP106" t="str">
        <f t="shared" si="33"/>
        <v>&gt;3</v>
      </c>
      <c r="AQ106" t="str">
        <f t="shared" si="34"/>
        <v>&lt;=3</v>
      </c>
      <c r="AR106" t="str">
        <f t="shared" si="35"/>
        <v>&lt;=3</v>
      </c>
    </row>
    <row r="107" spans="1:44" x14ac:dyDescent="0.3">
      <c r="A107" t="s">
        <v>33</v>
      </c>
      <c r="B107" t="s">
        <v>64</v>
      </c>
      <c r="C107" t="s">
        <v>105</v>
      </c>
      <c r="D107">
        <v>4033</v>
      </c>
      <c r="E107">
        <v>23120111</v>
      </c>
      <c r="F107" t="s">
        <v>218</v>
      </c>
      <c r="G107" t="s">
        <v>219</v>
      </c>
      <c r="H107">
        <v>2000</v>
      </c>
      <c r="I107">
        <v>22.5</v>
      </c>
      <c r="J107">
        <v>45000</v>
      </c>
      <c r="K107" s="7" t="str">
        <f>IFERROR(IF(B107&lt;&gt;"", TEXT(VLOOKUP(B107, 'Expected Date'!A:B, 2, FALSE) + DATE(RIGHT(C107,2),MID(C107,4,2),LEFT(C107,2)), "dd/mm/yy"), ""), "")</f>
        <v>04/09/23</v>
      </c>
      <c r="L107" t="s">
        <v>38</v>
      </c>
      <c r="M107" t="s">
        <v>39</v>
      </c>
      <c r="N107" t="s">
        <v>69</v>
      </c>
      <c r="O107" t="s">
        <v>206</v>
      </c>
      <c r="P107">
        <v>23191059</v>
      </c>
      <c r="Q107" t="s">
        <v>218</v>
      </c>
      <c r="R107" t="s">
        <v>219</v>
      </c>
      <c r="S107">
        <v>2000</v>
      </c>
      <c r="T107">
        <v>22.5</v>
      </c>
      <c r="U107">
        <v>45000</v>
      </c>
      <c r="V107" t="str">
        <f t="shared" si="31"/>
        <v>Accepted</v>
      </c>
      <c r="W107">
        <f>IFERROR(VLOOKUP(N107, Payment_Terms!A:B, 2, FALSE), "Payment term not found!")</f>
        <v>30</v>
      </c>
      <c r="X107" t="str">
        <f>IFERROR(VLOOKUP(R107, Item_Category!A:B, 2, FALSE), "Uncategorized")</f>
        <v>Bags</v>
      </c>
      <c r="Y107" s="5">
        <f t="shared" si="18"/>
        <v>0</v>
      </c>
      <c r="Z107">
        <f t="shared" si="19"/>
        <v>5</v>
      </c>
      <c r="AA107">
        <f t="shared" si="20"/>
        <v>9</v>
      </c>
      <c r="AB107">
        <f t="shared" si="21"/>
        <v>2</v>
      </c>
      <c r="AC107" s="10">
        <f t="shared" si="22"/>
        <v>19</v>
      </c>
      <c r="AD107" s="5">
        <f t="shared" si="23"/>
        <v>1</v>
      </c>
      <c r="AE107" s="5">
        <f t="shared" si="24"/>
        <v>1</v>
      </c>
      <c r="AF107" s="5">
        <f t="shared" si="25"/>
        <v>0</v>
      </c>
      <c r="AG107">
        <f>IF(B107&lt;&gt;"", COUNTIFS($B$2:B107, B107), "")</f>
        <v>9</v>
      </c>
      <c r="AH107">
        <f t="shared" si="26"/>
        <v>5</v>
      </c>
      <c r="AI107" t="str">
        <f>VLOOKUP(B107, Currency!A:B, 2, FALSE)</f>
        <v>INR</v>
      </c>
      <c r="AJ107">
        <f t="shared" si="27"/>
        <v>5</v>
      </c>
      <c r="AK107">
        <f t="shared" si="28"/>
        <v>8</v>
      </c>
      <c r="AL107" t="str">
        <f t="shared" si="29"/>
        <v>August</v>
      </c>
      <c r="AM107">
        <f t="shared" si="32"/>
        <v>2023</v>
      </c>
      <c r="AN107" t="str">
        <f t="shared" si="30"/>
        <v>30Epic Polymers</v>
      </c>
      <c r="AO107">
        <f>IF(COUNTIF($AN$2:AN107, AN107)=1, 1, 0)</f>
        <v>0</v>
      </c>
      <c r="AP107" t="str">
        <f t="shared" si="33"/>
        <v>&gt;3</v>
      </c>
      <c r="AQ107" t="str">
        <f t="shared" si="34"/>
        <v>&gt;3</v>
      </c>
      <c r="AR107" t="str">
        <f t="shared" si="35"/>
        <v>&lt;=3</v>
      </c>
    </row>
    <row r="108" spans="1:44" x14ac:dyDescent="0.3">
      <c r="A108" t="s">
        <v>33</v>
      </c>
      <c r="B108" t="s">
        <v>44</v>
      </c>
      <c r="C108" t="s">
        <v>206</v>
      </c>
      <c r="D108">
        <v>4349</v>
      </c>
      <c r="E108">
        <v>23120121</v>
      </c>
      <c r="F108" t="s">
        <v>46</v>
      </c>
      <c r="G108" t="s">
        <v>47</v>
      </c>
      <c r="H108">
        <v>600</v>
      </c>
      <c r="I108">
        <v>65</v>
      </c>
      <c r="J108">
        <v>39000</v>
      </c>
      <c r="K108" s="7" t="str">
        <f>IFERROR(IF(B108&lt;&gt;"", TEXT(VLOOKUP(B108, 'Expected Date'!A:B, 2, FALSE) + DATE(RIGHT(C108,2),MID(C108,4,2),LEFT(C108,2)), "dd/mm/yy"), ""), "")</f>
        <v>18/09/23</v>
      </c>
      <c r="L108" t="s">
        <v>38</v>
      </c>
      <c r="M108" t="s">
        <v>48</v>
      </c>
      <c r="N108" t="s">
        <v>49</v>
      </c>
      <c r="O108" t="s">
        <v>220</v>
      </c>
      <c r="P108">
        <v>23191250</v>
      </c>
      <c r="Q108" t="s">
        <v>46</v>
      </c>
      <c r="R108" t="s">
        <v>47</v>
      </c>
      <c r="S108">
        <v>300</v>
      </c>
      <c r="T108">
        <v>65</v>
      </c>
      <c r="U108">
        <v>19500</v>
      </c>
      <c r="V108" t="str">
        <f t="shared" si="31"/>
        <v>Accepted</v>
      </c>
      <c r="W108">
        <f>IFERROR(VLOOKUP(N108, Payment_Terms!A:B, 2, FALSE), "Payment term not found!")</f>
        <v>30</v>
      </c>
      <c r="X108" t="str">
        <f>IFERROR(VLOOKUP(R108, Item_Category!A:B, 2, FALSE), "Uncategorized")</f>
        <v>Gas</v>
      </c>
      <c r="Y108" s="5">
        <f t="shared" si="18"/>
        <v>0</v>
      </c>
      <c r="Z108">
        <f t="shared" si="19"/>
        <v>5</v>
      </c>
      <c r="AA108">
        <f t="shared" si="20"/>
        <v>19</v>
      </c>
      <c r="AB108">
        <f t="shared" si="21"/>
        <v>1</v>
      </c>
      <c r="AC108" s="10">
        <f t="shared" si="22"/>
        <v>24</v>
      </c>
      <c r="AD108" s="5">
        <f t="shared" si="23"/>
        <v>1</v>
      </c>
      <c r="AE108" s="5">
        <f t="shared" si="24"/>
        <v>1</v>
      </c>
      <c r="AF108" s="5">
        <f t="shared" si="25"/>
        <v>0</v>
      </c>
      <c r="AG108">
        <f>IF(B108&lt;&gt;"", COUNTIFS($B$2:B108, B108), "")</f>
        <v>3</v>
      </c>
      <c r="AH108">
        <f t="shared" si="26"/>
        <v>5</v>
      </c>
      <c r="AI108" t="str">
        <f>VLOOKUP(B108, Currency!A:B, 2, FALSE)</f>
        <v>INR</v>
      </c>
      <c r="AJ108">
        <f t="shared" si="27"/>
        <v>4</v>
      </c>
      <c r="AK108">
        <f t="shared" si="28"/>
        <v>9</v>
      </c>
      <c r="AL108" t="str">
        <f t="shared" si="29"/>
        <v>September</v>
      </c>
      <c r="AM108">
        <f t="shared" si="32"/>
        <v>2023</v>
      </c>
      <c r="AN108" t="str">
        <f t="shared" si="30"/>
        <v>30Surat Ammonia &amp; Chemical Co.</v>
      </c>
      <c r="AO108">
        <f>IF(COUNTIF($AN$2:AN108, AN108)=1, 1, 0)</f>
        <v>0</v>
      </c>
      <c r="AP108" t="str">
        <f t="shared" si="33"/>
        <v>&gt;3</v>
      </c>
      <c r="AQ108" t="str">
        <f t="shared" si="34"/>
        <v>&gt;3</v>
      </c>
      <c r="AR108" t="str">
        <f t="shared" si="35"/>
        <v>&lt;=3</v>
      </c>
    </row>
    <row r="109" spans="1:44" x14ac:dyDescent="0.3">
      <c r="A109" t="s">
        <v>33</v>
      </c>
      <c r="B109" t="s">
        <v>147</v>
      </c>
      <c r="C109" t="s">
        <v>45</v>
      </c>
      <c r="D109">
        <v>2484</v>
      </c>
      <c r="E109">
        <v>23120048</v>
      </c>
      <c r="F109" t="s">
        <v>148</v>
      </c>
      <c r="G109" t="s">
        <v>149</v>
      </c>
      <c r="H109">
        <v>1500</v>
      </c>
      <c r="I109">
        <v>225</v>
      </c>
      <c r="J109">
        <v>337500</v>
      </c>
      <c r="K109" s="7" t="str">
        <f>IFERROR(IF(B109&lt;&gt;"", TEXT(VLOOKUP(B109, 'Expected Date'!A:B, 2, FALSE) + DATE(RIGHT(C109,2),MID(C109,4,2),LEFT(C109,2)), "dd/mm/yy"), ""), "")</f>
        <v>27/06/23</v>
      </c>
      <c r="L109" t="s">
        <v>38</v>
      </c>
      <c r="M109" t="s">
        <v>39</v>
      </c>
      <c r="N109" t="s">
        <v>49</v>
      </c>
      <c r="O109" t="s">
        <v>221</v>
      </c>
      <c r="P109">
        <v>23190926</v>
      </c>
      <c r="Q109" t="s">
        <v>148</v>
      </c>
      <c r="R109" t="s">
        <v>149</v>
      </c>
      <c r="S109">
        <v>504</v>
      </c>
      <c r="T109">
        <v>225</v>
      </c>
      <c r="U109">
        <v>113400</v>
      </c>
      <c r="V109" t="str">
        <f t="shared" si="31"/>
        <v>Accepted</v>
      </c>
      <c r="W109">
        <f>IFERROR(VLOOKUP(N109, Payment_Terms!A:B, 2, FALSE), "Payment term not found!")</f>
        <v>30</v>
      </c>
      <c r="X109" t="str">
        <f>IFERROR(VLOOKUP(R109, Item_Category!A:B, 2, FALSE), "Uncategorized")</f>
        <v>Fibre drum</v>
      </c>
      <c r="Y109" s="5">
        <f t="shared" si="18"/>
        <v>0</v>
      </c>
      <c r="Z109">
        <f t="shared" si="19"/>
        <v>5</v>
      </c>
      <c r="AA109">
        <f t="shared" si="20"/>
        <v>55</v>
      </c>
      <c r="AB109">
        <f t="shared" si="21"/>
        <v>1</v>
      </c>
      <c r="AC109" s="10">
        <f t="shared" si="22"/>
        <v>65</v>
      </c>
      <c r="AD109" s="5">
        <f t="shared" si="23"/>
        <v>1</v>
      </c>
      <c r="AE109" s="5">
        <f t="shared" si="24"/>
        <v>1</v>
      </c>
      <c r="AF109" s="5">
        <f t="shared" si="25"/>
        <v>0</v>
      </c>
      <c r="AG109">
        <f>IF(B109&lt;&gt;"", COUNTIFS($B$2:B109, B109), "")</f>
        <v>3</v>
      </c>
      <c r="AH109">
        <f t="shared" si="26"/>
        <v>5</v>
      </c>
      <c r="AI109" t="str">
        <f>VLOOKUP(B109, Currency!A:B, 2, FALSE)</f>
        <v>INR</v>
      </c>
      <c r="AJ109">
        <f t="shared" si="27"/>
        <v>4</v>
      </c>
      <c r="AK109">
        <f t="shared" si="28"/>
        <v>6</v>
      </c>
      <c r="AL109" t="str">
        <f t="shared" si="29"/>
        <v>June</v>
      </c>
      <c r="AM109">
        <f t="shared" si="32"/>
        <v>2023</v>
      </c>
      <c r="AN109" t="str">
        <f t="shared" si="30"/>
        <v>30Navodaya Packing Industries</v>
      </c>
      <c r="AO109">
        <f>IF(COUNTIF($AN$2:AN109, AN109)=1, 1, 0)</f>
        <v>0</v>
      </c>
      <c r="AP109" t="str">
        <f t="shared" si="33"/>
        <v>&gt;3</v>
      </c>
      <c r="AQ109" t="str">
        <f t="shared" si="34"/>
        <v>&gt;3</v>
      </c>
      <c r="AR109" t="str">
        <f t="shared" si="35"/>
        <v>&lt;=3</v>
      </c>
    </row>
    <row r="110" spans="1:44" x14ac:dyDescent="0.3">
      <c r="A110" t="str">
        <f>A80</f>
        <v>Woodpulp</v>
      </c>
      <c r="B110" t="s">
        <v>140</v>
      </c>
      <c r="C110" t="s">
        <v>222</v>
      </c>
      <c r="D110">
        <v>2019</v>
      </c>
      <c r="E110">
        <v>23120031</v>
      </c>
      <c r="F110" t="s">
        <v>142</v>
      </c>
      <c r="G110" t="s">
        <v>360</v>
      </c>
      <c r="H110">
        <v>100</v>
      </c>
      <c r="I110">
        <v>830</v>
      </c>
      <c r="J110">
        <v>6710550</v>
      </c>
      <c r="K110" s="7" t="str">
        <f>IFERROR(IF(B110&lt;&gt;"", TEXT(VLOOKUP(B110, 'Expected Date'!A:B, 2, FALSE) + DATE(RIGHT(C110,2),MID(C110,4,2),LEFT(C110,2)), "dd/mm/yy"), ""), "")</f>
        <v>03/07/23</v>
      </c>
      <c r="L110" t="s">
        <v>68</v>
      </c>
      <c r="M110" t="str">
        <f>M47</f>
        <v>MT</v>
      </c>
      <c r="N110" t="s">
        <v>144</v>
      </c>
      <c r="O110" t="s">
        <v>223</v>
      </c>
      <c r="P110">
        <v>23190342</v>
      </c>
      <c r="Q110" t="s">
        <v>142</v>
      </c>
      <c r="R110" t="s">
        <v>143</v>
      </c>
      <c r="S110">
        <v>98.599000000000004</v>
      </c>
      <c r="T110">
        <v>830</v>
      </c>
      <c r="U110">
        <v>6616535.1900000004</v>
      </c>
      <c r="V110" t="str">
        <f t="shared" si="31"/>
        <v>Accepted</v>
      </c>
      <c r="W110">
        <f>IFERROR(VLOOKUP(N110, Payment_Terms!A:B, 2, FALSE), "Payment term not found!")</f>
        <v>30</v>
      </c>
      <c r="X110" t="str">
        <f>IFERROR(VLOOKUP(R110, Item_Category!A:B, 2, FALSE), "Uncategorized")</f>
        <v>Wood pulp</v>
      </c>
      <c r="Y110" s="5">
        <f t="shared" si="18"/>
        <v>1.4009999999999962E-2</v>
      </c>
      <c r="Z110">
        <f t="shared" si="19"/>
        <v>4</v>
      </c>
      <c r="AA110">
        <f t="shared" si="20"/>
        <v>-47</v>
      </c>
      <c r="AB110">
        <f t="shared" si="21"/>
        <v>5</v>
      </c>
      <c r="AC110" s="10">
        <f t="shared" si="22"/>
        <v>2</v>
      </c>
      <c r="AD110" s="5">
        <f t="shared" si="23"/>
        <v>1</v>
      </c>
      <c r="AE110" s="5">
        <f t="shared" si="24"/>
        <v>1</v>
      </c>
      <c r="AF110" s="5">
        <f t="shared" si="25"/>
        <v>0</v>
      </c>
      <c r="AG110">
        <f>IF(B110&lt;&gt;"", COUNTIFS($B$2:B110, B110), "")</f>
        <v>8</v>
      </c>
      <c r="AH110">
        <f t="shared" si="26"/>
        <v>5</v>
      </c>
      <c r="AI110" t="str">
        <f>VLOOKUP(B110, Currency!A:B, 2, FALSE)</f>
        <v>USD</v>
      </c>
      <c r="AJ110">
        <f t="shared" si="27"/>
        <v>5</v>
      </c>
      <c r="AK110">
        <f t="shared" si="28"/>
        <v>5</v>
      </c>
      <c r="AL110" t="str">
        <f t="shared" si="29"/>
        <v>May</v>
      </c>
      <c r="AM110">
        <f t="shared" si="32"/>
        <v>2023</v>
      </c>
      <c r="AN110" t="str">
        <f t="shared" si="30"/>
        <v>30Sappi Paper Holdings GMBH</v>
      </c>
      <c r="AO110">
        <f>IF(COUNTIF($AN$2:AN110, AN110)=1, 1, 0)</f>
        <v>0</v>
      </c>
      <c r="AP110" t="str">
        <f t="shared" si="33"/>
        <v>&gt;3</v>
      </c>
      <c r="AQ110" t="str">
        <f t="shared" si="34"/>
        <v>&gt;3</v>
      </c>
      <c r="AR110" t="str">
        <f t="shared" si="35"/>
        <v>&gt;3</v>
      </c>
    </row>
    <row r="111" spans="1:44" x14ac:dyDescent="0.3">
      <c r="A111" t="s">
        <v>33</v>
      </c>
      <c r="B111" t="s">
        <v>51</v>
      </c>
      <c r="C111" t="s">
        <v>169</v>
      </c>
      <c r="D111">
        <v>2154</v>
      </c>
      <c r="E111">
        <v>23120035</v>
      </c>
      <c r="F111" t="s">
        <v>135</v>
      </c>
      <c r="G111" t="s">
        <v>136</v>
      </c>
      <c r="H111">
        <v>164</v>
      </c>
      <c r="I111">
        <v>6732.43</v>
      </c>
      <c r="J111">
        <v>1104118.52</v>
      </c>
      <c r="K111" s="7" t="str">
        <f>IFERROR(IF(B111&lt;&gt;"", TEXT(VLOOKUP(B111, 'Expected Date'!A:B, 2, FALSE) + DATE(RIGHT(C111,2),MID(C111,4,2),LEFT(C111,2)), "dd/mm/yy"), ""), "")</f>
        <v>14/06/23</v>
      </c>
      <c r="L111" t="s">
        <v>38</v>
      </c>
      <c r="M111" t="s">
        <v>48</v>
      </c>
      <c r="N111" t="s">
        <v>55</v>
      </c>
      <c r="O111" t="s">
        <v>224</v>
      </c>
      <c r="P111">
        <v>23190343</v>
      </c>
      <c r="Q111" t="s">
        <v>135</v>
      </c>
      <c r="R111" t="s">
        <v>136</v>
      </c>
      <c r="S111">
        <v>21</v>
      </c>
      <c r="T111">
        <v>6732.43</v>
      </c>
      <c r="U111">
        <v>141381.03</v>
      </c>
      <c r="V111" t="str">
        <f t="shared" si="31"/>
        <v>Accepted</v>
      </c>
      <c r="W111">
        <f>IFERROR(VLOOKUP(N111, Payment_Terms!A:B, 2, FALSE), "Payment term not found!")</f>
        <v>0</v>
      </c>
      <c r="X111" t="str">
        <f>IFERROR(VLOOKUP(R111, Item_Category!A:B, 2, FALSE), "Uncategorized")</f>
        <v>Coal materials</v>
      </c>
      <c r="Y111" s="5">
        <f t="shared" si="18"/>
        <v>0</v>
      </c>
      <c r="Z111">
        <f t="shared" si="19"/>
        <v>5</v>
      </c>
      <c r="AA111">
        <f t="shared" si="20"/>
        <v>-27</v>
      </c>
      <c r="AB111">
        <f t="shared" si="21"/>
        <v>5</v>
      </c>
      <c r="AC111" s="10">
        <f t="shared" si="22"/>
        <v>7</v>
      </c>
      <c r="AD111" s="5">
        <f t="shared" si="23"/>
        <v>1</v>
      </c>
      <c r="AE111" s="5">
        <f t="shared" si="24"/>
        <v>1</v>
      </c>
      <c r="AF111" s="5">
        <f t="shared" si="25"/>
        <v>0</v>
      </c>
      <c r="AG111">
        <f>IF(B111&lt;&gt;"", COUNTIFS($B$2:B111, B111), "")</f>
        <v>46</v>
      </c>
      <c r="AH111">
        <f t="shared" si="26"/>
        <v>5</v>
      </c>
      <c r="AI111" t="str">
        <f>VLOOKUP(B111, Currency!A:B, 2, FALSE)</f>
        <v>INR</v>
      </c>
      <c r="AJ111">
        <f t="shared" si="27"/>
        <v>5</v>
      </c>
      <c r="AK111">
        <f t="shared" si="28"/>
        <v>5</v>
      </c>
      <c r="AL111" t="str">
        <f t="shared" si="29"/>
        <v>May</v>
      </c>
      <c r="AM111">
        <f t="shared" si="32"/>
        <v>2023</v>
      </c>
      <c r="AN111" t="str">
        <f t="shared" si="30"/>
        <v>0The Singareni Collieries Company Ltd</v>
      </c>
      <c r="AO111">
        <f>IF(COUNTIF($AN$2:AN111, AN111)=1, 1, 0)</f>
        <v>0</v>
      </c>
      <c r="AP111" t="str">
        <f t="shared" si="33"/>
        <v>&gt;3</v>
      </c>
      <c r="AQ111" t="str">
        <f t="shared" si="34"/>
        <v>&gt;3</v>
      </c>
      <c r="AR111" t="str">
        <f t="shared" si="35"/>
        <v>&gt;3</v>
      </c>
    </row>
    <row r="112" spans="1:44" x14ac:dyDescent="0.3">
      <c r="A112" t="s">
        <v>33</v>
      </c>
      <c r="B112" t="s">
        <v>51</v>
      </c>
      <c r="C112" t="s">
        <v>169</v>
      </c>
      <c r="D112">
        <v>2154</v>
      </c>
      <c r="E112">
        <v>23120035</v>
      </c>
      <c r="F112" t="s">
        <v>135</v>
      </c>
      <c r="G112" t="s">
        <v>136</v>
      </c>
      <c r="H112">
        <v>164</v>
      </c>
      <c r="I112">
        <v>6732.43</v>
      </c>
      <c r="J112">
        <v>1104118.52</v>
      </c>
      <c r="K112" s="7" t="str">
        <f>IFERROR(IF(B112&lt;&gt;"", TEXT(VLOOKUP(B112, 'Expected Date'!A:B, 2, FALSE) + DATE(RIGHT(C112,2),MID(C112,4,2),LEFT(C112,2)), "dd/mm/yy"), ""), "")</f>
        <v>14/06/23</v>
      </c>
      <c r="L112" t="s">
        <v>38</v>
      </c>
      <c r="M112" t="s">
        <v>48</v>
      </c>
      <c r="N112" t="s">
        <v>55</v>
      </c>
      <c r="O112" t="s">
        <v>224</v>
      </c>
      <c r="P112">
        <v>23190344</v>
      </c>
      <c r="Q112" t="s">
        <v>135</v>
      </c>
      <c r="R112" t="s">
        <v>136</v>
      </c>
      <c r="S112">
        <v>21</v>
      </c>
      <c r="T112">
        <v>6732.43</v>
      </c>
      <c r="U112">
        <v>141381.03</v>
      </c>
      <c r="V112" t="str">
        <f t="shared" si="31"/>
        <v>Accepted</v>
      </c>
      <c r="W112">
        <f>IFERROR(VLOOKUP(N112, Payment_Terms!A:B, 2, FALSE), "Payment term not found!")</f>
        <v>0</v>
      </c>
      <c r="X112" t="str">
        <f>IFERROR(VLOOKUP(R112, Item_Category!A:B, 2, FALSE), "Uncategorized")</f>
        <v>Coal materials</v>
      </c>
      <c r="Y112" s="5">
        <f t="shared" si="18"/>
        <v>0</v>
      </c>
      <c r="Z112">
        <f t="shared" si="19"/>
        <v>5</v>
      </c>
      <c r="AA112">
        <f t="shared" si="20"/>
        <v>-27</v>
      </c>
      <c r="AB112">
        <f t="shared" si="21"/>
        <v>5</v>
      </c>
      <c r="AC112" s="10">
        <f t="shared" si="22"/>
        <v>7</v>
      </c>
      <c r="AD112" s="5">
        <f t="shared" si="23"/>
        <v>1</v>
      </c>
      <c r="AE112" s="5">
        <f t="shared" si="24"/>
        <v>1</v>
      </c>
      <c r="AF112" s="5">
        <f t="shared" si="25"/>
        <v>0</v>
      </c>
      <c r="AG112">
        <f>IF(B112&lt;&gt;"", COUNTIFS($B$2:B112, B112), "")</f>
        <v>47</v>
      </c>
      <c r="AH112">
        <f t="shared" si="26"/>
        <v>5</v>
      </c>
      <c r="AI112" t="str">
        <f>VLOOKUP(B112, Currency!A:B, 2, FALSE)</f>
        <v>INR</v>
      </c>
      <c r="AJ112">
        <f t="shared" si="27"/>
        <v>5</v>
      </c>
      <c r="AK112">
        <f t="shared" si="28"/>
        <v>5</v>
      </c>
      <c r="AL112" t="str">
        <f t="shared" si="29"/>
        <v>May</v>
      </c>
      <c r="AM112">
        <f t="shared" si="32"/>
        <v>2023</v>
      </c>
      <c r="AN112" t="str">
        <f t="shared" si="30"/>
        <v>0The Singareni Collieries Company Ltd</v>
      </c>
      <c r="AO112">
        <f>IF(COUNTIF($AN$2:AN112, AN112)=1, 1, 0)</f>
        <v>0</v>
      </c>
      <c r="AP112" t="str">
        <f t="shared" si="33"/>
        <v>&gt;3</v>
      </c>
      <c r="AQ112" t="str">
        <f t="shared" si="34"/>
        <v>&gt;3</v>
      </c>
      <c r="AR112" t="str">
        <f t="shared" si="35"/>
        <v>&gt;3</v>
      </c>
    </row>
    <row r="113" spans="1:44" x14ac:dyDescent="0.3">
      <c r="A113" t="s">
        <v>33</v>
      </c>
      <c r="B113" t="s">
        <v>51</v>
      </c>
      <c r="C113" t="s">
        <v>169</v>
      </c>
      <c r="D113">
        <v>2154</v>
      </c>
      <c r="E113">
        <v>23120035</v>
      </c>
      <c r="F113" t="s">
        <v>135</v>
      </c>
      <c r="G113" t="s">
        <v>136</v>
      </c>
      <c r="H113">
        <v>164</v>
      </c>
      <c r="I113">
        <v>6732.43</v>
      </c>
      <c r="J113">
        <v>1104118.52</v>
      </c>
      <c r="K113" s="7" t="str">
        <f>IFERROR(IF(B113&lt;&gt;"", TEXT(VLOOKUP(B113, 'Expected Date'!A:B, 2, FALSE) + DATE(RIGHT(C113,2),MID(C113,4,2),LEFT(C113,2)), "dd/mm/yy"), ""), "")</f>
        <v>14/06/23</v>
      </c>
      <c r="L113" t="s">
        <v>38</v>
      </c>
      <c r="M113" t="s">
        <v>48</v>
      </c>
      <c r="N113" t="s">
        <v>55</v>
      </c>
      <c r="O113" t="s">
        <v>224</v>
      </c>
      <c r="P113">
        <v>23190345</v>
      </c>
      <c r="Q113" t="s">
        <v>135</v>
      </c>
      <c r="R113" t="s">
        <v>136</v>
      </c>
      <c r="S113">
        <v>21</v>
      </c>
      <c r="T113">
        <v>6732.43</v>
      </c>
      <c r="U113">
        <v>141381.03</v>
      </c>
      <c r="V113" t="str">
        <f t="shared" si="31"/>
        <v>Accepted</v>
      </c>
      <c r="W113">
        <f>IFERROR(VLOOKUP(N113, Payment_Terms!A:B, 2, FALSE), "Payment term not found!")</f>
        <v>0</v>
      </c>
      <c r="X113" t="str">
        <f>IFERROR(VLOOKUP(R113, Item_Category!A:B, 2, FALSE), "Uncategorized")</f>
        <v>Coal materials</v>
      </c>
      <c r="Y113" s="5">
        <f t="shared" si="18"/>
        <v>0</v>
      </c>
      <c r="Z113">
        <f t="shared" si="19"/>
        <v>5</v>
      </c>
      <c r="AA113">
        <f t="shared" si="20"/>
        <v>-27</v>
      </c>
      <c r="AB113">
        <f t="shared" si="21"/>
        <v>5</v>
      </c>
      <c r="AC113" s="10">
        <f t="shared" si="22"/>
        <v>7</v>
      </c>
      <c r="AD113" s="5">
        <f t="shared" si="23"/>
        <v>1</v>
      </c>
      <c r="AE113" s="5">
        <f t="shared" si="24"/>
        <v>1</v>
      </c>
      <c r="AF113" s="5">
        <f t="shared" si="25"/>
        <v>0</v>
      </c>
      <c r="AG113">
        <f>IF(B113&lt;&gt;"", COUNTIFS($B$2:B113, B113), "")</f>
        <v>48</v>
      </c>
      <c r="AH113">
        <f t="shared" si="26"/>
        <v>5</v>
      </c>
      <c r="AI113" t="str">
        <f>VLOOKUP(B113, Currency!A:B, 2, FALSE)</f>
        <v>INR</v>
      </c>
      <c r="AJ113">
        <f t="shared" si="27"/>
        <v>5</v>
      </c>
      <c r="AK113">
        <f t="shared" si="28"/>
        <v>5</v>
      </c>
      <c r="AL113" t="str">
        <f t="shared" si="29"/>
        <v>May</v>
      </c>
      <c r="AM113">
        <f t="shared" si="32"/>
        <v>2023</v>
      </c>
      <c r="AN113" t="str">
        <f t="shared" si="30"/>
        <v>0The Singareni Collieries Company Ltd</v>
      </c>
      <c r="AO113">
        <f>IF(COUNTIF($AN$2:AN113, AN113)=1, 1, 0)</f>
        <v>0</v>
      </c>
      <c r="AP113" t="str">
        <f t="shared" si="33"/>
        <v>&gt;3</v>
      </c>
      <c r="AQ113" t="str">
        <f t="shared" si="34"/>
        <v>&gt;3</v>
      </c>
      <c r="AR113" t="str">
        <f t="shared" si="35"/>
        <v>&gt;3</v>
      </c>
    </row>
    <row r="114" spans="1:44" x14ac:dyDescent="0.3">
      <c r="A114" t="s">
        <v>33</v>
      </c>
      <c r="B114" t="s">
        <v>51</v>
      </c>
      <c r="C114" t="s">
        <v>169</v>
      </c>
      <c r="D114">
        <v>2154</v>
      </c>
      <c r="E114">
        <v>23120035</v>
      </c>
      <c r="F114" t="s">
        <v>135</v>
      </c>
      <c r="G114" t="s">
        <v>136</v>
      </c>
      <c r="H114">
        <v>164</v>
      </c>
      <c r="I114">
        <v>6732.43</v>
      </c>
      <c r="J114">
        <v>1104118.52</v>
      </c>
      <c r="K114" s="7" t="str">
        <f>IFERROR(IF(B114&lt;&gt;"", TEXT(VLOOKUP(B114, 'Expected Date'!A:B, 2, FALSE) + DATE(RIGHT(C114,2),MID(C114,4,2),LEFT(C114,2)), "dd/mm/yy"), ""), "")</f>
        <v>14/06/23</v>
      </c>
      <c r="L114" t="s">
        <v>38</v>
      </c>
      <c r="M114" t="s">
        <v>48</v>
      </c>
      <c r="N114" t="s">
        <v>55</v>
      </c>
      <c r="O114" t="s">
        <v>222</v>
      </c>
      <c r="P114">
        <v>23190346</v>
      </c>
      <c r="Q114" t="s">
        <v>135</v>
      </c>
      <c r="R114" t="s">
        <v>136</v>
      </c>
      <c r="S114">
        <v>20</v>
      </c>
      <c r="T114">
        <v>6732.43</v>
      </c>
      <c r="U114">
        <v>134648.6</v>
      </c>
      <c r="V114" t="str">
        <f t="shared" si="31"/>
        <v>Accepted</v>
      </c>
      <c r="W114">
        <f>IFERROR(VLOOKUP(N114, Payment_Terms!A:B, 2, FALSE), "Payment term not found!")</f>
        <v>0</v>
      </c>
      <c r="X114" t="str">
        <f>IFERROR(VLOOKUP(R114, Item_Category!A:B, 2, FALSE), "Uncategorized")</f>
        <v>Coal materials</v>
      </c>
      <c r="Y114" s="5">
        <f t="shared" si="18"/>
        <v>0</v>
      </c>
      <c r="Z114">
        <f t="shared" si="19"/>
        <v>5</v>
      </c>
      <c r="AA114">
        <f t="shared" si="20"/>
        <v>-26</v>
      </c>
      <c r="AB114">
        <f t="shared" si="21"/>
        <v>5</v>
      </c>
      <c r="AC114" s="10">
        <f t="shared" si="22"/>
        <v>6</v>
      </c>
      <c r="AD114" s="5">
        <f t="shared" si="23"/>
        <v>1</v>
      </c>
      <c r="AE114" s="5">
        <f t="shared" si="24"/>
        <v>1</v>
      </c>
      <c r="AF114" s="5">
        <f t="shared" si="25"/>
        <v>0</v>
      </c>
      <c r="AG114">
        <f>IF(B114&lt;&gt;"", COUNTIFS($B$2:B114, B114), "")</f>
        <v>49</v>
      </c>
      <c r="AH114">
        <f t="shared" si="26"/>
        <v>5</v>
      </c>
      <c r="AI114" t="str">
        <f>VLOOKUP(B114, Currency!A:B, 2, FALSE)</f>
        <v>INR</v>
      </c>
      <c r="AJ114">
        <f t="shared" si="27"/>
        <v>5</v>
      </c>
      <c r="AK114">
        <f t="shared" si="28"/>
        <v>5</v>
      </c>
      <c r="AL114" t="str">
        <f t="shared" si="29"/>
        <v>May</v>
      </c>
      <c r="AM114">
        <f t="shared" si="32"/>
        <v>2023</v>
      </c>
      <c r="AN114" t="str">
        <f t="shared" si="30"/>
        <v>0The Singareni Collieries Company Ltd</v>
      </c>
      <c r="AO114">
        <f>IF(COUNTIF($AN$2:AN114, AN114)=1, 1, 0)</f>
        <v>0</v>
      </c>
      <c r="AP114" t="str">
        <f t="shared" si="33"/>
        <v>&gt;3</v>
      </c>
      <c r="AQ114" t="str">
        <f t="shared" si="34"/>
        <v>&gt;3</v>
      </c>
      <c r="AR114" t="str">
        <f t="shared" si="35"/>
        <v>&gt;3</v>
      </c>
    </row>
    <row r="115" spans="1:44" x14ac:dyDescent="0.3">
      <c r="A115" t="s">
        <v>33</v>
      </c>
      <c r="B115" t="s">
        <v>51</v>
      </c>
      <c r="C115" t="s">
        <v>169</v>
      </c>
      <c r="D115">
        <v>2154</v>
      </c>
      <c r="E115">
        <v>23120035</v>
      </c>
      <c r="F115" t="s">
        <v>135</v>
      </c>
      <c r="G115" t="s">
        <v>136</v>
      </c>
      <c r="H115">
        <v>164</v>
      </c>
      <c r="I115">
        <v>6732.43</v>
      </c>
      <c r="J115">
        <v>1104118.52</v>
      </c>
      <c r="K115" s="7" t="str">
        <f>IFERROR(IF(B115&lt;&gt;"", TEXT(VLOOKUP(B115, 'Expected Date'!A:B, 2, FALSE) + DATE(RIGHT(C115,2),MID(C115,4,2),LEFT(C115,2)), "dd/mm/yy"), ""), "")</f>
        <v>14/06/23</v>
      </c>
      <c r="L115" t="s">
        <v>38</v>
      </c>
      <c r="M115" t="s">
        <v>48</v>
      </c>
      <c r="N115" t="s">
        <v>55</v>
      </c>
      <c r="O115" t="s">
        <v>222</v>
      </c>
      <c r="P115">
        <v>23190347</v>
      </c>
      <c r="Q115" t="s">
        <v>135</v>
      </c>
      <c r="R115" t="s">
        <v>136</v>
      </c>
      <c r="S115">
        <v>21</v>
      </c>
      <c r="T115">
        <v>6732.43</v>
      </c>
      <c r="U115">
        <v>141381.03</v>
      </c>
      <c r="V115" t="str">
        <f t="shared" si="31"/>
        <v>Accepted</v>
      </c>
      <c r="W115">
        <f>IFERROR(VLOOKUP(N115, Payment_Terms!A:B, 2, FALSE), "Payment term not found!")</f>
        <v>0</v>
      </c>
      <c r="X115" t="str">
        <f>IFERROR(VLOOKUP(R115, Item_Category!A:B, 2, FALSE), "Uncategorized")</f>
        <v>Coal materials</v>
      </c>
      <c r="Y115" s="5">
        <f t="shared" si="18"/>
        <v>0</v>
      </c>
      <c r="Z115">
        <f t="shared" si="19"/>
        <v>5</v>
      </c>
      <c r="AA115">
        <f t="shared" si="20"/>
        <v>-26</v>
      </c>
      <c r="AB115">
        <f t="shared" si="21"/>
        <v>5</v>
      </c>
      <c r="AC115" s="10">
        <f t="shared" si="22"/>
        <v>6</v>
      </c>
      <c r="AD115" s="5">
        <f t="shared" si="23"/>
        <v>1</v>
      </c>
      <c r="AE115" s="5">
        <f t="shared" si="24"/>
        <v>1</v>
      </c>
      <c r="AF115" s="5">
        <f t="shared" si="25"/>
        <v>0</v>
      </c>
      <c r="AG115">
        <f>IF(B115&lt;&gt;"", COUNTIFS($B$2:B115, B115), "")</f>
        <v>50</v>
      </c>
      <c r="AH115">
        <f t="shared" si="26"/>
        <v>5</v>
      </c>
      <c r="AI115" t="str">
        <f>VLOOKUP(B115, Currency!A:B, 2, FALSE)</f>
        <v>INR</v>
      </c>
      <c r="AJ115">
        <f t="shared" si="27"/>
        <v>5</v>
      </c>
      <c r="AK115">
        <f t="shared" si="28"/>
        <v>5</v>
      </c>
      <c r="AL115" t="str">
        <f t="shared" si="29"/>
        <v>May</v>
      </c>
      <c r="AM115">
        <f t="shared" si="32"/>
        <v>2023</v>
      </c>
      <c r="AN115" t="str">
        <f t="shared" si="30"/>
        <v>0The Singareni Collieries Company Ltd</v>
      </c>
      <c r="AO115">
        <f>IF(COUNTIF($AN$2:AN115, AN115)=1, 1, 0)</f>
        <v>0</v>
      </c>
      <c r="AP115" t="str">
        <f t="shared" si="33"/>
        <v>&gt;3</v>
      </c>
      <c r="AQ115" t="str">
        <f t="shared" si="34"/>
        <v>&gt;3</v>
      </c>
      <c r="AR115" t="str">
        <f t="shared" si="35"/>
        <v>&gt;3</v>
      </c>
    </row>
    <row r="116" spans="1:44" x14ac:dyDescent="0.3">
      <c r="A116" t="s">
        <v>33</v>
      </c>
      <c r="B116" t="s">
        <v>79</v>
      </c>
      <c r="C116" t="s">
        <v>225</v>
      </c>
      <c r="D116">
        <v>1841</v>
      </c>
      <c r="E116">
        <v>23120026</v>
      </c>
      <c r="F116" t="s">
        <v>81</v>
      </c>
      <c r="G116" t="s">
        <v>82</v>
      </c>
      <c r="H116">
        <v>21000</v>
      </c>
      <c r="I116">
        <v>0.4</v>
      </c>
      <c r="J116">
        <v>8400</v>
      </c>
      <c r="K116" s="7" t="str">
        <f>IFERROR(IF(B116&lt;&gt;"", TEXT(VLOOKUP(B116, 'Expected Date'!A:B, 2, FALSE) + DATE(RIGHT(C116,2),MID(C116,4,2),LEFT(C116,2)), "dd/mm/yy"), ""), "")</f>
        <v>31/05/23</v>
      </c>
      <c r="L116" t="s">
        <v>68</v>
      </c>
      <c r="M116" t="s">
        <v>48</v>
      </c>
      <c r="N116" t="s">
        <v>83</v>
      </c>
      <c r="O116" t="s">
        <v>211</v>
      </c>
      <c r="P116">
        <v>23190374</v>
      </c>
      <c r="Q116" t="s">
        <v>81</v>
      </c>
      <c r="R116" t="s">
        <v>82</v>
      </c>
      <c r="S116">
        <v>20200</v>
      </c>
      <c r="T116">
        <v>0.4</v>
      </c>
      <c r="U116">
        <v>8080</v>
      </c>
      <c r="V116" t="str">
        <f t="shared" si="31"/>
        <v>Accepted</v>
      </c>
      <c r="W116">
        <f>IFERROR(VLOOKUP(N116, Payment_Terms!A:B, 2, FALSE), "Payment term not found!")</f>
        <v>0</v>
      </c>
      <c r="X116" t="str">
        <f>IFERROR(VLOOKUP(R116, Item_Category!A:B, 2, FALSE), "Uncategorized")</f>
        <v>HCL</v>
      </c>
      <c r="Y116" s="5">
        <f t="shared" si="18"/>
        <v>3.8095238095238099E-2</v>
      </c>
      <c r="Z116">
        <f t="shared" si="19"/>
        <v>3</v>
      </c>
      <c r="AA116">
        <f t="shared" si="20"/>
        <v>-17</v>
      </c>
      <c r="AB116">
        <f t="shared" si="21"/>
        <v>5</v>
      </c>
      <c r="AC116" s="10">
        <f t="shared" si="22"/>
        <v>3</v>
      </c>
      <c r="AD116" s="5">
        <f t="shared" si="23"/>
        <v>1</v>
      </c>
      <c r="AE116" s="5">
        <f t="shared" si="24"/>
        <v>1</v>
      </c>
      <c r="AF116" s="5">
        <f t="shared" si="25"/>
        <v>0</v>
      </c>
      <c r="AG116">
        <f>IF(B116&lt;&gt;"", COUNTIFS($B$2:B116, B116), "")</f>
        <v>5</v>
      </c>
      <c r="AH116">
        <f t="shared" si="26"/>
        <v>5</v>
      </c>
      <c r="AI116" t="str">
        <f>VLOOKUP(B116, Currency!A:B, 2, FALSE)</f>
        <v>INR</v>
      </c>
      <c r="AJ116">
        <f t="shared" si="27"/>
        <v>5</v>
      </c>
      <c r="AK116">
        <f t="shared" si="28"/>
        <v>5</v>
      </c>
      <c r="AL116" t="str">
        <f t="shared" si="29"/>
        <v>May</v>
      </c>
      <c r="AM116">
        <f t="shared" si="32"/>
        <v>2023</v>
      </c>
      <c r="AN116" t="str">
        <f t="shared" si="30"/>
        <v>0R L Chloro Sales Pvt Ltd</v>
      </c>
      <c r="AO116">
        <f>IF(COUNTIF($AN$2:AN116, AN116)=1, 1, 0)</f>
        <v>0</v>
      </c>
      <c r="AP116" t="str">
        <f t="shared" si="33"/>
        <v>&gt;3</v>
      </c>
      <c r="AQ116" t="str">
        <f t="shared" si="34"/>
        <v>&lt;=3</v>
      </c>
      <c r="AR116" t="str">
        <f t="shared" si="35"/>
        <v>&gt;3</v>
      </c>
    </row>
    <row r="117" spans="1:44" x14ac:dyDescent="0.3">
      <c r="A117" t="s">
        <v>33</v>
      </c>
      <c r="B117" t="s">
        <v>34</v>
      </c>
      <c r="C117" t="s">
        <v>35</v>
      </c>
      <c r="D117">
        <v>1661</v>
      </c>
      <c r="E117">
        <v>23120014</v>
      </c>
      <c r="F117" t="s">
        <v>92</v>
      </c>
      <c r="G117" t="s">
        <v>93</v>
      </c>
      <c r="H117">
        <v>5054</v>
      </c>
      <c r="I117">
        <v>35.75</v>
      </c>
      <c r="J117">
        <v>180680.5</v>
      </c>
      <c r="K117" s="7" t="str">
        <f>IFERROR(IF(B117&lt;&gt;"", TEXT(VLOOKUP(B117, 'Expected Date'!A:B, 2, FALSE) + DATE(RIGHT(C117,2),MID(C117,4,2),LEFT(C117,2)), "dd/mm/yy"), ""), "")</f>
        <v>07/05/23</v>
      </c>
      <c r="L117" t="s">
        <v>38</v>
      </c>
      <c r="M117" t="s">
        <v>39</v>
      </c>
      <c r="N117" t="s">
        <v>40</v>
      </c>
      <c r="O117" t="s">
        <v>41</v>
      </c>
      <c r="P117">
        <v>23190138</v>
      </c>
      <c r="Q117" t="s">
        <v>92</v>
      </c>
      <c r="R117" t="s">
        <v>93</v>
      </c>
      <c r="S117">
        <v>5054</v>
      </c>
      <c r="T117">
        <v>35.75</v>
      </c>
      <c r="U117">
        <v>180680.5</v>
      </c>
      <c r="V117" t="str">
        <f t="shared" si="31"/>
        <v>Accepted</v>
      </c>
      <c r="W117">
        <f>IFERROR(VLOOKUP(N117, Payment_Terms!A:B, 2, FALSE), "Payment term not found!")</f>
        <v>30</v>
      </c>
      <c r="X117" t="str">
        <f>IFERROR(VLOOKUP(R117, Item_Category!A:B, 2, FALSE), "Uncategorized")</f>
        <v>Bags</v>
      </c>
      <c r="Y117" s="5">
        <f t="shared" si="18"/>
        <v>0</v>
      </c>
      <c r="Z117">
        <f t="shared" si="19"/>
        <v>5</v>
      </c>
      <c r="AA117">
        <f t="shared" si="20"/>
        <v>-8</v>
      </c>
      <c r="AB117">
        <f t="shared" si="21"/>
        <v>5</v>
      </c>
      <c r="AC117" s="10">
        <f t="shared" si="22"/>
        <v>2</v>
      </c>
      <c r="AD117" s="5">
        <f t="shared" si="23"/>
        <v>1</v>
      </c>
      <c r="AE117" s="5">
        <f t="shared" si="24"/>
        <v>1</v>
      </c>
      <c r="AF117" s="5">
        <f t="shared" si="25"/>
        <v>0</v>
      </c>
      <c r="AG117">
        <f>IF(B117&lt;&gt;"", COUNTIFS($B$2:B117, B117), "")</f>
        <v>10</v>
      </c>
      <c r="AH117">
        <f t="shared" si="26"/>
        <v>5</v>
      </c>
      <c r="AI117" t="str">
        <f>VLOOKUP(B117, Currency!A:B, 2, FALSE)</f>
        <v>INR</v>
      </c>
      <c r="AJ117">
        <f t="shared" si="27"/>
        <v>5</v>
      </c>
      <c r="AK117">
        <f t="shared" si="28"/>
        <v>4</v>
      </c>
      <c r="AL117" t="str">
        <f t="shared" si="29"/>
        <v>April</v>
      </c>
      <c r="AM117">
        <f t="shared" si="32"/>
        <v>2023</v>
      </c>
      <c r="AN117" t="str">
        <f t="shared" si="30"/>
        <v>30Ami Enterprises</v>
      </c>
      <c r="AO117">
        <f>IF(COUNTIF($AN$2:AN117, AN117)=1, 1, 0)</f>
        <v>0</v>
      </c>
      <c r="AP117" t="str">
        <f t="shared" si="33"/>
        <v>&gt;3</v>
      </c>
      <c r="AQ117" t="str">
        <f t="shared" si="34"/>
        <v>&gt;3</v>
      </c>
      <c r="AR117" t="str">
        <f t="shared" si="35"/>
        <v>&gt;3</v>
      </c>
    </row>
    <row r="118" spans="1:44" x14ac:dyDescent="0.3">
      <c r="A118" t="s">
        <v>33</v>
      </c>
      <c r="B118" t="s">
        <v>185</v>
      </c>
      <c r="C118" t="s">
        <v>226</v>
      </c>
      <c r="D118">
        <v>4293</v>
      </c>
      <c r="E118">
        <v>23120118</v>
      </c>
      <c r="F118" t="s">
        <v>186</v>
      </c>
      <c r="G118" t="s">
        <v>187</v>
      </c>
      <c r="H118">
        <v>2000</v>
      </c>
      <c r="I118">
        <v>124</v>
      </c>
      <c r="J118">
        <v>248000</v>
      </c>
      <c r="K118" s="7" t="str">
        <f>IFERROR(IF(B118&lt;&gt;"", TEXT(VLOOKUP(B118, 'Expected Date'!A:B, 2, FALSE) + DATE(RIGHT(C118,2),MID(C118,4,2),LEFT(C118,2)), "dd/mm/yy"), ""), "")</f>
        <v>21/09/23</v>
      </c>
      <c r="L118" t="s">
        <v>68</v>
      </c>
      <c r="M118" t="s">
        <v>48</v>
      </c>
      <c r="N118" t="s">
        <v>188</v>
      </c>
      <c r="O118" t="s">
        <v>206</v>
      </c>
      <c r="P118">
        <v>23191060</v>
      </c>
      <c r="Q118" t="s">
        <v>186</v>
      </c>
      <c r="R118" t="s">
        <v>187</v>
      </c>
      <c r="S118">
        <v>1539</v>
      </c>
      <c r="T118">
        <v>124</v>
      </c>
      <c r="U118">
        <v>190836</v>
      </c>
      <c r="V118" t="str">
        <f t="shared" si="31"/>
        <v>Accepted</v>
      </c>
      <c r="W118">
        <f>IFERROR(VLOOKUP(N118, Payment_Terms!A:B, 2, FALSE), "Payment term not found!")</f>
        <v>30</v>
      </c>
      <c r="X118" t="str">
        <f>IFERROR(VLOOKUP(R118, Item_Category!A:B, 2, FALSE), "Uncategorized")</f>
        <v>Liner</v>
      </c>
      <c r="Y118" s="5">
        <f t="shared" si="18"/>
        <v>5.4999999999999997E-3</v>
      </c>
      <c r="Z118">
        <f t="shared" si="19"/>
        <v>4</v>
      </c>
      <c r="AA118">
        <f t="shared" si="20"/>
        <v>-8</v>
      </c>
      <c r="AB118">
        <f t="shared" si="21"/>
        <v>5</v>
      </c>
      <c r="AC118" s="10">
        <f t="shared" si="22"/>
        <v>2</v>
      </c>
      <c r="AD118" s="5">
        <f t="shared" si="23"/>
        <v>1</v>
      </c>
      <c r="AE118" s="5">
        <f t="shared" si="24"/>
        <v>1</v>
      </c>
      <c r="AF118" s="5">
        <f t="shared" si="25"/>
        <v>0</v>
      </c>
      <c r="AG118">
        <f>IF(B118&lt;&gt;"", COUNTIFS($B$2:B118, B118), "")</f>
        <v>2</v>
      </c>
      <c r="AH118">
        <f t="shared" si="26"/>
        <v>5</v>
      </c>
      <c r="AI118" t="str">
        <f>VLOOKUP(B118, Currency!A:B, 2, FALSE)</f>
        <v>INR</v>
      </c>
      <c r="AJ118">
        <f t="shared" si="27"/>
        <v>5</v>
      </c>
      <c r="AK118">
        <f t="shared" si="28"/>
        <v>9</v>
      </c>
      <c r="AL118" t="str">
        <f t="shared" si="29"/>
        <v>September</v>
      </c>
      <c r="AM118">
        <f t="shared" si="32"/>
        <v>2023</v>
      </c>
      <c r="AN118" t="str">
        <f t="shared" si="30"/>
        <v>30SAI RAM FOOD GRADE PACKAGING INDUSTRIES</v>
      </c>
      <c r="AO118">
        <f>IF(COUNTIF($AN$2:AN118, AN118)=1, 1, 0)</f>
        <v>0</v>
      </c>
      <c r="AP118" t="str">
        <f t="shared" si="33"/>
        <v>&gt;3</v>
      </c>
      <c r="AQ118" t="str">
        <f t="shared" si="34"/>
        <v>&gt;3</v>
      </c>
      <c r="AR118" t="str">
        <f t="shared" si="35"/>
        <v>&gt;3</v>
      </c>
    </row>
    <row r="119" spans="1:44" x14ac:dyDescent="0.3">
      <c r="A119" t="s">
        <v>33</v>
      </c>
      <c r="B119" t="s">
        <v>64</v>
      </c>
      <c r="C119" t="s">
        <v>87</v>
      </c>
      <c r="D119">
        <v>3062</v>
      </c>
      <c r="E119">
        <v>23120088</v>
      </c>
      <c r="F119" t="s">
        <v>218</v>
      </c>
      <c r="G119" t="s">
        <v>219</v>
      </c>
      <c r="H119">
        <v>2000</v>
      </c>
      <c r="I119">
        <v>22.5</v>
      </c>
      <c r="J119">
        <v>45000</v>
      </c>
      <c r="K119" s="7" t="str">
        <f>IFERROR(IF(B119&lt;&gt;"", TEXT(VLOOKUP(B119, 'Expected Date'!A:B, 2, FALSE) + DATE(RIGHT(C119,2),MID(C119,4,2),LEFT(C119,2)), "dd/mm/yy"), ""), "")</f>
        <v>22/07/23</v>
      </c>
      <c r="L119" t="s">
        <v>38</v>
      </c>
      <c r="M119" t="s">
        <v>39</v>
      </c>
      <c r="N119" t="s">
        <v>69</v>
      </c>
      <c r="O119" t="s">
        <v>192</v>
      </c>
      <c r="P119">
        <v>23190837</v>
      </c>
      <c r="Q119" t="s">
        <v>218</v>
      </c>
      <c r="R119" t="s">
        <v>219</v>
      </c>
      <c r="S119">
        <v>2400</v>
      </c>
      <c r="T119">
        <v>22.5</v>
      </c>
      <c r="U119">
        <v>54000</v>
      </c>
      <c r="V119" t="str">
        <f t="shared" si="31"/>
        <v>Accepted</v>
      </c>
      <c r="W119">
        <f>IFERROR(VLOOKUP(N119, Payment_Terms!A:B, 2, FALSE), "Payment term not found!")</f>
        <v>30</v>
      </c>
      <c r="X119" t="str">
        <f>IFERROR(VLOOKUP(R119, Item_Category!A:B, 2, FALSE), "Uncategorized")</f>
        <v>Bags</v>
      </c>
      <c r="Y119" s="5">
        <f t="shared" si="18"/>
        <v>0</v>
      </c>
      <c r="Z119">
        <f t="shared" si="19"/>
        <v>5</v>
      </c>
      <c r="AA119">
        <f t="shared" si="20"/>
        <v>23</v>
      </c>
      <c r="AB119">
        <f t="shared" si="21"/>
        <v>1</v>
      </c>
      <c r="AC119" s="10">
        <f t="shared" si="22"/>
        <v>33</v>
      </c>
      <c r="AD119" s="5">
        <f t="shared" si="23"/>
        <v>1</v>
      </c>
      <c r="AE119" s="5">
        <f t="shared" si="24"/>
        <v>1</v>
      </c>
      <c r="AF119" s="5">
        <f t="shared" si="25"/>
        <v>0</v>
      </c>
      <c r="AG119">
        <f>IF(B119&lt;&gt;"", COUNTIFS($B$2:B119, B119), "")</f>
        <v>10</v>
      </c>
      <c r="AH119">
        <f t="shared" si="26"/>
        <v>5</v>
      </c>
      <c r="AI119" t="str">
        <f>VLOOKUP(B119, Currency!A:B, 2, FALSE)</f>
        <v>INR</v>
      </c>
      <c r="AJ119">
        <f t="shared" si="27"/>
        <v>4</v>
      </c>
      <c r="AK119">
        <f t="shared" si="28"/>
        <v>7</v>
      </c>
      <c r="AL119" t="str">
        <f t="shared" si="29"/>
        <v>July</v>
      </c>
      <c r="AM119">
        <f t="shared" si="32"/>
        <v>2023</v>
      </c>
      <c r="AN119" t="str">
        <f t="shared" si="30"/>
        <v>30Epic Polymers</v>
      </c>
      <c r="AO119">
        <f>IF(COUNTIF($AN$2:AN119, AN119)=1, 1, 0)</f>
        <v>0</v>
      </c>
      <c r="AP119" t="str">
        <f t="shared" si="33"/>
        <v>&gt;3</v>
      </c>
      <c r="AQ119" t="str">
        <f t="shared" si="34"/>
        <v>&gt;3</v>
      </c>
      <c r="AR119" t="str">
        <f t="shared" si="35"/>
        <v>&lt;=3</v>
      </c>
    </row>
    <row r="120" spans="1:44" x14ac:dyDescent="0.3">
      <c r="A120" t="s">
        <v>33</v>
      </c>
      <c r="B120" t="s">
        <v>107</v>
      </c>
      <c r="C120" t="s">
        <v>117</v>
      </c>
      <c r="D120">
        <v>2899</v>
      </c>
      <c r="E120">
        <v>23120083</v>
      </c>
      <c r="F120" t="s">
        <v>216</v>
      </c>
      <c r="G120" t="s">
        <v>217</v>
      </c>
      <c r="H120">
        <v>5000</v>
      </c>
      <c r="I120">
        <v>33.75</v>
      </c>
      <c r="J120">
        <v>168750</v>
      </c>
      <c r="K120" s="7" t="str">
        <f>IFERROR(IF(B120&lt;&gt;"", TEXT(VLOOKUP(B120, 'Expected Date'!A:B, 2, FALSE) + DATE(RIGHT(C120,2),MID(C120,4,2),LEFT(C120,2)), "dd/mm/yy"), ""), "")</f>
        <v>17/07/23</v>
      </c>
      <c r="L120" t="s">
        <v>68</v>
      </c>
      <c r="M120" t="s">
        <v>48</v>
      </c>
      <c r="N120" t="s">
        <v>109</v>
      </c>
      <c r="O120" t="s">
        <v>52</v>
      </c>
      <c r="P120">
        <v>23190856</v>
      </c>
      <c r="Q120" t="s">
        <v>216</v>
      </c>
      <c r="R120" t="s">
        <v>217</v>
      </c>
      <c r="S120">
        <v>4195</v>
      </c>
      <c r="T120">
        <v>33.75</v>
      </c>
      <c r="U120">
        <v>141581.25</v>
      </c>
      <c r="V120" t="str">
        <f t="shared" si="31"/>
        <v>Accepted</v>
      </c>
      <c r="W120">
        <f>IFERROR(VLOOKUP(N120, Payment_Terms!A:B, 2, FALSE), "Payment term not found!")</f>
        <v>0</v>
      </c>
      <c r="X120" t="str">
        <f>IFERROR(VLOOKUP(R120, Item_Category!A:B, 2, FALSE), "Uncategorized")</f>
        <v>Bags</v>
      </c>
      <c r="Y120" s="5">
        <f t="shared" si="18"/>
        <v>0.161</v>
      </c>
      <c r="Z120">
        <f t="shared" si="19"/>
        <v>1</v>
      </c>
      <c r="AA120">
        <f t="shared" si="20"/>
        <v>30</v>
      </c>
      <c r="AB120">
        <f t="shared" si="21"/>
        <v>1</v>
      </c>
      <c r="AC120" s="10">
        <f t="shared" si="22"/>
        <v>40</v>
      </c>
      <c r="AD120" s="5">
        <f t="shared" si="23"/>
        <v>1</v>
      </c>
      <c r="AE120" s="5">
        <f t="shared" si="24"/>
        <v>1</v>
      </c>
      <c r="AF120" s="5">
        <f t="shared" si="25"/>
        <v>0</v>
      </c>
      <c r="AG120">
        <f>IF(B120&lt;&gt;"", COUNTIFS($B$2:B120, B120), "")</f>
        <v>6</v>
      </c>
      <c r="AH120">
        <f t="shared" si="26"/>
        <v>5</v>
      </c>
      <c r="AI120" t="str">
        <f>VLOOKUP(B120, Currency!A:B, 2, FALSE)</f>
        <v>INR</v>
      </c>
      <c r="AJ120">
        <f t="shared" si="27"/>
        <v>3</v>
      </c>
      <c r="AK120">
        <f t="shared" si="28"/>
        <v>7</v>
      </c>
      <c r="AL120" t="str">
        <f t="shared" si="29"/>
        <v>July</v>
      </c>
      <c r="AM120">
        <f t="shared" si="32"/>
        <v>2023</v>
      </c>
      <c r="AN120" t="str">
        <f t="shared" si="30"/>
        <v>0KAPILA INDUSTRIES</v>
      </c>
      <c r="AO120">
        <f>IF(COUNTIF($AN$2:AN120, AN120)=1, 1, 0)</f>
        <v>0</v>
      </c>
      <c r="AP120" t="str">
        <f t="shared" si="33"/>
        <v>&gt;3</v>
      </c>
      <c r="AQ120" t="str">
        <f t="shared" si="34"/>
        <v>&lt;=3</v>
      </c>
      <c r="AR120" t="str">
        <f t="shared" si="35"/>
        <v>&lt;=3</v>
      </c>
    </row>
    <row r="121" spans="1:44" x14ac:dyDescent="0.3">
      <c r="A121" t="s">
        <v>33</v>
      </c>
      <c r="B121" t="s">
        <v>64</v>
      </c>
      <c r="C121" t="s">
        <v>105</v>
      </c>
      <c r="D121">
        <v>4033</v>
      </c>
      <c r="E121">
        <v>23120111</v>
      </c>
      <c r="F121" t="s">
        <v>66</v>
      </c>
      <c r="G121" t="s">
        <v>67</v>
      </c>
      <c r="H121">
        <v>5000</v>
      </c>
      <c r="I121">
        <v>22.5</v>
      </c>
      <c r="J121">
        <v>112500</v>
      </c>
      <c r="K121" s="7" t="str">
        <f>IFERROR(IF(B121&lt;&gt;"", TEXT(VLOOKUP(B121, 'Expected Date'!A:B, 2, FALSE) + DATE(RIGHT(C121,2),MID(C121,4,2),LEFT(C121,2)), "dd/mm/yy"), ""), "")</f>
        <v>04/09/23</v>
      </c>
      <c r="L121" t="s">
        <v>38</v>
      </c>
      <c r="M121" t="s">
        <v>39</v>
      </c>
      <c r="N121" t="s">
        <v>69</v>
      </c>
      <c r="O121" t="s">
        <v>206</v>
      </c>
      <c r="P121">
        <v>23191059</v>
      </c>
      <c r="Q121" t="s">
        <v>66</v>
      </c>
      <c r="R121" t="s">
        <v>67</v>
      </c>
      <c r="S121">
        <v>5100</v>
      </c>
      <c r="T121">
        <v>22.5</v>
      </c>
      <c r="U121">
        <v>114750</v>
      </c>
      <c r="V121" t="str">
        <f t="shared" si="31"/>
        <v>Accepted</v>
      </c>
      <c r="W121">
        <f>IFERROR(VLOOKUP(N121, Payment_Terms!A:B, 2, FALSE), "Payment term not found!")</f>
        <v>30</v>
      </c>
      <c r="X121" t="str">
        <f>IFERROR(VLOOKUP(R121, Item_Category!A:B, 2, FALSE), "Uncategorized")</f>
        <v>Bags</v>
      </c>
      <c r="Y121" s="5">
        <f t="shared" si="18"/>
        <v>0</v>
      </c>
      <c r="Z121">
        <f t="shared" si="19"/>
        <v>5</v>
      </c>
      <c r="AA121">
        <f t="shared" si="20"/>
        <v>9</v>
      </c>
      <c r="AB121">
        <f t="shared" si="21"/>
        <v>2</v>
      </c>
      <c r="AC121" s="10">
        <f t="shared" si="22"/>
        <v>19</v>
      </c>
      <c r="AD121" s="5">
        <f t="shared" si="23"/>
        <v>1</v>
      </c>
      <c r="AE121" s="5">
        <f t="shared" si="24"/>
        <v>1</v>
      </c>
      <c r="AF121" s="5">
        <f t="shared" si="25"/>
        <v>0</v>
      </c>
      <c r="AG121">
        <f>IF(B121&lt;&gt;"", COUNTIFS($B$2:B121, B121), "")</f>
        <v>11</v>
      </c>
      <c r="AH121">
        <f t="shared" si="26"/>
        <v>5</v>
      </c>
      <c r="AI121" t="str">
        <f>VLOOKUP(B121, Currency!A:B, 2, FALSE)</f>
        <v>INR</v>
      </c>
      <c r="AJ121">
        <f t="shared" si="27"/>
        <v>5</v>
      </c>
      <c r="AK121">
        <f t="shared" si="28"/>
        <v>8</v>
      </c>
      <c r="AL121" t="str">
        <f t="shared" si="29"/>
        <v>August</v>
      </c>
      <c r="AM121">
        <f t="shared" si="32"/>
        <v>2023</v>
      </c>
      <c r="AN121" t="str">
        <f t="shared" si="30"/>
        <v>30Epic Polymers</v>
      </c>
      <c r="AO121">
        <f>IF(COUNTIF($AN$2:AN121, AN121)=1, 1, 0)</f>
        <v>0</v>
      </c>
      <c r="AP121" t="str">
        <f t="shared" si="33"/>
        <v>&gt;3</v>
      </c>
      <c r="AQ121" t="str">
        <f t="shared" si="34"/>
        <v>&gt;3</v>
      </c>
      <c r="AR121" t="str">
        <f t="shared" si="35"/>
        <v>&lt;=3</v>
      </c>
    </row>
    <row r="122" spans="1:44" x14ac:dyDescent="0.3">
      <c r="A122" t="s">
        <v>33</v>
      </c>
      <c r="B122" t="s">
        <v>34</v>
      </c>
      <c r="C122" t="s">
        <v>228</v>
      </c>
      <c r="D122">
        <v>4549</v>
      </c>
      <c r="E122">
        <v>23120126</v>
      </c>
      <c r="F122" t="s">
        <v>212</v>
      </c>
      <c r="G122" t="s">
        <v>213</v>
      </c>
      <c r="H122">
        <v>3000</v>
      </c>
      <c r="I122">
        <v>33.75</v>
      </c>
      <c r="J122">
        <v>101250</v>
      </c>
      <c r="K122" s="7" t="str">
        <f>IFERROR(IF(B122&lt;&gt;"", TEXT(VLOOKUP(B122, 'Expected Date'!A:B, 2, FALSE) + DATE(RIGHT(C122,2),MID(C122,4,2),LEFT(C122,2)), "dd/mm/yy"), ""), "")</f>
        <v>02/10/23</v>
      </c>
      <c r="L122" t="s">
        <v>38</v>
      </c>
      <c r="M122" t="s">
        <v>39</v>
      </c>
      <c r="N122" t="s">
        <v>40</v>
      </c>
      <c r="O122" t="s">
        <v>230</v>
      </c>
      <c r="P122">
        <v>23191244</v>
      </c>
      <c r="Q122" t="s">
        <v>212</v>
      </c>
      <c r="R122" t="s">
        <v>213</v>
      </c>
      <c r="S122">
        <v>3345</v>
      </c>
      <c r="T122">
        <v>33.75</v>
      </c>
      <c r="U122">
        <v>112893.75</v>
      </c>
      <c r="V122" t="str">
        <f t="shared" si="31"/>
        <v>Accepted</v>
      </c>
      <c r="W122">
        <f>IFERROR(VLOOKUP(N122, Payment_Terms!A:B, 2, FALSE), "Payment term not found!")</f>
        <v>30</v>
      </c>
      <c r="X122" t="str">
        <f>IFERROR(VLOOKUP(R122, Item_Category!A:B, 2, FALSE), "Uncategorized")</f>
        <v>Bags</v>
      </c>
      <c r="Y122" s="5">
        <f t="shared" si="18"/>
        <v>0</v>
      </c>
      <c r="Z122">
        <f t="shared" si="19"/>
        <v>5</v>
      </c>
      <c r="AA122">
        <f t="shared" si="20"/>
        <v>1</v>
      </c>
      <c r="AB122">
        <f t="shared" si="21"/>
        <v>5</v>
      </c>
      <c r="AC122" s="10">
        <f t="shared" si="22"/>
        <v>11</v>
      </c>
      <c r="AD122" s="5">
        <f t="shared" si="23"/>
        <v>1</v>
      </c>
      <c r="AE122" s="5">
        <f t="shared" si="24"/>
        <v>1</v>
      </c>
      <c r="AF122" s="5">
        <f t="shared" si="25"/>
        <v>0</v>
      </c>
      <c r="AG122">
        <f>IF(B122&lt;&gt;"", COUNTIFS($B$2:B122, B122), "")</f>
        <v>11</v>
      </c>
      <c r="AH122">
        <f t="shared" si="26"/>
        <v>5</v>
      </c>
      <c r="AI122" t="str">
        <f>VLOOKUP(B122, Currency!A:B, 2, FALSE)</f>
        <v>INR</v>
      </c>
      <c r="AJ122">
        <f t="shared" si="27"/>
        <v>5</v>
      </c>
      <c r="AK122">
        <f t="shared" si="28"/>
        <v>9</v>
      </c>
      <c r="AL122" t="str">
        <f t="shared" si="29"/>
        <v>September</v>
      </c>
      <c r="AM122">
        <f t="shared" si="32"/>
        <v>2023</v>
      </c>
      <c r="AN122" t="str">
        <f t="shared" si="30"/>
        <v>30Ami Enterprises</v>
      </c>
      <c r="AO122">
        <f>IF(COUNTIF($AN$2:AN122, AN122)=1, 1, 0)</f>
        <v>0</v>
      </c>
      <c r="AP122" t="str">
        <f t="shared" si="33"/>
        <v>&gt;3</v>
      </c>
      <c r="AQ122" t="str">
        <f t="shared" si="34"/>
        <v>&gt;3</v>
      </c>
      <c r="AR122" t="str">
        <f t="shared" si="35"/>
        <v>&gt;3</v>
      </c>
    </row>
    <row r="123" spans="1:44" x14ac:dyDescent="0.3">
      <c r="A123" t="s">
        <v>33</v>
      </c>
      <c r="B123" t="s">
        <v>34</v>
      </c>
      <c r="C123" t="s">
        <v>228</v>
      </c>
      <c r="D123">
        <v>4549</v>
      </c>
      <c r="E123">
        <v>23120126</v>
      </c>
      <c r="F123" t="s">
        <v>166</v>
      </c>
      <c r="G123" t="s">
        <v>167</v>
      </c>
      <c r="H123">
        <v>2000</v>
      </c>
      <c r="I123">
        <v>33.75</v>
      </c>
      <c r="J123">
        <v>67500</v>
      </c>
      <c r="K123" s="7" t="str">
        <f>IFERROR(IF(B123&lt;&gt;"", TEXT(VLOOKUP(B123, 'Expected Date'!A:B, 2, FALSE) + DATE(RIGHT(C123,2),MID(C123,4,2),LEFT(C123,2)), "dd/mm/yy"), ""), "")</f>
        <v>02/10/23</v>
      </c>
      <c r="L123" t="s">
        <v>38</v>
      </c>
      <c r="M123" t="s">
        <v>39</v>
      </c>
      <c r="N123" t="s">
        <v>40</v>
      </c>
      <c r="O123" t="s">
        <v>230</v>
      </c>
      <c r="P123">
        <v>23191244</v>
      </c>
      <c r="Q123" t="s">
        <v>166</v>
      </c>
      <c r="R123" t="s">
        <v>167</v>
      </c>
      <c r="S123">
        <v>2105</v>
      </c>
      <c r="T123">
        <v>33.75</v>
      </c>
      <c r="U123">
        <v>71043.75</v>
      </c>
      <c r="V123" t="str">
        <f t="shared" si="31"/>
        <v>Accepted</v>
      </c>
      <c r="W123">
        <f>IFERROR(VLOOKUP(N123, Payment_Terms!A:B, 2, FALSE), "Payment term not found!")</f>
        <v>30</v>
      </c>
      <c r="X123" t="str">
        <f>IFERROR(VLOOKUP(R123, Item_Category!A:B, 2, FALSE), "Uncategorized")</f>
        <v>Bags</v>
      </c>
      <c r="Y123" s="5">
        <f t="shared" si="18"/>
        <v>0</v>
      </c>
      <c r="Z123">
        <f t="shared" si="19"/>
        <v>5</v>
      </c>
      <c r="AA123">
        <f t="shared" si="20"/>
        <v>1</v>
      </c>
      <c r="AB123">
        <f t="shared" si="21"/>
        <v>5</v>
      </c>
      <c r="AC123" s="10">
        <f t="shared" si="22"/>
        <v>11</v>
      </c>
      <c r="AD123" s="5">
        <f t="shared" si="23"/>
        <v>1</v>
      </c>
      <c r="AE123" s="5">
        <f t="shared" si="24"/>
        <v>1</v>
      </c>
      <c r="AF123" s="5">
        <f t="shared" si="25"/>
        <v>0</v>
      </c>
      <c r="AG123">
        <f>IF(B123&lt;&gt;"", COUNTIFS($B$2:B123, B123), "")</f>
        <v>12</v>
      </c>
      <c r="AH123">
        <f t="shared" si="26"/>
        <v>5</v>
      </c>
      <c r="AI123" t="str">
        <f>VLOOKUP(B123, Currency!A:B, 2, FALSE)</f>
        <v>INR</v>
      </c>
      <c r="AJ123">
        <f t="shared" si="27"/>
        <v>5</v>
      </c>
      <c r="AK123">
        <f t="shared" si="28"/>
        <v>9</v>
      </c>
      <c r="AL123" t="str">
        <f t="shared" si="29"/>
        <v>September</v>
      </c>
      <c r="AM123">
        <f t="shared" si="32"/>
        <v>2023</v>
      </c>
      <c r="AN123" t="str">
        <f t="shared" si="30"/>
        <v>30Ami Enterprises</v>
      </c>
      <c r="AO123">
        <f>IF(COUNTIF($AN$2:AN123, AN123)=1, 1, 0)</f>
        <v>0</v>
      </c>
      <c r="AP123" t="str">
        <f t="shared" si="33"/>
        <v>&gt;3</v>
      </c>
      <c r="AQ123" t="str">
        <f t="shared" si="34"/>
        <v>&gt;3</v>
      </c>
      <c r="AR123" t="str">
        <f t="shared" si="35"/>
        <v>&gt;3</v>
      </c>
    </row>
    <row r="124" spans="1:44" x14ac:dyDescent="0.3">
      <c r="A124" t="s">
        <v>33</v>
      </c>
      <c r="B124" t="s">
        <v>64</v>
      </c>
      <c r="C124" t="s">
        <v>231</v>
      </c>
      <c r="D124">
        <v>2384</v>
      </c>
      <c r="E124">
        <v>23120043</v>
      </c>
      <c r="F124" t="s">
        <v>232</v>
      </c>
      <c r="G124" t="s">
        <v>233</v>
      </c>
      <c r="H124">
        <v>3000</v>
      </c>
      <c r="I124">
        <v>22.5</v>
      </c>
      <c r="J124">
        <v>67500</v>
      </c>
      <c r="K124" s="7" t="str">
        <f>IFERROR(IF(B124&lt;&gt;"", TEXT(VLOOKUP(B124, 'Expected Date'!A:B, 2, FALSE) + DATE(RIGHT(C124,2),MID(C124,4,2),LEFT(C124,2)), "dd/mm/yy"), ""), "")</f>
        <v>19/06/23</v>
      </c>
      <c r="L124" t="s">
        <v>38</v>
      </c>
      <c r="M124" t="s">
        <v>39</v>
      </c>
      <c r="N124" t="s">
        <v>69</v>
      </c>
      <c r="O124" t="s">
        <v>162</v>
      </c>
      <c r="P124">
        <v>23190516</v>
      </c>
      <c r="Q124" t="s">
        <v>232</v>
      </c>
      <c r="R124" t="s">
        <v>233</v>
      </c>
      <c r="S124">
        <v>3200</v>
      </c>
      <c r="T124">
        <v>22.5</v>
      </c>
      <c r="U124">
        <v>72000</v>
      </c>
      <c r="V124" t="str">
        <f t="shared" si="31"/>
        <v>Accepted</v>
      </c>
      <c r="W124">
        <f>IFERROR(VLOOKUP(N124, Payment_Terms!A:B, 2, FALSE), "Payment term not found!")</f>
        <v>30</v>
      </c>
      <c r="X124" t="str">
        <f>IFERROR(VLOOKUP(R124, Item_Category!A:B, 2, FALSE), "Uncategorized")</f>
        <v>Bags</v>
      </c>
      <c r="Y124" s="5">
        <f t="shared" si="18"/>
        <v>0</v>
      </c>
      <c r="Z124">
        <f t="shared" si="19"/>
        <v>5</v>
      </c>
      <c r="AA124">
        <f t="shared" si="20"/>
        <v>10</v>
      </c>
      <c r="AB124">
        <f t="shared" si="21"/>
        <v>2</v>
      </c>
      <c r="AC124" s="10">
        <f t="shared" si="22"/>
        <v>20</v>
      </c>
      <c r="AD124" s="5">
        <f t="shared" si="23"/>
        <v>1</v>
      </c>
      <c r="AE124" s="5">
        <f t="shared" si="24"/>
        <v>1</v>
      </c>
      <c r="AF124" s="5">
        <f t="shared" si="25"/>
        <v>0</v>
      </c>
      <c r="AG124">
        <f>IF(B124&lt;&gt;"", COUNTIFS($B$2:B124, B124), "")</f>
        <v>12</v>
      </c>
      <c r="AH124">
        <f t="shared" si="26"/>
        <v>5</v>
      </c>
      <c r="AI124" t="str">
        <f>VLOOKUP(B124, Currency!A:B, 2, FALSE)</f>
        <v>INR</v>
      </c>
      <c r="AJ124">
        <f t="shared" si="27"/>
        <v>5</v>
      </c>
      <c r="AK124">
        <f t="shared" si="28"/>
        <v>6</v>
      </c>
      <c r="AL124" t="str">
        <f t="shared" si="29"/>
        <v>June</v>
      </c>
      <c r="AM124">
        <f t="shared" si="32"/>
        <v>2023</v>
      </c>
      <c r="AN124" t="str">
        <f t="shared" si="30"/>
        <v>30Epic Polymers</v>
      </c>
      <c r="AO124">
        <f>IF(COUNTIF($AN$2:AN124, AN124)=1, 1, 0)</f>
        <v>0</v>
      </c>
      <c r="AP124" t="str">
        <f t="shared" si="33"/>
        <v>&gt;3</v>
      </c>
      <c r="AQ124" t="str">
        <f t="shared" si="34"/>
        <v>&gt;3</v>
      </c>
      <c r="AR124" t="str">
        <f t="shared" si="35"/>
        <v>&lt;=3</v>
      </c>
    </row>
    <row r="125" spans="1:44" x14ac:dyDescent="0.3">
      <c r="A125" t="s">
        <v>33</v>
      </c>
      <c r="B125" t="s">
        <v>107</v>
      </c>
      <c r="C125" t="s">
        <v>105</v>
      </c>
      <c r="D125">
        <v>4031</v>
      </c>
      <c r="E125">
        <v>23120109</v>
      </c>
      <c r="F125" t="s">
        <v>92</v>
      </c>
      <c r="G125" t="s">
        <v>93</v>
      </c>
      <c r="H125">
        <v>5000</v>
      </c>
      <c r="I125">
        <v>33.75</v>
      </c>
      <c r="J125">
        <v>168750</v>
      </c>
      <c r="K125" s="7" t="str">
        <f>IFERROR(IF(B125&lt;&gt;"", TEXT(VLOOKUP(B125, 'Expected Date'!A:B, 2, FALSE) + DATE(RIGHT(C125,2),MID(C125,4,2),LEFT(C125,2)), "dd/mm/yy"), ""), "")</f>
        <v>04/09/23</v>
      </c>
      <c r="L125" t="s">
        <v>38</v>
      </c>
      <c r="M125" t="s">
        <v>39</v>
      </c>
      <c r="N125" t="s">
        <v>109</v>
      </c>
      <c r="O125" t="s">
        <v>181</v>
      </c>
      <c r="P125">
        <v>23191104</v>
      </c>
      <c r="Q125" t="s">
        <v>92</v>
      </c>
      <c r="R125" t="s">
        <v>93</v>
      </c>
      <c r="S125">
        <v>5028</v>
      </c>
      <c r="T125">
        <v>33.75</v>
      </c>
      <c r="U125">
        <v>169695</v>
      </c>
      <c r="V125" t="str">
        <f t="shared" si="31"/>
        <v>Accepted</v>
      </c>
      <c r="W125">
        <f>IFERROR(VLOOKUP(N125, Payment_Terms!A:B, 2, FALSE), "Payment term not found!")</f>
        <v>0</v>
      </c>
      <c r="X125" t="str">
        <f>IFERROR(VLOOKUP(R125, Item_Category!A:B, 2, FALSE), "Uncategorized")</f>
        <v>Bags</v>
      </c>
      <c r="Y125" s="5">
        <f t="shared" si="18"/>
        <v>0</v>
      </c>
      <c r="Z125">
        <f t="shared" si="19"/>
        <v>5</v>
      </c>
      <c r="AA125">
        <f t="shared" si="20"/>
        <v>17</v>
      </c>
      <c r="AB125">
        <f t="shared" si="21"/>
        <v>1</v>
      </c>
      <c r="AC125" s="10">
        <f t="shared" si="22"/>
        <v>27</v>
      </c>
      <c r="AD125" s="5">
        <f t="shared" si="23"/>
        <v>1</v>
      </c>
      <c r="AE125" s="5">
        <f t="shared" si="24"/>
        <v>1</v>
      </c>
      <c r="AF125" s="5">
        <f t="shared" si="25"/>
        <v>0</v>
      </c>
      <c r="AG125">
        <f>IF(B125&lt;&gt;"", COUNTIFS($B$2:B125, B125), "")</f>
        <v>7</v>
      </c>
      <c r="AH125">
        <f t="shared" si="26"/>
        <v>5</v>
      </c>
      <c r="AI125" t="str">
        <f>VLOOKUP(B125, Currency!A:B, 2, FALSE)</f>
        <v>INR</v>
      </c>
      <c r="AJ125">
        <f t="shared" si="27"/>
        <v>4</v>
      </c>
      <c r="AK125">
        <f t="shared" si="28"/>
        <v>8</v>
      </c>
      <c r="AL125" t="str">
        <f t="shared" si="29"/>
        <v>August</v>
      </c>
      <c r="AM125">
        <f t="shared" si="32"/>
        <v>2023</v>
      </c>
      <c r="AN125" t="str">
        <f t="shared" si="30"/>
        <v>0KAPILA INDUSTRIES</v>
      </c>
      <c r="AO125">
        <f>IF(COUNTIF($AN$2:AN125, AN125)=1, 1, 0)</f>
        <v>0</v>
      </c>
      <c r="AP125" t="str">
        <f t="shared" si="33"/>
        <v>&gt;3</v>
      </c>
      <c r="AQ125" t="str">
        <f t="shared" si="34"/>
        <v>&gt;3</v>
      </c>
      <c r="AR125" t="str">
        <f t="shared" si="35"/>
        <v>&lt;=3</v>
      </c>
    </row>
    <row r="126" spans="1:44" x14ac:dyDescent="0.3">
      <c r="A126" t="s">
        <v>33</v>
      </c>
      <c r="B126" t="s">
        <v>64</v>
      </c>
      <c r="C126" t="s">
        <v>117</v>
      </c>
      <c r="D126">
        <v>2901</v>
      </c>
      <c r="E126">
        <v>23120085</v>
      </c>
      <c r="F126" t="s">
        <v>170</v>
      </c>
      <c r="G126" t="s">
        <v>171</v>
      </c>
      <c r="H126">
        <v>3000</v>
      </c>
      <c r="I126">
        <v>22.25</v>
      </c>
      <c r="J126">
        <v>66750</v>
      </c>
      <c r="K126" s="7" t="str">
        <f>IFERROR(IF(B126&lt;&gt;"", TEXT(VLOOKUP(B126, 'Expected Date'!A:B, 2, FALSE) + DATE(RIGHT(C126,2),MID(C126,4,2),LEFT(C126,2)), "dd/mm/yy"), ""), "")</f>
        <v>17/07/23</v>
      </c>
      <c r="L126" t="s">
        <v>38</v>
      </c>
      <c r="M126" t="s">
        <v>48</v>
      </c>
      <c r="N126" t="s">
        <v>69</v>
      </c>
      <c r="O126" t="s">
        <v>192</v>
      </c>
      <c r="P126">
        <v>23190837</v>
      </c>
      <c r="Q126" t="s">
        <v>170</v>
      </c>
      <c r="R126" t="s">
        <v>171</v>
      </c>
      <c r="S126">
        <v>3542</v>
      </c>
      <c r="T126">
        <v>22.25</v>
      </c>
      <c r="U126">
        <v>78809.5</v>
      </c>
      <c r="V126" t="str">
        <f t="shared" si="31"/>
        <v>Accepted</v>
      </c>
      <c r="W126">
        <f>IFERROR(VLOOKUP(N126, Payment_Terms!A:B, 2, FALSE), "Payment term not found!")</f>
        <v>30</v>
      </c>
      <c r="X126" t="str">
        <f>IFERROR(VLOOKUP(R126, Item_Category!A:B, 2, FALSE), "Uncategorized")</f>
        <v>Bags</v>
      </c>
      <c r="Y126" s="5">
        <f t="shared" si="18"/>
        <v>0</v>
      </c>
      <c r="Z126">
        <f t="shared" si="19"/>
        <v>5</v>
      </c>
      <c r="AA126">
        <f t="shared" si="20"/>
        <v>28</v>
      </c>
      <c r="AB126">
        <f t="shared" si="21"/>
        <v>1</v>
      </c>
      <c r="AC126" s="10">
        <f t="shared" si="22"/>
        <v>38</v>
      </c>
      <c r="AD126" s="5">
        <f t="shared" si="23"/>
        <v>1</v>
      </c>
      <c r="AE126" s="5">
        <f t="shared" si="24"/>
        <v>1</v>
      </c>
      <c r="AF126" s="5">
        <f t="shared" si="25"/>
        <v>0</v>
      </c>
      <c r="AG126">
        <f>IF(B126&lt;&gt;"", COUNTIFS($B$2:B126, B126), "")</f>
        <v>13</v>
      </c>
      <c r="AH126">
        <f t="shared" si="26"/>
        <v>5</v>
      </c>
      <c r="AI126" t="str">
        <f>VLOOKUP(B126, Currency!A:B, 2, FALSE)</f>
        <v>INR</v>
      </c>
      <c r="AJ126">
        <f t="shared" si="27"/>
        <v>4</v>
      </c>
      <c r="AK126">
        <f t="shared" si="28"/>
        <v>7</v>
      </c>
      <c r="AL126" t="str">
        <f t="shared" si="29"/>
        <v>July</v>
      </c>
      <c r="AM126">
        <f t="shared" si="32"/>
        <v>2023</v>
      </c>
      <c r="AN126" t="str">
        <f t="shared" si="30"/>
        <v>30Epic Polymers</v>
      </c>
      <c r="AO126">
        <f>IF(COUNTIF($AN$2:AN126, AN126)=1, 1, 0)</f>
        <v>0</v>
      </c>
      <c r="AP126" t="str">
        <f t="shared" si="33"/>
        <v>&gt;3</v>
      </c>
      <c r="AQ126" t="str">
        <f t="shared" si="34"/>
        <v>&gt;3</v>
      </c>
      <c r="AR126" t="str">
        <f t="shared" si="35"/>
        <v>&lt;=3</v>
      </c>
    </row>
    <row r="127" spans="1:44" x14ac:dyDescent="0.3">
      <c r="A127" t="s">
        <v>33</v>
      </c>
      <c r="B127" t="s">
        <v>34</v>
      </c>
      <c r="C127" t="s">
        <v>228</v>
      </c>
      <c r="D127">
        <v>4549</v>
      </c>
      <c r="E127">
        <v>23120126</v>
      </c>
      <c r="F127" t="s">
        <v>92</v>
      </c>
      <c r="G127" t="s">
        <v>93</v>
      </c>
      <c r="H127">
        <v>10000</v>
      </c>
      <c r="I127">
        <v>33.75</v>
      </c>
      <c r="J127">
        <v>337500</v>
      </c>
      <c r="K127" s="7" t="str">
        <f>IFERROR(IF(B127&lt;&gt;"", TEXT(VLOOKUP(B127, 'Expected Date'!A:B, 2, FALSE) + DATE(RIGHT(C127,2),MID(C127,4,2),LEFT(C127,2)), "dd/mm/yy"), ""), "")</f>
        <v>02/10/23</v>
      </c>
      <c r="L127" t="s">
        <v>38</v>
      </c>
      <c r="M127" t="s">
        <v>39</v>
      </c>
      <c r="N127" t="s">
        <v>40</v>
      </c>
      <c r="O127" t="s">
        <v>230</v>
      </c>
      <c r="P127">
        <v>23191244</v>
      </c>
      <c r="Q127" t="s">
        <v>92</v>
      </c>
      <c r="R127" t="s">
        <v>93</v>
      </c>
      <c r="S127">
        <v>10200</v>
      </c>
      <c r="T127">
        <v>33.75</v>
      </c>
      <c r="U127">
        <v>344250</v>
      </c>
      <c r="V127" t="str">
        <f t="shared" si="31"/>
        <v>Accepted</v>
      </c>
      <c r="W127">
        <f>IFERROR(VLOOKUP(N127, Payment_Terms!A:B, 2, FALSE), "Payment term not found!")</f>
        <v>30</v>
      </c>
      <c r="X127" t="str">
        <f>IFERROR(VLOOKUP(R127, Item_Category!A:B, 2, FALSE), "Uncategorized")</f>
        <v>Bags</v>
      </c>
      <c r="Y127" s="5">
        <f t="shared" si="18"/>
        <v>0</v>
      </c>
      <c r="Z127">
        <f t="shared" si="19"/>
        <v>5</v>
      </c>
      <c r="AA127">
        <f t="shared" si="20"/>
        <v>1</v>
      </c>
      <c r="AB127">
        <f t="shared" si="21"/>
        <v>5</v>
      </c>
      <c r="AC127" s="10">
        <f t="shared" si="22"/>
        <v>11</v>
      </c>
      <c r="AD127" s="5">
        <f t="shared" si="23"/>
        <v>1</v>
      </c>
      <c r="AE127" s="5">
        <f t="shared" si="24"/>
        <v>1</v>
      </c>
      <c r="AF127" s="5">
        <f t="shared" si="25"/>
        <v>0</v>
      </c>
      <c r="AG127">
        <f>IF(B127&lt;&gt;"", COUNTIFS($B$2:B127, B127), "")</f>
        <v>13</v>
      </c>
      <c r="AH127">
        <f t="shared" si="26"/>
        <v>5</v>
      </c>
      <c r="AI127" t="str">
        <f>VLOOKUP(B127, Currency!A:B, 2, FALSE)</f>
        <v>INR</v>
      </c>
      <c r="AJ127">
        <f t="shared" si="27"/>
        <v>5</v>
      </c>
      <c r="AK127">
        <f t="shared" si="28"/>
        <v>9</v>
      </c>
      <c r="AL127" t="str">
        <f t="shared" si="29"/>
        <v>September</v>
      </c>
      <c r="AM127">
        <f t="shared" si="32"/>
        <v>2023</v>
      </c>
      <c r="AN127" t="str">
        <f t="shared" si="30"/>
        <v>30Ami Enterprises</v>
      </c>
      <c r="AO127">
        <f>IF(COUNTIF($AN$2:AN127, AN127)=1, 1, 0)</f>
        <v>0</v>
      </c>
      <c r="AP127" t="str">
        <f t="shared" si="33"/>
        <v>&gt;3</v>
      </c>
      <c r="AQ127" t="str">
        <f t="shared" si="34"/>
        <v>&gt;3</v>
      </c>
      <c r="AR127" t="str">
        <f t="shared" si="35"/>
        <v>&gt;3</v>
      </c>
    </row>
    <row r="128" spans="1:44" x14ac:dyDescent="0.3">
      <c r="A128" t="s">
        <v>111</v>
      </c>
      <c r="B128" t="s">
        <v>234</v>
      </c>
      <c r="C128" t="s">
        <v>35</v>
      </c>
      <c r="D128">
        <v>1547</v>
      </c>
      <c r="E128">
        <v>23120009</v>
      </c>
      <c r="F128" t="s">
        <v>235</v>
      </c>
      <c r="G128" t="s">
        <v>236</v>
      </c>
      <c r="H128">
        <v>25</v>
      </c>
      <c r="I128">
        <v>110</v>
      </c>
      <c r="J128">
        <v>2750</v>
      </c>
      <c r="K128" s="7" t="str">
        <f>IFERROR(IF(B128&lt;&gt;"", TEXT(VLOOKUP(B128, 'Expected Date'!A:B, 2, FALSE) + DATE(RIGHT(C128,2),MID(C128,4,2),LEFT(C128,2)), "dd/mm/yy"), ""), "")</f>
        <v>07/05/23</v>
      </c>
      <c r="L128" t="s">
        <v>38</v>
      </c>
      <c r="M128" t="s">
        <v>48</v>
      </c>
      <c r="N128" t="s">
        <v>237</v>
      </c>
      <c r="O128" t="s">
        <v>238</v>
      </c>
      <c r="P128">
        <v>23190184</v>
      </c>
      <c r="Q128" t="s">
        <v>235</v>
      </c>
      <c r="R128" t="s">
        <v>236</v>
      </c>
      <c r="S128">
        <v>25</v>
      </c>
      <c r="T128">
        <v>110</v>
      </c>
      <c r="U128">
        <v>2750</v>
      </c>
      <c r="V128" t="str">
        <f t="shared" si="31"/>
        <v>Accepted</v>
      </c>
      <c r="W128">
        <f>IFERROR(VLOOKUP(N128, Payment_Terms!A:B, 2, FALSE), "Payment term not found!")</f>
        <v>0</v>
      </c>
      <c r="X128" t="str">
        <f>IFERROR(VLOOKUP(R128, Item_Category!A:B, 2, FALSE), "Uncategorized")</f>
        <v>Calcium salts</v>
      </c>
      <c r="Y128" s="5">
        <f t="shared" si="18"/>
        <v>0</v>
      </c>
      <c r="Z128">
        <f t="shared" si="19"/>
        <v>5</v>
      </c>
      <c r="AA128">
        <f t="shared" si="20"/>
        <v>-3</v>
      </c>
      <c r="AB128">
        <f t="shared" si="21"/>
        <v>5</v>
      </c>
      <c r="AC128" s="10">
        <f t="shared" si="22"/>
        <v>7</v>
      </c>
      <c r="AD128" s="5">
        <f t="shared" si="23"/>
        <v>1</v>
      </c>
      <c r="AE128" s="5">
        <f t="shared" si="24"/>
        <v>1</v>
      </c>
      <c r="AF128" s="5">
        <f t="shared" si="25"/>
        <v>0</v>
      </c>
      <c r="AG128">
        <f>IF(B128&lt;&gt;"", COUNTIFS($B$2:B128, B128), "")</f>
        <v>1</v>
      </c>
      <c r="AH128">
        <f t="shared" si="26"/>
        <v>5</v>
      </c>
      <c r="AI128" t="str">
        <f>VLOOKUP(B128, Currency!A:B, 2, FALSE)</f>
        <v>INR</v>
      </c>
      <c r="AJ128">
        <f t="shared" si="27"/>
        <v>5</v>
      </c>
      <c r="AK128">
        <f t="shared" si="28"/>
        <v>4</v>
      </c>
      <c r="AL128" t="str">
        <f t="shared" si="29"/>
        <v>April</v>
      </c>
      <c r="AM128">
        <f t="shared" si="32"/>
        <v>2023</v>
      </c>
      <c r="AN128" t="str">
        <f t="shared" si="30"/>
        <v>0Sbf pharma</v>
      </c>
      <c r="AO128">
        <f>IF(COUNTIF($AN$2:AN128, AN128)=1, 1, 0)</f>
        <v>1</v>
      </c>
      <c r="AP128" t="str">
        <f t="shared" si="33"/>
        <v>&gt;3</v>
      </c>
      <c r="AQ128" t="str">
        <f t="shared" si="34"/>
        <v>&gt;3</v>
      </c>
      <c r="AR128" t="str">
        <f t="shared" si="35"/>
        <v>&gt;3</v>
      </c>
    </row>
    <row r="129" spans="1:44" x14ac:dyDescent="0.3">
      <c r="A129" t="s">
        <v>33</v>
      </c>
      <c r="B129" t="s">
        <v>51</v>
      </c>
      <c r="C129" t="s">
        <v>169</v>
      </c>
      <c r="D129">
        <v>2154</v>
      </c>
      <c r="E129">
        <v>23120035</v>
      </c>
      <c r="F129" t="s">
        <v>135</v>
      </c>
      <c r="G129" t="s">
        <v>136</v>
      </c>
      <c r="H129">
        <v>164</v>
      </c>
      <c r="I129">
        <v>6732.43</v>
      </c>
      <c r="J129">
        <v>1104118.52</v>
      </c>
      <c r="K129" s="7" t="str">
        <f>IFERROR(IF(B129&lt;&gt;"", TEXT(VLOOKUP(B129, 'Expected Date'!A:B, 2, FALSE) + DATE(RIGHT(C129,2),MID(C129,4,2),LEFT(C129,2)), "dd/mm/yy"), ""), "")</f>
        <v>14/06/23</v>
      </c>
      <c r="L129" t="s">
        <v>38</v>
      </c>
      <c r="M129" t="s">
        <v>48</v>
      </c>
      <c r="N129" t="s">
        <v>55</v>
      </c>
      <c r="O129" t="s">
        <v>239</v>
      </c>
      <c r="P129">
        <v>23190350</v>
      </c>
      <c r="Q129" t="s">
        <v>135</v>
      </c>
      <c r="R129" t="s">
        <v>136</v>
      </c>
      <c r="S129">
        <v>20</v>
      </c>
      <c r="T129">
        <v>6732.43</v>
      </c>
      <c r="U129">
        <v>134648.6</v>
      </c>
      <c r="V129" t="str">
        <f t="shared" si="31"/>
        <v>Accepted</v>
      </c>
      <c r="W129">
        <f>IFERROR(VLOOKUP(N129, Payment_Terms!A:B, 2, FALSE), "Payment term not found!")</f>
        <v>0</v>
      </c>
      <c r="X129" t="str">
        <f>IFERROR(VLOOKUP(R129, Item_Category!A:B, 2, FALSE), "Uncategorized")</f>
        <v>Coal materials</v>
      </c>
      <c r="Y129" s="5">
        <f t="shared" si="18"/>
        <v>0</v>
      </c>
      <c r="Z129">
        <f t="shared" si="19"/>
        <v>5</v>
      </c>
      <c r="AA129">
        <f t="shared" si="20"/>
        <v>-21</v>
      </c>
      <c r="AB129">
        <f t="shared" si="21"/>
        <v>5</v>
      </c>
      <c r="AC129" s="10">
        <f t="shared" si="22"/>
        <v>1</v>
      </c>
      <c r="AD129" s="5">
        <f t="shared" si="23"/>
        <v>1</v>
      </c>
      <c r="AE129" s="5">
        <f t="shared" si="24"/>
        <v>1</v>
      </c>
      <c r="AF129" s="5">
        <f t="shared" si="25"/>
        <v>0</v>
      </c>
      <c r="AG129">
        <f>IF(B129&lt;&gt;"", COUNTIFS($B$2:B129, B129), "")</f>
        <v>51</v>
      </c>
      <c r="AH129">
        <f t="shared" si="26"/>
        <v>5</v>
      </c>
      <c r="AI129" t="str">
        <f>VLOOKUP(B129, Currency!A:B, 2, FALSE)</f>
        <v>INR</v>
      </c>
      <c r="AJ129">
        <f t="shared" si="27"/>
        <v>5</v>
      </c>
      <c r="AK129">
        <f t="shared" si="28"/>
        <v>5</v>
      </c>
      <c r="AL129" t="str">
        <f t="shared" si="29"/>
        <v>May</v>
      </c>
      <c r="AM129">
        <f t="shared" si="32"/>
        <v>2023</v>
      </c>
      <c r="AN129" t="str">
        <f t="shared" si="30"/>
        <v>0The Singareni Collieries Company Ltd</v>
      </c>
      <c r="AO129">
        <f>IF(COUNTIF($AN$2:AN129, AN129)=1, 1, 0)</f>
        <v>0</v>
      </c>
      <c r="AP129" t="str">
        <f t="shared" si="33"/>
        <v>&gt;3</v>
      </c>
      <c r="AQ129" t="str">
        <f t="shared" si="34"/>
        <v>&gt;3</v>
      </c>
      <c r="AR129" t="str">
        <f t="shared" si="35"/>
        <v>&gt;3</v>
      </c>
    </row>
    <row r="130" spans="1:44" x14ac:dyDescent="0.3">
      <c r="A130" t="s">
        <v>33</v>
      </c>
      <c r="B130" t="s">
        <v>51</v>
      </c>
      <c r="C130" t="s">
        <v>169</v>
      </c>
      <c r="D130">
        <v>2154</v>
      </c>
      <c r="E130">
        <v>23120035</v>
      </c>
      <c r="F130" t="s">
        <v>135</v>
      </c>
      <c r="G130" t="s">
        <v>136</v>
      </c>
      <c r="H130">
        <v>164</v>
      </c>
      <c r="I130">
        <v>6732.43</v>
      </c>
      <c r="J130">
        <v>1104118.52</v>
      </c>
      <c r="K130" s="7" t="str">
        <f>IFERROR(IF(B130&lt;&gt;"", TEXT(VLOOKUP(B130, 'Expected Date'!A:B, 2, FALSE) + DATE(RIGHT(C130,2),MID(C130,4,2),LEFT(C130,2)), "dd/mm/yy"), ""), "")</f>
        <v>14/06/23</v>
      </c>
      <c r="L130" t="s">
        <v>38</v>
      </c>
      <c r="M130" t="s">
        <v>48</v>
      </c>
      <c r="N130" t="s">
        <v>55</v>
      </c>
      <c r="O130" t="s">
        <v>239</v>
      </c>
      <c r="P130">
        <v>23190351</v>
      </c>
      <c r="Q130" t="s">
        <v>135</v>
      </c>
      <c r="R130" t="s">
        <v>136</v>
      </c>
      <c r="S130">
        <v>20</v>
      </c>
      <c r="T130">
        <v>6732.43</v>
      </c>
      <c r="U130">
        <v>134648.6</v>
      </c>
      <c r="V130" t="str">
        <f t="shared" si="31"/>
        <v>Accepted</v>
      </c>
      <c r="W130">
        <f>IFERROR(VLOOKUP(N130, Payment_Terms!A:B, 2, FALSE), "Payment term not found!")</f>
        <v>0</v>
      </c>
      <c r="X130" t="str">
        <f>IFERROR(VLOOKUP(R130, Item_Category!A:B, 2, FALSE), "Uncategorized")</f>
        <v>Coal materials</v>
      </c>
      <c r="Y130" s="5">
        <f t="shared" ref="Y130:Y193" si="36">IFERROR(IF(AND(E130&lt;&gt;"", G130&lt;&gt;""), MAX(0, (H130-SUMIFS(S:S, E:E, E130, G:G, G130))/H130), ""), (H130-S130)/H130)</f>
        <v>0</v>
      </c>
      <c r="Z130">
        <f t="shared" ref="Z130:Z193" si="37">IF(Y130&lt;=0%,5,(IF(AND(Y130&gt;0%,Y130&lt;=2%),4,IF(AND(Y130&gt;2%,Y130&lt;=5%),3,IF(AND(Y130&gt;5%,Y130&lt;10%),2,1)))))</f>
        <v>5</v>
      </c>
      <c r="AA130">
        <f t="shared" ref="AA130:AA193" si="38">DATE(RIGHT(O130,2),MID(O130,4,2),LEFT(O130,2)) - DATE(RIGHT(K130,2),MID(K130,4,2),LEFT(K130,2))</f>
        <v>-21</v>
      </c>
      <c r="AB130">
        <f t="shared" ref="AB130:AB193" si="39">IF(AA130 &lt;= 2, 5, IF(AA130 &lt;= 4, 4, IF(AA130 &lt;= 7, 3, IF(AA130&lt;=10,2,1))))</f>
        <v>5</v>
      </c>
      <c r="AC130" s="10">
        <f t="shared" ref="AC130:AC193" si="40">ABS(DATE(RIGHT(O130,2),MID(O130,4,2),LEFT(O130,2)) - DATE(RIGHT(C130,2),MID(C130,4,2),LEFT(C130,2)))</f>
        <v>1</v>
      </c>
      <c r="AD130" s="5">
        <f t="shared" ref="AD130:AD193" si="41">IF(V130="Accepted",1,0)</f>
        <v>1</v>
      </c>
      <c r="AE130" s="5">
        <f t="shared" ref="AE130:AE193" si="42">ROUNDUP((SUMIFS(S:S, B:B, B130, V:V, "Accepted")/SUMIF(B:B,B130,S:S)),2)</f>
        <v>1</v>
      </c>
      <c r="AF130" s="5">
        <f t="shared" ref="AF130:AF193" si="43">ROUNDUP(ABS(100%-AE130),2)</f>
        <v>0</v>
      </c>
      <c r="AG130">
        <f>IF(B130&lt;&gt;"", COUNTIFS($B$2:B130, B130), "")</f>
        <v>52</v>
      </c>
      <c r="AH130">
        <f t="shared" ref="AH130:AH193" si="44">IF(AF130=0%,5,IF(AND(AF130&gt;0%,AF130&lt;=2%),4,IF(AND(AF130&gt;2%,AF130&lt;=5%),3,IF(AND(AF130&gt;5%,AF130&lt;10%),2,1))))</f>
        <v>5</v>
      </c>
      <c r="AI130" t="str">
        <f>VLOOKUP(B130, Currency!A:B, 2, FALSE)</f>
        <v>INR</v>
      </c>
      <c r="AJ130">
        <f t="shared" ref="AJ130:AJ193" si="45">_xlfn.CEILING.MATH(((0.4*AH130)+(0.3*Z130)+(0.3*AB130)),1)</f>
        <v>5</v>
      </c>
      <c r="AK130">
        <f t="shared" ref="AK130:AK193" si="46">MONTH(DATE(RIGHT(C130,2),MID(C130,4,2),LEFT(C130,2)))</f>
        <v>5</v>
      </c>
      <c r="AL130" t="str">
        <f t="shared" ref="AL130:AL193" si="47">TEXT(DATE(RIGHT(C130,2),MID(C130,4,2),LEFT(C130,2)),"mmmm")</f>
        <v>May</v>
      </c>
      <c r="AM130">
        <f t="shared" si="32"/>
        <v>2023</v>
      </c>
      <c r="AN130" t="str">
        <f t="shared" ref="AN130:AN193" si="48">W130&amp;B130</f>
        <v>0The Singareni Collieries Company Ltd</v>
      </c>
      <c r="AO130">
        <f>IF(COUNTIF($AN$2:AN130, AN130)=1, 1, 0)</f>
        <v>0</v>
      </c>
      <c r="AP130" t="str">
        <f t="shared" si="33"/>
        <v>&gt;3</v>
      </c>
      <c r="AQ130" t="str">
        <f t="shared" si="34"/>
        <v>&gt;3</v>
      </c>
      <c r="AR130" t="str">
        <f t="shared" si="35"/>
        <v>&gt;3</v>
      </c>
    </row>
    <row r="131" spans="1:44" x14ac:dyDescent="0.3">
      <c r="A131" t="s">
        <v>33</v>
      </c>
      <c r="B131" t="s">
        <v>51</v>
      </c>
      <c r="C131" t="s">
        <v>169</v>
      </c>
      <c r="D131">
        <v>2154</v>
      </c>
      <c r="E131">
        <v>23120035</v>
      </c>
      <c r="F131" t="s">
        <v>135</v>
      </c>
      <c r="G131" t="s">
        <v>136</v>
      </c>
      <c r="H131">
        <v>164</v>
      </c>
      <c r="I131">
        <v>6732.43</v>
      </c>
      <c r="J131">
        <v>1104118.52</v>
      </c>
      <c r="K131" s="7" t="str">
        <f>IFERROR(IF(B131&lt;&gt;"", TEXT(VLOOKUP(B131, 'Expected Date'!A:B, 2, FALSE) + DATE(RIGHT(C131,2),MID(C131,4,2),LEFT(C131,2)), "dd/mm/yy"), ""), "")</f>
        <v>14/06/23</v>
      </c>
      <c r="L131" t="s">
        <v>38</v>
      </c>
      <c r="M131" t="s">
        <v>48</v>
      </c>
      <c r="N131" t="s">
        <v>55</v>
      </c>
      <c r="O131" t="s">
        <v>239</v>
      </c>
      <c r="P131">
        <v>23190352</v>
      </c>
      <c r="Q131" t="s">
        <v>135</v>
      </c>
      <c r="R131" t="s">
        <v>136</v>
      </c>
      <c r="S131">
        <v>20</v>
      </c>
      <c r="T131">
        <v>6732.43</v>
      </c>
      <c r="U131">
        <v>134648.6</v>
      </c>
      <c r="V131" t="str">
        <f t="shared" ref="V131:V194" si="49">V130</f>
        <v>Accepted</v>
      </c>
      <c r="W131">
        <f>IFERROR(VLOOKUP(N131, Payment_Terms!A:B, 2, FALSE), "Payment term not found!")</f>
        <v>0</v>
      </c>
      <c r="X131" t="str">
        <f>IFERROR(VLOOKUP(R131, Item_Category!A:B, 2, FALSE), "Uncategorized")</f>
        <v>Coal materials</v>
      </c>
      <c r="Y131" s="5">
        <f t="shared" si="36"/>
        <v>0</v>
      </c>
      <c r="Z131">
        <f t="shared" si="37"/>
        <v>5</v>
      </c>
      <c r="AA131">
        <f t="shared" si="38"/>
        <v>-21</v>
      </c>
      <c r="AB131">
        <f t="shared" si="39"/>
        <v>5</v>
      </c>
      <c r="AC131" s="10">
        <f t="shared" si="40"/>
        <v>1</v>
      </c>
      <c r="AD131" s="5">
        <f t="shared" si="41"/>
        <v>1</v>
      </c>
      <c r="AE131" s="5">
        <f t="shared" si="42"/>
        <v>1</v>
      </c>
      <c r="AF131" s="5">
        <f t="shared" si="43"/>
        <v>0</v>
      </c>
      <c r="AG131">
        <f>IF(B131&lt;&gt;"", COUNTIFS($B$2:B131, B131), "")</f>
        <v>53</v>
      </c>
      <c r="AH131">
        <f t="shared" si="44"/>
        <v>5</v>
      </c>
      <c r="AI131" t="str">
        <f>VLOOKUP(B131, Currency!A:B, 2, FALSE)</f>
        <v>INR</v>
      </c>
      <c r="AJ131">
        <f t="shared" si="45"/>
        <v>5</v>
      </c>
      <c r="AK131">
        <f t="shared" si="46"/>
        <v>5</v>
      </c>
      <c r="AL131" t="str">
        <f t="shared" si="47"/>
        <v>May</v>
      </c>
      <c r="AM131">
        <f t="shared" ref="AM131:AM194" si="50">YEAR(DATE(VALUE(MID(C131,7,2))+2000, MID(C131,4,2), MID(C131,1,2)))</f>
        <v>2023</v>
      </c>
      <c r="AN131" t="str">
        <f t="shared" si="48"/>
        <v>0The Singareni Collieries Company Ltd</v>
      </c>
      <c r="AO131">
        <f>IF(COUNTIF($AN$2:AN131, AN131)=1, 1, 0)</f>
        <v>0</v>
      </c>
      <c r="AP131" t="str">
        <f t="shared" ref="AP131:AP194" si="51">IF(AH131&lt;=3,"&lt;=3","&gt;3")</f>
        <v>&gt;3</v>
      </c>
      <c r="AQ131" t="str">
        <f t="shared" ref="AQ131:AQ194" si="52">IF(Z131&lt;=3,"&lt;=3","&gt;3")</f>
        <v>&gt;3</v>
      </c>
      <c r="AR131" t="str">
        <f t="shared" ref="AR131:AR194" si="53">IF(AB131&lt;=3,"&lt;=3","&gt;3")</f>
        <v>&gt;3</v>
      </c>
    </row>
    <row r="132" spans="1:44" x14ac:dyDescent="0.3">
      <c r="A132" t="s">
        <v>33</v>
      </c>
      <c r="B132" t="s">
        <v>200</v>
      </c>
      <c r="C132" t="s">
        <v>108</v>
      </c>
      <c r="D132">
        <v>1807</v>
      </c>
      <c r="E132">
        <v>23120021</v>
      </c>
      <c r="F132" t="s">
        <v>186</v>
      </c>
      <c r="G132" t="s">
        <v>187</v>
      </c>
      <c r="H132">
        <v>4000</v>
      </c>
      <c r="I132">
        <v>126</v>
      </c>
      <c r="J132">
        <v>504000</v>
      </c>
      <c r="K132" s="7" t="str">
        <f>IFERROR(IF(B132&lt;&gt;"", TEXT(VLOOKUP(B132, 'Expected Date'!A:B, 2, FALSE) + DATE(RIGHT(C132,2),MID(C132,4,2),LEFT(C132,2)), "dd/mm/yy"), ""), "")</f>
        <v>20/05/23</v>
      </c>
      <c r="L132" t="s">
        <v>38</v>
      </c>
      <c r="M132" t="s">
        <v>48</v>
      </c>
      <c r="N132" t="s">
        <v>188</v>
      </c>
      <c r="O132" t="s">
        <v>169</v>
      </c>
      <c r="P132">
        <v>23190354</v>
      </c>
      <c r="Q132" t="s">
        <v>186</v>
      </c>
      <c r="R132" t="s">
        <v>187</v>
      </c>
      <c r="S132">
        <v>2000</v>
      </c>
      <c r="T132">
        <v>126</v>
      </c>
      <c r="U132">
        <v>252000</v>
      </c>
      <c r="V132" t="str">
        <f t="shared" si="49"/>
        <v>Accepted</v>
      </c>
      <c r="W132">
        <f>IFERROR(VLOOKUP(N132, Payment_Terms!A:B, 2, FALSE), "Payment term not found!")</f>
        <v>30</v>
      </c>
      <c r="X132" t="str">
        <f>IFERROR(VLOOKUP(R132, Item_Category!A:B, 2, FALSE), "Uncategorized")</f>
        <v>Liner</v>
      </c>
      <c r="Y132" s="5">
        <f t="shared" si="36"/>
        <v>0</v>
      </c>
      <c r="Z132">
        <f t="shared" si="37"/>
        <v>5</v>
      </c>
      <c r="AA132">
        <f t="shared" si="38"/>
        <v>5</v>
      </c>
      <c r="AB132">
        <f t="shared" si="39"/>
        <v>3</v>
      </c>
      <c r="AC132" s="10">
        <f t="shared" si="40"/>
        <v>15</v>
      </c>
      <c r="AD132" s="5">
        <f t="shared" si="41"/>
        <v>1</v>
      </c>
      <c r="AE132" s="5">
        <f t="shared" si="42"/>
        <v>1</v>
      </c>
      <c r="AF132" s="5">
        <f t="shared" si="43"/>
        <v>0</v>
      </c>
      <c r="AG132">
        <f>IF(B132&lt;&gt;"", COUNTIFS($B$2:B132, B132), "")</f>
        <v>2</v>
      </c>
      <c r="AH132">
        <f t="shared" si="44"/>
        <v>5</v>
      </c>
      <c r="AI132" t="str">
        <f>VLOOKUP(B132, Currency!A:B, 2, FALSE)</f>
        <v>INR</v>
      </c>
      <c r="AJ132">
        <f t="shared" si="45"/>
        <v>5</v>
      </c>
      <c r="AK132">
        <f t="shared" si="46"/>
        <v>5</v>
      </c>
      <c r="AL132" t="str">
        <f t="shared" si="47"/>
        <v>May</v>
      </c>
      <c r="AM132">
        <f t="shared" si="50"/>
        <v>2023</v>
      </c>
      <c r="AN132" t="str">
        <f t="shared" si="48"/>
        <v>30Foldpack India Private Limited</v>
      </c>
      <c r="AO132">
        <f>IF(COUNTIF($AN$2:AN132, AN132)=1, 1, 0)</f>
        <v>0</v>
      </c>
      <c r="AP132" t="str">
        <f t="shared" si="51"/>
        <v>&gt;3</v>
      </c>
      <c r="AQ132" t="str">
        <f t="shared" si="52"/>
        <v>&gt;3</v>
      </c>
      <c r="AR132" t="str">
        <f t="shared" si="53"/>
        <v>&lt;=3</v>
      </c>
    </row>
    <row r="133" spans="1:44" x14ac:dyDescent="0.3">
      <c r="A133" t="s">
        <v>33</v>
      </c>
      <c r="B133" t="s">
        <v>34</v>
      </c>
      <c r="C133" t="s">
        <v>117</v>
      </c>
      <c r="D133">
        <v>2900</v>
      </c>
      <c r="E133">
        <v>23120084</v>
      </c>
      <c r="F133" t="s">
        <v>240</v>
      </c>
      <c r="G133" t="s">
        <v>241</v>
      </c>
      <c r="H133">
        <v>5000</v>
      </c>
      <c r="I133">
        <v>33.75</v>
      </c>
      <c r="J133">
        <v>168750</v>
      </c>
      <c r="K133" s="7" t="str">
        <f>IFERROR(IF(B133&lt;&gt;"", TEXT(VLOOKUP(B133, 'Expected Date'!A:B, 2, FALSE) + DATE(RIGHT(C133,2),MID(C133,4,2),LEFT(C133,2)), "dd/mm/yy"), ""), "")</f>
        <v>17/07/23</v>
      </c>
      <c r="L133" t="s">
        <v>38</v>
      </c>
      <c r="M133" t="s">
        <v>39</v>
      </c>
      <c r="N133" t="s">
        <v>40</v>
      </c>
      <c r="O133" t="s">
        <v>203</v>
      </c>
      <c r="P133">
        <v>23190653</v>
      </c>
      <c r="Q133" t="s">
        <v>240</v>
      </c>
      <c r="R133" t="s">
        <v>241</v>
      </c>
      <c r="S133">
        <v>5000</v>
      </c>
      <c r="T133">
        <v>33.75</v>
      </c>
      <c r="U133">
        <v>168750</v>
      </c>
      <c r="V133" t="str">
        <f t="shared" si="49"/>
        <v>Accepted</v>
      </c>
      <c r="W133">
        <f>IFERROR(VLOOKUP(N133, Payment_Terms!A:B, 2, FALSE), "Payment term not found!")</f>
        <v>30</v>
      </c>
      <c r="X133" t="str">
        <f>IFERROR(VLOOKUP(R133, Item_Category!A:B, 2, FALSE), "Uncategorized")</f>
        <v>Bags</v>
      </c>
      <c r="Y133" s="5">
        <f t="shared" si="36"/>
        <v>0</v>
      </c>
      <c r="Z133">
        <f t="shared" si="37"/>
        <v>5</v>
      </c>
      <c r="AA133">
        <f t="shared" si="38"/>
        <v>-1</v>
      </c>
      <c r="AB133">
        <f t="shared" si="39"/>
        <v>5</v>
      </c>
      <c r="AC133" s="10">
        <f t="shared" si="40"/>
        <v>9</v>
      </c>
      <c r="AD133" s="5">
        <f t="shared" si="41"/>
        <v>1</v>
      </c>
      <c r="AE133" s="5">
        <f t="shared" si="42"/>
        <v>1</v>
      </c>
      <c r="AF133" s="5">
        <f t="shared" si="43"/>
        <v>0</v>
      </c>
      <c r="AG133">
        <f>IF(B133&lt;&gt;"", COUNTIFS($B$2:B133, B133), "")</f>
        <v>14</v>
      </c>
      <c r="AH133">
        <f t="shared" si="44"/>
        <v>5</v>
      </c>
      <c r="AI133" t="str">
        <f>VLOOKUP(B133, Currency!A:B, 2, FALSE)</f>
        <v>INR</v>
      </c>
      <c r="AJ133">
        <f t="shared" si="45"/>
        <v>5</v>
      </c>
      <c r="AK133">
        <f t="shared" si="46"/>
        <v>7</v>
      </c>
      <c r="AL133" t="str">
        <f t="shared" si="47"/>
        <v>July</v>
      </c>
      <c r="AM133">
        <f t="shared" si="50"/>
        <v>2023</v>
      </c>
      <c r="AN133" t="str">
        <f t="shared" si="48"/>
        <v>30Ami Enterprises</v>
      </c>
      <c r="AO133">
        <f>IF(COUNTIF($AN$2:AN133, AN133)=1, 1, 0)</f>
        <v>0</v>
      </c>
      <c r="AP133" t="str">
        <f t="shared" si="51"/>
        <v>&gt;3</v>
      </c>
      <c r="AQ133" t="str">
        <f t="shared" si="52"/>
        <v>&gt;3</v>
      </c>
      <c r="AR133" t="str">
        <f t="shared" si="53"/>
        <v>&gt;3</v>
      </c>
    </row>
    <row r="134" spans="1:44" x14ac:dyDescent="0.3">
      <c r="A134" t="s">
        <v>95</v>
      </c>
      <c r="B134" t="s">
        <v>242</v>
      </c>
      <c r="C134" t="s">
        <v>161</v>
      </c>
      <c r="D134">
        <v>2279</v>
      </c>
      <c r="E134">
        <v>23120037</v>
      </c>
      <c r="F134" t="s">
        <v>243</v>
      </c>
      <c r="G134" t="s">
        <v>244</v>
      </c>
      <c r="H134">
        <v>55</v>
      </c>
      <c r="I134">
        <v>780</v>
      </c>
      <c r="J134">
        <v>3498495</v>
      </c>
      <c r="K134" s="7" t="str">
        <f>IFERROR(IF(B134&lt;&gt;"", TEXT(VLOOKUP(B134, 'Expected Date'!A:B, 2, FALSE) + DATE(RIGHT(C134,2),MID(C134,4,2),LEFT(C134,2)), "dd/mm/yy"), ""), "")</f>
        <v>02/08/23</v>
      </c>
      <c r="L134" t="s">
        <v>68</v>
      </c>
      <c r="M134" t="str">
        <f>M47</f>
        <v>MT</v>
      </c>
      <c r="N134" t="s">
        <v>245</v>
      </c>
      <c r="O134" t="s">
        <v>116</v>
      </c>
      <c r="P134">
        <v>23190654</v>
      </c>
      <c r="Q134" t="s">
        <v>243</v>
      </c>
      <c r="R134" t="s">
        <v>244</v>
      </c>
      <c r="S134">
        <v>52.22</v>
      </c>
      <c r="T134">
        <v>780</v>
      </c>
      <c r="U134">
        <v>3321661.98</v>
      </c>
      <c r="V134" t="str">
        <f t="shared" si="49"/>
        <v>Accepted</v>
      </c>
      <c r="W134">
        <f>IFERROR(VLOOKUP(N134, Payment_Terms!A:B, 2, FALSE), "Payment term not found!")</f>
        <v>0</v>
      </c>
      <c r="X134" t="str">
        <f>IFERROR(VLOOKUP(R134, Item_Category!A:B, 2, FALSE), "Uncategorized")</f>
        <v>Wood pulp</v>
      </c>
      <c r="Y134" s="5">
        <f t="shared" si="36"/>
        <v>5.0545454545454567E-2</v>
      </c>
      <c r="Z134">
        <f t="shared" si="37"/>
        <v>2</v>
      </c>
      <c r="AA134">
        <f t="shared" si="38"/>
        <v>-15</v>
      </c>
      <c r="AB134">
        <f t="shared" si="39"/>
        <v>5</v>
      </c>
      <c r="AC134" s="10">
        <f t="shared" si="40"/>
        <v>45</v>
      </c>
      <c r="AD134" s="5">
        <f t="shared" si="41"/>
        <v>1</v>
      </c>
      <c r="AE134" s="5">
        <f t="shared" si="42"/>
        <v>1</v>
      </c>
      <c r="AF134" s="5">
        <f t="shared" si="43"/>
        <v>0</v>
      </c>
      <c r="AG134">
        <f>IF(B134&lt;&gt;"", COUNTIFS($B$2:B134, B134), "")</f>
        <v>1</v>
      </c>
      <c r="AH134">
        <f t="shared" si="44"/>
        <v>5</v>
      </c>
      <c r="AI134" t="str">
        <f>VLOOKUP(B134, Currency!A:B, 2, FALSE)</f>
        <v>USD</v>
      </c>
      <c r="AJ134">
        <f t="shared" si="45"/>
        <v>5</v>
      </c>
      <c r="AK134">
        <f t="shared" si="46"/>
        <v>6</v>
      </c>
      <c r="AL134" t="str">
        <f t="shared" si="47"/>
        <v>June</v>
      </c>
      <c r="AM134">
        <f t="shared" si="50"/>
        <v>2023</v>
      </c>
      <c r="AN134" t="str">
        <f t="shared" si="48"/>
        <v>0G.A.Paper International Inc.</v>
      </c>
      <c r="AO134">
        <f>IF(COUNTIF($AN$2:AN134, AN134)=1, 1, 0)</f>
        <v>1</v>
      </c>
      <c r="AP134" t="str">
        <f t="shared" si="51"/>
        <v>&gt;3</v>
      </c>
      <c r="AQ134" t="str">
        <f t="shared" si="52"/>
        <v>&lt;=3</v>
      </c>
      <c r="AR134" t="str">
        <f t="shared" si="53"/>
        <v>&gt;3</v>
      </c>
    </row>
    <row r="135" spans="1:44" x14ac:dyDescent="0.3">
      <c r="A135" t="s">
        <v>33</v>
      </c>
      <c r="B135" t="s">
        <v>185</v>
      </c>
      <c r="C135" t="s">
        <v>226</v>
      </c>
      <c r="D135">
        <v>4293</v>
      </c>
      <c r="E135">
        <v>23120118</v>
      </c>
      <c r="F135" t="s">
        <v>186</v>
      </c>
      <c r="G135" t="s">
        <v>187</v>
      </c>
      <c r="H135">
        <v>2000</v>
      </c>
      <c r="I135">
        <v>124</v>
      </c>
      <c r="J135">
        <v>248000</v>
      </c>
      <c r="K135" s="7" t="str">
        <f>IFERROR(IF(B135&lt;&gt;"", TEXT(VLOOKUP(B135, 'Expected Date'!A:B, 2, FALSE) + DATE(RIGHT(C135,2),MID(C135,4,2),LEFT(C135,2)), "dd/mm/yy"), ""), "")</f>
        <v>21/09/23</v>
      </c>
      <c r="L135" t="s">
        <v>68</v>
      </c>
      <c r="M135" t="s">
        <v>48</v>
      </c>
      <c r="N135" t="s">
        <v>188</v>
      </c>
      <c r="O135" t="s">
        <v>246</v>
      </c>
      <c r="P135">
        <v>23191055</v>
      </c>
      <c r="Q135" t="s">
        <v>186</v>
      </c>
      <c r="R135" t="s">
        <v>187</v>
      </c>
      <c r="S135">
        <v>450</v>
      </c>
      <c r="T135">
        <v>124</v>
      </c>
      <c r="U135">
        <v>55800</v>
      </c>
      <c r="V135" t="str">
        <f t="shared" si="49"/>
        <v>Accepted</v>
      </c>
      <c r="W135">
        <f>IFERROR(VLOOKUP(N135, Payment_Terms!A:B, 2, FALSE), "Payment term not found!")</f>
        <v>30</v>
      </c>
      <c r="X135" t="str">
        <f>IFERROR(VLOOKUP(R135, Item_Category!A:B, 2, FALSE), "Uncategorized")</f>
        <v>Liner</v>
      </c>
      <c r="Y135" s="5">
        <f t="shared" si="36"/>
        <v>5.4999999999999997E-3</v>
      </c>
      <c r="Z135">
        <f t="shared" si="37"/>
        <v>4</v>
      </c>
      <c r="AA135">
        <f t="shared" si="38"/>
        <v>-9</v>
      </c>
      <c r="AB135">
        <f t="shared" si="39"/>
        <v>5</v>
      </c>
      <c r="AC135" s="10">
        <f t="shared" si="40"/>
        <v>1</v>
      </c>
      <c r="AD135" s="5">
        <f t="shared" si="41"/>
        <v>1</v>
      </c>
      <c r="AE135" s="5">
        <f t="shared" si="42"/>
        <v>1</v>
      </c>
      <c r="AF135" s="5">
        <f t="shared" si="43"/>
        <v>0</v>
      </c>
      <c r="AG135">
        <f>IF(B135&lt;&gt;"", COUNTIFS($B$2:B135, B135), "")</f>
        <v>3</v>
      </c>
      <c r="AH135">
        <f t="shared" si="44"/>
        <v>5</v>
      </c>
      <c r="AI135" t="str">
        <f>VLOOKUP(B135, Currency!A:B, 2, FALSE)</f>
        <v>INR</v>
      </c>
      <c r="AJ135">
        <f t="shared" si="45"/>
        <v>5</v>
      </c>
      <c r="AK135">
        <f t="shared" si="46"/>
        <v>9</v>
      </c>
      <c r="AL135" t="str">
        <f t="shared" si="47"/>
        <v>September</v>
      </c>
      <c r="AM135">
        <f t="shared" si="50"/>
        <v>2023</v>
      </c>
      <c r="AN135" t="str">
        <f t="shared" si="48"/>
        <v>30SAI RAM FOOD GRADE PACKAGING INDUSTRIES</v>
      </c>
      <c r="AO135">
        <f>IF(COUNTIF($AN$2:AN135, AN135)=1, 1, 0)</f>
        <v>0</v>
      </c>
      <c r="AP135" t="str">
        <f t="shared" si="51"/>
        <v>&gt;3</v>
      </c>
      <c r="AQ135" t="str">
        <f t="shared" si="52"/>
        <v>&gt;3</v>
      </c>
      <c r="AR135" t="str">
        <f t="shared" si="53"/>
        <v>&gt;3</v>
      </c>
    </row>
    <row r="136" spans="1:44" x14ac:dyDescent="0.3">
      <c r="A136" t="s">
        <v>33</v>
      </c>
      <c r="B136" t="s">
        <v>64</v>
      </c>
      <c r="C136" t="s">
        <v>105</v>
      </c>
      <c r="D136">
        <v>4033</v>
      </c>
      <c r="E136">
        <v>23120111</v>
      </c>
      <c r="F136" t="s">
        <v>125</v>
      </c>
      <c r="G136" t="s">
        <v>126</v>
      </c>
      <c r="H136">
        <v>4000</v>
      </c>
      <c r="I136">
        <v>22.5</v>
      </c>
      <c r="J136">
        <v>90000</v>
      </c>
      <c r="K136" s="7" t="str">
        <f>IFERROR(IF(B136&lt;&gt;"", TEXT(VLOOKUP(B136, 'Expected Date'!A:B, 2, FALSE) + DATE(RIGHT(C136,2),MID(C136,4,2),LEFT(C136,2)), "dd/mm/yy"), ""), "")</f>
        <v>04/09/23</v>
      </c>
      <c r="L136" t="s">
        <v>68</v>
      </c>
      <c r="M136" t="s">
        <v>39</v>
      </c>
      <c r="N136" t="s">
        <v>69</v>
      </c>
      <c r="O136" t="s">
        <v>206</v>
      </c>
      <c r="P136">
        <v>23191059</v>
      </c>
      <c r="Q136" t="s">
        <v>125</v>
      </c>
      <c r="R136" t="s">
        <v>126</v>
      </c>
      <c r="S136">
        <v>3950</v>
      </c>
      <c r="T136">
        <v>22.5</v>
      </c>
      <c r="U136">
        <v>88875</v>
      </c>
      <c r="V136" t="str">
        <f t="shared" si="49"/>
        <v>Accepted</v>
      </c>
      <c r="W136">
        <f>IFERROR(VLOOKUP(N136, Payment_Terms!A:B, 2, FALSE), "Payment term not found!")</f>
        <v>30</v>
      </c>
      <c r="X136" t="str">
        <f>IFERROR(VLOOKUP(R136, Item_Category!A:B, 2, FALSE), "Uncategorized")</f>
        <v>Bags</v>
      </c>
      <c r="Y136" s="5">
        <f t="shared" si="36"/>
        <v>1.2500000000000001E-2</v>
      </c>
      <c r="Z136">
        <f t="shared" si="37"/>
        <v>4</v>
      </c>
      <c r="AA136">
        <f t="shared" si="38"/>
        <v>9</v>
      </c>
      <c r="AB136">
        <f t="shared" si="39"/>
        <v>2</v>
      </c>
      <c r="AC136" s="10">
        <f t="shared" si="40"/>
        <v>19</v>
      </c>
      <c r="AD136" s="5">
        <f t="shared" si="41"/>
        <v>1</v>
      </c>
      <c r="AE136" s="5">
        <f t="shared" si="42"/>
        <v>1</v>
      </c>
      <c r="AF136" s="5">
        <f t="shared" si="43"/>
        <v>0</v>
      </c>
      <c r="AG136">
        <f>IF(B136&lt;&gt;"", COUNTIFS($B$2:B136, B136), "")</f>
        <v>14</v>
      </c>
      <c r="AH136">
        <f t="shared" si="44"/>
        <v>5</v>
      </c>
      <c r="AI136" t="str">
        <f>VLOOKUP(B136, Currency!A:B, 2, FALSE)</f>
        <v>INR</v>
      </c>
      <c r="AJ136">
        <f t="shared" si="45"/>
        <v>4</v>
      </c>
      <c r="AK136">
        <f t="shared" si="46"/>
        <v>8</v>
      </c>
      <c r="AL136" t="str">
        <f t="shared" si="47"/>
        <v>August</v>
      </c>
      <c r="AM136">
        <f t="shared" si="50"/>
        <v>2023</v>
      </c>
      <c r="AN136" t="str">
        <f t="shared" si="48"/>
        <v>30Epic Polymers</v>
      </c>
      <c r="AO136">
        <f>IF(COUNTIF($AN$2:AN136, AN136)=1, 1, 0)</f>
        <v>0</v>
      </c>
      <c r="AP136" t="str">
        <f t="shared" si="51"/>
        <v>&gt;3</v>
      </c>
      <c r="AQ136" t="str">
        <f t="shared" si="52"/>
        <v>&gt;3</v>
      </c>
      <c r="AR136" t="str">
        <f t="shared" si="53"/>
        <v>&lt;=3</v>
      </c>
    </row>
    <row r="137" spans="1:44" x14ac:dyDescent="0.3">
      <c r="A137" t="str">
        <f>A110</f>
        <v>Woodpulp</v>
      </c>
      <c r="B137" t="s">
        <v>140</v>
      </c>
      <c r="C137" t="s">
        <v>193</v>
      </c>
      <c r="D137">
        <v>3155</v>
      </c>
      <c r="E137">
        <v>23120090</v>
      </c>
      <c r="F137" t="s">
        <v>142</v>
      </c>
      <c r="G137" t="s">
        <v>360</v>
      </c>
      <c r="H137">
        <v>125</v>
      </c>
      <c r="I137">
        <v>830</v>
      </c>
      <c r="J137">
        <v>8460812.5</v>
      </c>
      <c r="K137" s="7" t="str">
        <f>IFERROR(IF(B137&lt;&gt;"", TEXT(VLOOKUP(B137, 'Expected Date'!A:B, 2, FALSE) + DATE(RIGHT(C137,2),MID(C137,4,2),LEFT(C137,2)), "dd/mm/yy"), ""), "")</f>
        <v>31/08/23</v>
      </c>
      <c r="L137" t="s">
        <v>68</v>
      </c>
      <c r="M137" t="str">
        <f>M47</f>
        <v>MT</v>
      </c>
      <c r="N137" t="s">
        <v>190</v>
      </c>
      <c r="O137" t="s">
        <v>247</v>
      </c>
      <c r="P137">
        <v>23191249</v>
      </c>
      <c r="Q137" t="s">
        <v>142</v>
      </c>
      <c r="R137" t="s">
        <v>143</v>
      </c>
      <c r="S137">
        <v>122.361</v>
      </c>
      <c r="T137">
        <v>830</v>
      </c>
      <c r="U137">
        <v>8358357.5499999998</v>
      </c>
      <c r="V137" t="str">
        <f t="shared" si="49"/>
        <v>Accepted</v>
      </c>
      <c r="W137">
        <f>IFERROR(VLOOKUP(N137, Payment_Terms!A:B, 2, FALSE), "Payment term not found!")</f>
        <v>0</v>
      </c>
      <c r="X137" t="str">
        <f>IFERROR(VLOOKUP(R137, Item_Category!A:B, 2, FALSE), "Uncategorized")</f>
        <v>Wood pulp</v>
      </c>
      <c r="Y137" s="5">
        <f t="shared" si="36"/>
        <v>2.1111999999999968E-2</v>
      </c>
      <c r="Z137">
        <f t="shared" si="37"/>
        <v>3</v>
      </c>
      <c r="AA137">
        <f t="shared" si="38"/>
        <v>35</v>
      </c>
      <c r="AB137">
        <f t="shared" si="39"/>
        <v>1</v>
      </c>
      <c r="AC137" s="10">
        <f t="shared" si="40"/>
        <v>80</v>
      </c>
      <c r="AD137" s="5">
        <f t="shared" si="41"/>
        <v>1</v>
      </c>
      <c r="AE137" s="5">
        <f t="shared" si="42"/>
        <v>1</v>
      </c>
      <c r="AF137" s="5">
        <f t="shared" si="43"/>
        <v>0</v>
      </c>
      <c r="AG137">
        <f>IF(B137&lt;&gt;"", COUNTIFS($B$2:B137, B137), "")</f>
        <v>9</v>
      </c>
      <c r="AH137">
        <f t="shared" si="44"/>
        <v>5</v>
      </c>
      <c r="AI137" t="str">
        <f>VLOOKUP(B137, Currency!A:B, 2, FALSE)</f>
        <v>USD</v>
      </c>
      <c r="AJ137">
        <f t="shared" si="45"/>
        <v>4</v>
      </c>
      <c r="AK137">
        <f t="shared" si="46"/>
        <v>7</v>
      </c>
      <c r="AL137" t="str">
        <f t="shared" si="47"/>
        <v>July</v>
      </c>
      <c r="AM137">
        <f t="shared" si="50"/>
        <v>2023</v>
      </c>
      <c r="AN137" t="str">
        <f t="shared" si="48"/>
        <v>0Sappi Paper Holdings GMBH</v>
      </c>
      <c r="AO137">
        <f>IF(COUNTIF($AN$2:AN137, AN137)=1, 1, 0)</f>
        <v>0</v>
      </c>
      <c r="AP137" t="str">
        <f t="shared" si="51"/>
        <v>&gt;3</v>
      </c>
      <c r="AQ137" t="str">
        <f t="shared" si="52"/>
        <v>&lt;=3</v>
      </c>
      <c r="AR137" t="str">
        <f t="shared" si="53"/>
        <v>&lt;=3</v>
      </c>
    </row>
    <row r="138" spans="1:44" x14ac:dyDescent="0.3">
      <c r="A138" t="s">
        <v>33</v>
      </c>
      <c r="B138" t="s">
        <v>73</v>
      </c>
      <c r="C138" t="s">
        <v>108</v>
      </c>
      <c r="D138">
        <v>1808</v>
      </c>
      <c r="E138">
        <v>23120022</v>
      </c>
      <c r="F138" t="s">
        <v>75</v>
      </c>
      <c r="G138" t="s">
        <v>76</v>
      </c>
      <c r="H138">
        <v>1600</v>
      </c>
      <c r="I138">
        <v>900</v>
      </c>
      <c r="J138">
        <v>1440000</v>
      </c>
      <c r="K138" s="7" t="str">
        <f>IFERROR(IF(B138&lt;&gt;"", TEXT(VLOOKUP(B138, 'Expected Date'!A:B, 2, FALSE) + DATE(RIGHT(C138,2),MID(C138,4,2),LEFT(C138,2)), "dd/mm/yy"), ""), "")</f>
        <v>30/05/23</v>
      </c>
      <c r="L138" t="s">
        <v>38</v>
      </c>
      <c r="M138" t="s">
        <v>39</v>
      </c>
      <c r="N138" t="s">
        <v>77</v>
      </c>
      <c r="O138" t="s">
        <v>162</v>
      </c>
      <c r="P138">
        <v>23190517</v>
      </c>
      <c r="Q138" t="s">
        <v>75</v>
      </c>
      <c r="R138" t="s">
        <v>76</v>
      </c>
      <c r="S138">
        <v>400</v>
      </c>
      <c r="T138">
        <v>900</v>
      </c>
      <c r="U138">
        <v>360000</v>
      </c>
      <c r="V138" t="str">
        <f t="shared" si="49"/>
        <v>Accepted</v>
      </c>
      <c r="W138">
        <f>IFERROR(VLOOKUP(N138, Payment_Terms!A:B, 2, FALSE), "Payment term not found!")</f>
        <v>0</v>
      </c>
      <c r="X138" t="str">
        <f>IFERROR(VLOOKUP(R138, Item_Category!A:B, 2, FALSE), "Uncategorized")</f>
        <v>Pallets</v>
      </c>
      <c r="Y138" s="5">
        <f t="shared" si="36"/>
        <v>0</v>
      </c>
      <c r="Z138">
        <f t="shared" si="37"/>
        <v>5</v>
      </c>
      <c r="AA138">
        <f t="shared" si="38"/>
        <v>30</v>
      </c>
      <c r="AB138">
        <f t="shared" si="39"/>
        <v>1</v>
      </c>
      <c r="AC138" s="10">
        <f t="shared" si="40"/>
        <v>50</v>
      </c>
      <c r="AD138" s="5">
        <f t="shared" si="41"/>
        <v>1</v>
      </c>
      <c r="AE138" s="5">
        <f t="shared" si="42"/>
        <v>1</v>
      </c>
      <c r="AF138" s="5">
        <f t="shared" si="43"/>
        <v>0</v>
      </c>
      <c r="AG138">
        <f>IF(B138&lt;&gt;"", COUNTIFS($B$2:B138, B138), "")</f>
        <v>7</v>
      </c>
      <c r="AH138">
        <f t="shared" si="44"/>
        <v>5</v>
      </c>
      <c r="AI138" t="str">
        <f>VLOOKUP(B138, Currency!A:B, 2, FALSE)</f>
        <v>INR</v>
      </c>
      <c r="AJ138">
        <f t="shared" si="45"/>
        <v>4</v>
      </c>
      <c r="AK138">
        <f t="shared" si="46"/>
        <v>5</v>
      </c>
      <c r="AL138" t="str">
        <f t="shared" si="47"/>
        <v>May</v>
      </c>
      <c r="AM138">
        <f t="shared" si="50"/>
        <v>2023</v>
      </c>
      <c r="AN138" t="str">
        <f t="shared" si="48"/>
        <v>0Nilkamal Limited</v>
      </c>
      <c r="AO138">
        <f>IF(COUNTIF($AN$2:AN138, AN138)=1, 1, 0)</f>
        <v>0</v>
      </c>
      <c r="AP138" t="str">
        <f t="shared" si="51"/>
        <v>&gt;3</v>
      </c>
      <c r="AQ138" t="str">
        <f t="shared" si="52"/>
        <v>&gt;3</v>
      </c>
      <c r="AR138" t="str">
        <f t="shared" si="53"/>
        <v>&lt;=3</v>
      </c>
    </row>
    <row r="139" spans="1:44" x14ac:dyDescent="0.3">
      <c r="A139" t="s">
        <v>33</v>
      </c>
      <c r="B139" t="s">
        <v>248</v>
      </c>
      <c r="C139" t="s">
        <v>249</v>
      </c>
      <c r="D139">
        <v>2550</v>
      </c>
      <c r="E139">
        <v>23120050</v>
      </c>
      <c r="F139" t="s">
        <v>250</v>
      </c>
      <c r="G139" t="s">
        <v>251</v>
      </c>
      <c r="H139">
        <v>800</v>
      </c>
      <c r="I139">
        <v>390</v>
      </c>
      <c r="J139">
        <v>312000</v>
      </c>
      <c r="K139" s="7" t="str">
        <f>IFERROR(IF(B139&lt;&gt;"", TEXT(VLOOKUP(B139, 'Expected Date'!A:B, 2, FALSE) + DATE(RIGHT(C139,2),MID(C139,4,2),LEFT(C139,2)), "dd/mm/yy"), ""), "")</f>
        <v>01/07/23</v>
      </c>
      <c r="L139" t="s">
        <v>38</v>
      </c>
      <c r="M139" t="s">
        <v>39</v>
      </c>
      <c r="N139" t="s">
        <v>109</v>
      </c>
      <c r="O139" t="s">
        <v>252</v>
      </c>
      <c r="P139">
        <v>23190518</v>
      </c>
      <c r="Q139" t="s">
        <v>250</v>
      </c>
      <c r="R139" t="s">
        <v>251</v>
      </c>
      <c r="S139">
        <v>408</v>
      </c>
      <c r="T139">
        <v>390</v>
      </c>
      <c r="U139">
        <v>159120</v>
      </c>
      <c r="V139" t="str">
        <f t="shared" si="49"/>
        <v>Accepted</v>
      </c>
      <c r="W139">
        <f>IFERROR(VLOOKUP(N139, Payment_Terms!A:B, 2, FALSE), "Payment term not found!")</f>
        <v>0</v>
      </c>
      <c r="X139" t="str">
        <f>IFERROR(VLOOKUP(R139, Item_Category!A:B, 2, FALSE), "Uncategorized")</f>
        <v>HDPE</v>
      </c>
      <c r="Y139" s="5">
        <f t="shared" si="36"/>
        <v>0</v>
      </c>
      <c r="Z139">
        <f t="shared" si="37"/>
        <v>5</v>
      </c>
      <c r="AA139">
        <f t="shared" si="38"/>
        <v>-1</v>
      </c>
      <c r="AB139">
        <f t="shared" si="39"/>
        <v>5</v>
      </c>
      <c r="AC139" s="10">
        <f t="shared" si="40"/>
        <v>9</v>
      </c>
      <c r="AD139" s="5">
        <f t="shared" si="41"/>
        <v>1</v>
      </c>
      <c r="AE139" s="5">
        <f t="shared" si="42"/>
        <v>1</v>
      </c>
      <c r="AF139" s="5">
        <f t="shared" si="43"/>
        <v>0</v>
      </c>
      <c r="AG139">
        <f>IF(B139&lt;&gt;"", COUNTIFS($B$2:B139, B139), "")</f>
        <v>1</v>
      </c>
      <c r="AH139">
        <f t="shared" si="44"/>
        <v>5</v>
      </c>
      <c r="AI139" t="str">
        <f>VLOOKUP(B139, Currency!A:B, 2, FALSE)</f>
        <v>INR</v>
      </c>
      <c r="AJ139">
        <f t="shared" si="45"/>
        <v>5</v>
      </c>
      <c r="AK139">
        <f t="shared" si="46"/>
        <v>6</v>
      </c>
      <c r="AL139" t="str">
        <f t="shared" si="47"/>
        <v>June</v>
      </c>
      <c r="AM139">
        <f t="shared" si="50"/>
        <v>2023</v>
      </c>
      <c r="AN139" t="str">
        <f t="shared" si="48"/>
        <v>0Sanjay Chem Products</v>
      </c>
      <c r="AO139">
        <f>IF(COUNTIF($AN$2:AN139, AN139)=1, 1, 0)</f>
        <v>1</v>
      </c>
      <c r="AP139" t="str">
        <f t="shared" si="51"/>
        <v>&gt;3</v>
      </c>
      <c r="AQ139" t="str">
        <f t="shared" si="52"/>
        <v>&gt;3</v>
      </c>
      <c r="AR139" t="str">
        <f t="shared" si="53"/>
        <v>&gt;3</v>
      </c>
    </row>
    <row r="140" spans="1:44" x14ac:dyDescent="0.3">
      <c r="A140" t="s">
        <v>33</v>
      </c>
      <c r="B140" t="s">
        <v>157</v>
      </c>
      <c r="C140" t="s">
        <v>194</v>
      </c>
      <c r="D140">
        <v>4637</v>
      </c>
      <c r="E140">
        <v>23120136</v>
      </c>
      <c r="F140" t="s">
        <v>158</v>
      </c>
      <c r="G140" t="s">
        <v>159</v>
      </c>
      <c r="H140">
        <v>2000</v>
      </c>
      <c r="I140">
        <v>265</v>
      </c>
      <c r="J140">
        <v>530000</v>
      </c>
      <c r="K140" s="7" t="str">
        <f>IFERROR(IF(B140&lt;&gt;"", TEXT(VLOOKUP(B140, 'Expected Date'!A:B, 2, FALSE) + DATE(RIGHT(C140,2),MID(C140,4,2),LEFT(C140,2)), "dd/mm/yy"), ""), "")</f>
        <v>06/10/23</v>
      </c>
      <c r="L140" t="s">
        <v>38</v>
      </c>
      <c r="M140" t="s">
        <v>48</v>
      </c>
      <c r="N140" t="s">
        <v>132</v>
      </c>
      <c r="O140" t="s">
        <v>253</v>
      </c>
      <c r="P140">
        <v>23191312</v>
      </c>
      <c r="Q140" t="s">
        <v>158</v>
      </c>
      <c r="R140" t="s">
        <v>159</v>
      </c>
      <c r="S140">
        <v>2000</v>
      </c>
      <c r="T140">
        <v>265</v>
      </c>
      <c r="U140">
        <v>530000</v>
      </c>
      <c r="V140" t="str">
        <f t="shared" si="49"/>
        <v>Accepted</v>
      </c>
      <c r="W140">
        <f>IFERROR(VLOOKUP(N140, Payment_Terms!A:B, 2, FALSE), "Payment term not found!")</f>
        <v>0</v>
      </c>
      <c r="X140" t="str">
        <f>IFERROR(VLOOKUP(R140, Item_Category!A:B, 2, FALSE), "Uncategorized")</f>
        <v>Sodium salts</v>
      </c>
      <c r="Y140" s="5">
        <f t="shared" si="36"/>
        <v>0</v>
      </c>
      <c r="Z140">
        <f t="shared" si="37"/>
        <v>5</v>
      </c>
      <c r="AA140">
        <f t="shared" si="38"/>
        <v>4</v>
      </c>
      <c r="AB140">
        <f t="shared" si="39"/>
        <v>4</v>
      </c>
      <c r="AC140" s="10">
        <f t="shared" si="40"/>
        <v>14</v>
      </c>
      <c r="AD140" s="5">
        <f t="shared" si="41"/>
        <v>1</v>
      </c>
      <c r="AE140" s="5">
        <f t="shared" si="42"/>
        <v>1</v>
      </c>
      <c r="AF140" s="5">
        <f t="shared" si="43"/>
        <v>0</v>
      </c>
      <c r="AG140">
        <f>IF(B140&lt;&gt;"", COUNTIFS($B$2:B140, B140), "")</f>
        <v>2</v>
      </c>
      <c r="AH140">
        <f t="shared" si="44"/>
        <v>5</v>
      </c>
      <c r="AI140" t="str">
        <f>VLOOKUP(B140, Currency!A:B, 2, FALSE)</f>
        <v>INR</v>
      </c>
      <c r="AJ140">
        <f t="shared" si="45"/>
        <v>5</v>
      </c>
      <c r="AK140">
        <f t="shared" si="46"/>
        <v>9</v>
      </c>
      <c r="AL140" t="str">
        <f t="shared" si="47"/>
        <v>September</v>
      </c>
      <c r="AM140">
        <f t="shared" si="50"/>
        <v>2023</v>
      </c>
      <c r="AN140" t="str">
        <f t="shared" si="48"/>
        <v>0ZED CHEM PVT LTD</v>
      </c>
      <c r="AO140">
        <f>IF(COUNTIF($AN$2:AN140, AN140)=1, 1, 0)</f>
        <v>0</v>
      </c>
      <c r="AP140" t="str">
        <f t="shared" si="51"/>
        <v>&gt;3</v>
      </c>
      <c r="AQ140" t="str">
        <f t="shared" si="52"/>
        <v>&gt;3</v>
      </c>
      <c r="AR140" t="str">
        <f t="shared" si="53"/>
        <v>&gt;3</v>
      </c>
    </row>
    <row r="141" spans="1:44" x14ac:dyDescent="0.3">
      <c r="A141" t="s">
        <v>33</v>
      </c>
      <c r="B141" t="s">
        <v>64</v>
      </c>
      <c r="C141" t="s">
        <v>228</v>
      </c>
      <c r="D141">
        <v>4548</v>
      </c>
      <c r="E141">
        <v>23120125</v>
      </c>
      <c r="F141" t="s">
        <v>218</v>
      </c>
      <c r="G141" t="s">
        <v>219</v>
      </c>
      <c r="H141">
        <v>2000</v>
      </c>
      <c r="I141">
        <v>22.5</v>
      </c>
      <c r="J141">
        <v>45000</v>
      </c>
      <c r="K141" s="7" t="str">
        <f>IFERROR(IF(B141&lt;&gt;"", TEXT(VLOOKUP(B141, 'Expected Date'!A:B, 2, FALSE) + DATE(RIGHT(C141,2),MID(C141,4,2),LEFT(C141,2)), "dd/mm/yy"), ""), "")</f>
        <v>02/10/23</v>
      </c>
      <c r="L141" t="s">
        <v>38</v>
      </c>
      <c r="M141" t="s">
        <v>39</v>
      </c>
      <c r="N141" t="s">
        <v>69</v>
      </c>
      <c r="O141" t="s">
        <v>254</v>
      </c>
      <c r="P141">
        <v>23191316</v>
      </c>
      <c r="Q141" t="s">
        <v>218</v>
      </c>
      <c r="R141" t="s">
        <v>219</v>
      </c>
      <c r="S141">
        <v>2000</v>
      </c>
      <c r="T141">
        <v>22.5</v>
      </c>
      <c r="U141">
        <v>45000</v>
      </c>
      <c r="V141" t="str">
        <f t="shared" si="49"/>
        <v>Accepted</v>
      </c>
      <c r="W141">
        <f>IFERROR(VLOOKUP(N141, Payment_Terms!A:B, 2, FALSE), "Payment term not found!")</f>
        <v>30</v>
      </c>
      <c r="X141" t="str">
        <f>IFERROR(VLOOKUP(R141, Item_Category!A:B, 2, FALSE), "Uncategorized")</f>
        <v>Bags</v>
      </c>
      <c r="Y141" s="5">
        <f t="shared" si="36"/>
        <v>0</v>
      </c>
      <c r="Z141">
        <f t="shared" si="37"/>
        <v>5</v>
      </c>
      <c r="AA141">
        <f t="shared" si="38"/>
        <v>12</v>
      </c>
      <c r="AB141">
        <f t="shared" si="39"/>
        <v>1</v>
      </c>
      <c r="AC141" s="10">
        <f t="shared" si="40"/>
        <v>22</v>
      </c>
      <c r="AD141" s="5">
        <f t="shared" si="41"/>
        <v>1</v>
      </c>
      <c r="AE141" s="5">
        <f t="shared" si="42"/>
        <v>1</v>
      </c>
      <c r="AF141" s="5">
        <f t="shared" si="43"/>
        <v>0</v>
      </c>
      <c r="AG141">
        <f>IF(B141&lt;&gt;"", COUNTIFS($B$2:B141, B141), "")</f>
        <v>15</v>
      </c>
      <c r="AH141">
        <f t="shared" si="44"/>
        <v>5</v>
      </c>
      <c r="AI141" t="str">
        <f>VLOOKUP(B141, Currency!A:B, 2, FALSE)</f>
        <v>INR</v>
      </c>
      <c r="AJ141">
        <f t="shared" si="45"/>
        <v>4</v>
      </c>
      <c r="AK141">
        <f t="shared" si="46"/>
        <v>9</v>
      </c>
      <c r="AL141" t="str">
        <f t="shared" si="47"/>
        <v>September</v>
      </c>
      <c r="AM141">
        <f t="shared" si="50"/>
        <v>2023</v>
      </c>
      <c r="AN141" t="str">
        <f t="shared" si="48"/>
        <v>30Epic Polymers</v>
      </c>
      <c r="AO141">
        <f>IF(COUNTIF($AN$2:AN141, AN141)=1, 1, 0)</f>
        <v>0</v>
      </c>
      <c r="AP141" t="str">
        <f t="shared" si="51"/>
        <v>&gt;3</v>
      </c>
      <c r="AQ141" t="str">
        <f t="shared" si="52"/>
        <v>&gt;3</v>
      </c>
      <c r="AR141" t="str">
        <f t="shared" si="53"/>
        <v>&lt;=3</v>
      </c>
    </row>
    <row r="142" spans="1:44" x14ac:dyDescent="0.3">
      <c r="A142" t="s">
        <v>33</v>
      </c>
      <c r="B142" t="s">
        <v>64</v>
      </c>
      <c r="C142" t="s">
        <v>228</v>
      </c>
      <c r="D142">
        <v>4548</v>
      </c>
      <c r="E142">
        <v>23120125</v>
      </c>
      <c r="F142" t="s">
        <v>66</v>
      </c>
      <c r="G142" t="s">
        <v>67</v>
      </c>
      <c r="H142">
        <v>4000</v>
      </c>
      <c r="I142">
        <v>22.5</v>
      </c>
      <c r="J142">
        <v>90000</v>
      </c>
      <c r="K142" s="7" t="str">
        <f>IFERROR(IF(B142&lt;&gt;"", TEXT(VLOOKUP(B142, 'Expected Date'!A:B, 2, FALSE) + DATE(RIGHT(C142,2),MID(C142,4,2),LEFT(C142,2)), "dd/mm/yy"), ""), "")</f>
        <v>02/10/23</v>
      </c>
      <c r="L142" t="s">
        <v>38</v>
      </c>
      <c r="M142" t="s">
        <v>39</v>
      </c>
      <c r="N142" t="s">
        <v>69</v>
      </c>
      <c r="O142" t="s">
        <v>254</v>
      </c>
      <c r="P142">
        <v>23191316</v>
      </c>
      <c r="Q142" t="s">
        <v>66</v>
      </c>
      <c r="R142" t="s">
        <v>67</v>
      </c>
      <c r="S142">
        <v>4450</v>
      </c>
      <c r="T142">
        <v>22.5</v>
      </c>
      <c r="U142">
        <v>100125</v>
      </c>
      <c r="V142" t="str">
        <f t="shared" si="49"/>
        <v>Accepted</v>
      </c>
      <c r="W142">
        <f>IFERROR(VLOOKUP(N142, Payment_Terms!A:B, 2, FALSE), "Payment term not found!")</f>
        <v>30</v>
      </c>
      <c r="X142" t="str">
        <f>IFERROR(VLOOKUP(R142, Item_Category!A:B, 2, FALSE), "Uncategorized")</f>
        <v>Bags</v>
      </c>
      <c r="Y142" s="5">
        <f t="shared" si="36"/>
        <v>0</v>
      </c>
      <c r="Z142">
        <f t="shared" si="37"/>
        <v>5</v>
      </c>
      <c r="AA142">
        <f t="shared" si="38"/>
        <v>12</v>
      </c>
      <c r="AB142">
        <f t="shared" si="39"/>
        <v>1</v>
      </c>
      <c r="AC142" s="10">
        <f t="shared" si="40"/>
        <v>22</v>
      </c>
      <c r="AD142" s="5">
        <f t="shared" si="41"/>
        <v>1</v>
      </c>
      <c r="AE142" s="5">
        <f t="shared" si="42"/>
        <v>1</v>
      </c>
      <c r="AF142" s="5">
        <f t="shared" si="43"/>
        <v>0</v>
      </c>
      <c r="AG142">
        <f>IF(B142&lt;&gt;"", COUNTIFS($B$2:B142, B142), "")</f>
        <v>16</v>
      </c>
      <c r="AH142">
        <f t="shared" si="44"/>
        <v>5</v>
      </c>
      <c r="AI142" t="str">
        <f>VLOOKUP(B142, Currency!A:B, 2, FALSE)</f>
        <v>INR</v>
      </c>
      <c r="AJ142">
        <f t="shared" si="45"/>
        <v>4</v>
      </c>
      <c r="AK142">
        <f t="shared" si="46"/>
        <v>9</v>
      </c>
      <c r="AL142" t="str">
        <f t="shared" si="47"/>
        <v>September</v>
      </c>
      <c r="AM142">
        <f t="shared" si="50"/>
        <v>2023</v>
      </c>
      <c r="AN142" t="str">
        <f t="shared" si="48"/>
        <v>30Epic Polymers</v>
      </c>
      <c r="AO142">
        <f>IF(COUNTIF($AN$2:AN142, AN142)=1, 1, 0)</f>
        <v>0</v>
      </c>
      <c r="AP142" t="str">
        <f t="shared" si="51"/>
        <v>&gt;3</v>
      </c>
      <c r="AQ142" t="str">
        <f t="shared" si="52"/>
        <v>&gt;3</v>
      </c>
      <c r="AR142" t="str">
        <f t="shared" si="53"/>
        <v>&lt;=3</v>
      </c>
    </row>
    <row r="143" spans="1:44" x14ac:dyDescent="0.3">
      <c r="A143" t="s">
        <v>33</v>
      </c>
      <c r="B143" t="s">
        <v>107</v>
      </c>
      <c r="C143" t="s">
        <v>231</v>
      </c>
      <c r="D143">
        <v>2383</v>
      </c>
      <c r="E143">
        <v>23120042</v>
      </c>
      <c r="F143" t="s">
        <v>255</v>
      </c>
      <c r="G143" t="s">
        <v>256</v>
      </c>
      <c r="H143">
        <v>5000</v>
      </c>
      <c r="I143">
        <v>33.799999999999997</v>
      </c>
      <c r="J143">
        <v>169000</v>
      </c>
      <c r="K143" s="7" t="str">
        <f>IFERROR(IF(B143&lt;&gt;"", TEXT(VLOOKUP(B143, 'Expected Date'!A:B, 2, FALSE) + DATE(RIGHT(C143,2),MID(C143,4,2),LEFT(C143,2)), "dd/mm/yy"), ""), "")</f>
        <v>19/06/23</v>
      </c>
      <c r="L143" t="s">
        <v>38</v>
      </c>
      <c r="M143" t="s">
        <v>39</v>
      </c>
      <c r="N143" t="s">
        <v>109</v>
      </c>
      <c r="O143" t="s">
        <v>257</v>
      </c>
      <c r="P143">
        <v>23190503</v>
      </c>
      <c r="Q143" t="s">
        <v>255</v>
      </c>
      <c r="R143" t="s">
        <v>256</v>
      </c>
      <c r="S143">
        <v>2250</v>
      </c>
      <c r="T143">
        <v>33.799999999999997</v>
      </c>
      <c r="U143">
        <v>76050</v>
      </c>
      <c r="V143" t="str">
        <f t="shared" si="49"/>
        <v>Accepted</v>
      </c>
      <c r="W143">
        <f>IFERROR(VLOOKUP(N143, Payment_Terms!A:B, 2, FALSE), "Payment term not found!")</f>
        <v>0</v>
      </c>
      <c r="X143" t="str">
        <f>IFERROR(VLOOKUP(R143, Item_Category!A:B, 2, FALSE), "Uncategorized")</f>
        <v>Bags</v>
      </c>
      <c r="Y143" s="5">
        <f t="shared" si="36"/>
        <v>0</v>
      </c>
      <c r="Z143">
        <f t="shared" si="37"/>
        <v>5</v>
      </c>
      <c r="AA143">
        <f t="shared" si="38"/>
        <v>8</v>
      </c>
      <c r="AB143">
        <f t="shared" si="39"/>
        <v>2</v>
      </c>
      <c r="AC143" s="10">
        <f t="shared" si="40"/>
        <v>18</v>
      </c>
      <c r="AD143" s="5">
        <f t="shared" si="41"/>
        <v>1</v>
      </c>
      <c r="AE143" s="5">
        <f t="shared" si="42"/>
        <v>1</v>
      </c>
      <c r="AF143" s="5">
        <f t="shared" si="43"/>
        <v>0</v>
      </c>
      <c r="AG143">
        <f>IF(B143&lt;&gt;"", COUNTIFS($B$2:B143, B143), "")</f>
        <v>8</v>
      </c>
      <c r="AH143">
        <f t="shared" si="44"/>
        <v>5</v>
      </c>
      <c r="AI143" t="str">
        <f>VLOOKUP(B143, Currency!A:B, 2, FALSE)</f>
        <v>INR</v>
      </c>
      <c r="AJ143">
        <f t="shared" si="45"/>
        <v>5</v>
      </c>
      <c r="AK143">
        <f t="shared" si="46"/>
        <v>6</v>
      </c>
      <c r="AL143" t="str">
        <f t="shared" si="47"/>
        <v>June</v>
      </c>
      <c r="AM143">
        <f t="shared" si="50"/>
        <v>2023</v>
      </c>
      <c r="AN143" t="str">
        <f t="shared" si="48"/>
        <v>0KAPILA INDUSTRIES</v>
      </c>
      <c r="AO143">
        <f>IF(COUNTIF($AN$2:AN143, AN143)=1, 1, 0)</f>
        <v>0</v>
      </c>
      <c r="AP143" t="str">
        <f t="shared" si="51"/>
        <v>&gt;3</v>
      </c>
      <c r="AQ143" t="str">
        <f t="shared" si="52"/>
        <v>&gt;3</v>
      </c>
      <c r="AR143" t="str">
        <f t="shared" si="53"/>
        <v>&lt;=3</v>
      </c>
    </row>
    <row r="144" spans="1:44" x14ac:dyDescent="0.3">
      <c r="A144" t="s">
        <v>33</v>
      </c>
      <c r="B144" t="s">
        <v>107</v>
      </c>
      <c r="C144" t="s">
        <v>231</v>
      </c>
      <c r="D144">
        <v>2383</v>
      </c>
      <c r="E144">
        <v>23120042</v>
      </c>
      <c r="F144" t="s">
        <v>255</v>
      </c>
      <c r="G144" t="s">
        <v>256</v>
      </c>
      <c r="H144">
        <v>5000</v>
      </c>
      <c r="I144">
        <v>33.799999999999997</v>
      </c>
      <c r="J144">
        <v>169000</v>
      </c>
      <c r="K144" s="7" t="str">
        <f>IFERROR(IF(B144&lt;&gt;"", TEXT(VLOOKUP(B144, 'Expected Date'!A:B, 2, FALSE) + DATE(RIGHT(C144,2),MID(C144,4,2),LEFT(C144,2)), "dd/mm/yy"), ""), "")</f>
        <v>19/06/23</v>
      </c>
      <c r="L144" t="s">
        <v>38</v>
      </c>
      <c r="M144" t="s">
        <v>39</v>
      </c>
      <c r="N144" t="s">
        <v>109</v>
      </c>
      <c r="O144" t="s">
        <v>257</v>
      </c>
      <c r="P144">
        <v>23190504</v>
      </c>
      <c r="Q144" t="s">
        <v>255</v>
      </c>
      <c r="R144" t="s">
        <v>256</v>
      </c>
      <c r="S144">
        <v>2842</v>
      </c>
      <c r="T144">
        <v>33.799999999999997</v>
      </c>
      <c r="U144">
        <v>96059.6</v>
      </c>
      <c r="V144" t="str">
        <f t="shared" si="49"/>
        <v>Accepted</v>
      </c>
      <c r="W144">
        <f>IFERROR(VLOOKUP(N144, Payment_Terms!A:B, 2, FALSE), "Payment term not found!")</f>
        <v>0</v>
      </c>
      <c r="X144" t="str">
        <f>IFERROR(VLOOKUP(R144, Item_Category!A:B, 2, FALSE), "Uncategorized")</f>
        <v>Bags</v>
      </c>
      <c r="Y144" s="5">
        <f t="shared" si="36"/>
        <v>0</v>
      </c>
      <c r="Z144">
        <f t="shared" si="37"/>
        <v>5</v>
      </c>
      <c r="AA144">
        <f t="shared" si="38"/>
        <v>8</v>
      </c>
      <c r="AB144">
        <f t="shared" si="39"/>
        <v>2</v>
      </c>
      <c r="AC144" s="10">
        <f t="shared" si="40"/>
        <v>18</v>
      </c>
      <c r="AD144" s="5">
        <f t="shared" si="41"/>
        <v>1</v>
      </c>
      <c r="AE144" s="5">
        <f t="shared" si="42"/>
        <v>1</v>
      </c>
      <c r="AF144" s="5">
        <f t="shared" si="43"/>
        <v>0</v>
      </c>
      <c r="AG144">
        <f>IF(B144&lt;&gt;"", COUNTIFS($B$2:B144, B144), "")</f>
        <v>9</v>
      </c>
      <c r="AH144">
        <f t="shared" si="44"/>
        <v>5</v>
      </c>
      <c r="AI144" t="str">
        <f>VLOOKUP(B144, Currency!A:B, 2, FALSE)</f>
        <v>INR</v>
      </c>
      <c r="AJ144">
        <f t="shared" si="45"/>
        <v>5</v>
      </c>
      <c r="AK144">
        <f t="shared" si="46"/>
        <v>6</v>
      </c>
      <c r="AL144" t="str">
        <f t="shared" si="47"/>
        <v>June</v>
      </c>
      <c r="AM144">
        <f t="shared" si="50"/>
        <v>2023</v>
      </c>
      <c r="AN144" t="str">
        <f t="shared" si="48"/>
        <v>0KAPILA INDUSTRIES</v>
      </c>
      <c r="AO144">
        <f>IF(COUNTIF($AN$2:AN144, AN144)=1, 1, 0)</f>
        <v>0</v>
      </c>
      <c r="AP144" t="str">
        <f t="shared" si="51"/>
        <v>&gt;3</v>
      </c>
      <c r="AQ144" t="str">
        <f t="shared" si="52"/>
        <v>&gt;3</v>
      </c>
      <c r="AR144" t="str">
        <f t="shared" si="53"/>
        <v>&lt;=3</v>
      </c>
    </row>
    <row r="145" spans="1:44" x14ac:dyDescent="0.3">
      <c r="A145" t="str">
        <f>A31</f>
        <v>Woodpulp</v>
      </c>
      <c r="B145" t="s">
        <v>96</v>
      </c>
      <c r="C145" t="s">
        <v>97</v>
      </c>
      <c r="D145">
        <v>1230</v>
      </c>
      <c r="E145">
        <v>23120002</v>
      </c>
      <c r="F145" t="s">
        <v>98</v>
      </c>
      <c r="G145" t="s">
        <v>99</v>
      </c>
      <c r="H145">
        <v>75</v>
      </c>
      <c r="I145">
        <v>820</v>
      </c>
      <c r="J145">
        <v>4987650</v>
      </c>
      <c r="K145" s="7" t="str">
        <f>IFERROR(IF(B145&lt;&gt;"", TEXT(VLOOKUP(B145, 'Expected Date'!A:B, 2, FALSE) + DATE(RIGHT(C145,2),MID(C145,4,2),LEFT(C145,2)), "dd/mm/yy"), ""), "")</f>
        <v>10/06/23</v>
      </c>
      <c r="L145" t="s">
        <v>38</v>
      </c>
      <c r="M145" t="str">
        <f>M47</f>
        <v>MT</v>
      </c>
      <c r="N145" t="s">
        <v>102</v>
      </c>
      <c r="O145" t="s">
        <v>227</v>
      </c>
      <c r="P145">
        <v>23190723</v>
      </c>
      <c r="Q145" t="s">
        <v>98</v>
      </c>
      <c r="R145" t="s">
        <v>99</v>
      </c>
      <c r="S145">
        <v>77.429000000000002</v>
      </c>
      <c r="T145">
        <v>820</v>
      </c>
      <c r="U145">
        <v>5155532.54</v>
      </c>
      <c r="V145" t="str">
        <f t="shared" si="49"/>
        <v>Accepted</v>
      </c>
      <c r="W145">
        <f>IFERROR(VLOOKUP(N145, Payment_Terms!A:B, 2, FALSE), "Payment term not found!")</f>
        <v>60</v>
      </c>
      <c r="X145" t="str">
        <f>IFERROR(VLOOKUP(R145, Item_Category!A:B, 2, FALSE), "Uncategorized")</f>
        <v>Wood pulp</v>
      </c>
      <c r="Y145" s="5">
        <f t="shared" si="36"/>
        <v>0</v>
      </c>
      <c r="Z145">
        <f t="shared" si="37"/>
        <v>5</v>
      </c>
      <c r="AA145">
        <f t="shared" si="38"/>
        <v>45</v>
      </c>
      <c r="AB145">
        <f t="shared" si="39"/>
        <v>1</v>
      </c>
      <c r="AC145" s="10">
        <f t="shared" si="40"/>
        <v>105</v>
      </c>
      <c r="AD145" s="5">
        <f t="shared" si="41"/>
        <v>1</v>
      </c>
      <c r="AE145" s="5">
        <f t="shared" si="42"/>
        <v>1</v>
      </c>
      <c r="AF145" s="5">
        <f t="shared" si="43"/>
        <v>0</v>
      </c>
      <c r="AG145">
        <f>IF(B145&lt;&gt;"", COUNTIFS($B$2:B145, B145), "")</f>
        <v>2</v>
      </c>
      <c r="AH145">
        <f t="shared" si="44"/>
        <v>5</v>
      </c>
      <c r="AI145" t="str">
        <f>VLOOKUP(B145, Currency!A:B, 2, FALSE)</f>
        <v>USD</v>
      </c>
      <c r="AJ145">
        <f t="shared" si="45"/>
        <v>4</v>
      </c>
      <c r="AK145">
        <f t="shared" si="46"/>
        <v>4</v>
      </c>
      <c r="AL145" t="str">
        <f t="shared" si="47"/>
        <v>April</v>
      </c>
      <c r="AM145">
        <f t="shared" si="50"/>
        <v>2023</v>
      </c>
      <c r="AN145" t="str">
        <f t="shared" si="48"/>
        <v>60G P Cellulose GMBH</v>
      </c>
      <c r="AO145">
        <f>IF(COUNTIF($AN$2:AN145, AN145)=1, 1, 0)</f>
        <v>0</v>
      </c>
      <c r="AP145" t="str">
        <f t="shared" si="51"/>
        <v>&gt;3</v>
      </c>
      <c r="AQ145" t="str">
        <f t="shared" si="52"/>
        <v>&gt;3</v>
      </c>
      <c r="AR145" t="str">
        <f t="shared" si="53"/>
        <v>&lt;=3</v>
      </c>
    </row>
    <row r="146" spans="1:44" x14ac:dyDescent="0.3">
      <c r="A146" t="s">
        <v>111</v>
      </c>
      <c r="B146" t="s">
        <v>258</v>
      </c>
      <c r="C146" t="s">
        <v>41</v>
      </c>
      <c r="D146">
        <v>1619</v>
      </c>
      <c r="E146">
        <v>23120013</v>
      </c>
      <c r="F146" t="s">
        <v>259</v>
      </c>
      <c r="G146" t="s">
        <v>260</v>
      </c>
      <c r="H146">
        <v>6850</v>
      </c>
      <c r="I146">
        <v>105</v>
      </c>
      <c r="J146">
        <v>719250</v>
      </c>
      <c r="K146" s="7" t="str">
        <f>IFERROR(IF(B146&lt;&gt;"", TEXT(VLOOKUP(B146, 'Expected Date'!A:B, 2, FALSE) + DATE(RIGHT(C146,2),MID(C146,4,2),LEFT(C146,2)), "dd/mm/yy"), ""), "")</f>
        <v>09/05/23</v>
      </c>
      <c r="L146" t="s">
        <v>38</v>
      </c>
      <c r="M146" t="s">
        <v>48</v>
      </c>
      <c r="N146" t="s">
        <v>261</v>
      </c>
      <c r="O146" t="s">
        <v>41</v>
      </c>
      <c r="P146">
        <v>23190115</v>
      </c>
      <c r="Q146" t="s">
        <v>259</v>
      </c>
      <c r="R146" t="s">
        <v>260</v>
      </c>
      <c r="S146">
        <v>3850</v>
      </c>
      <c r="T146">
        <v>105</v>
      </c>
      <c r="U146">
        <v>404250</v>
      </c>
      <c r="V146" t="str">
        <f t="shared" si="49"/>
        <v>Accepted</v>
      </c>
      <c r="W146">
        <f>IFERROR(VLOOKUP(N146, Payment_Terms!A:B, 2, FALSE), "Payment term not found!")</f>
        <v>30</v>
      </c>
      <c r="X146" t="str">
        <f>IFERROR(VLOOKUP(R146, Item_Category!A:B, 2, FALSE), "Uncategorized")</f>
        <v>SSG - Maize</v>
      </c>
      <c r="Y146" s="5">
        <f t="shared" si="36"/>
        <v>0</v>
      </c>
      <c r="Z146">
        <f t="shared" si="37"/>
        <v>5</v>
      </c>
      <c r="AA146">
        <f t="shared" si="38"/>
        <v>-10</v>
      </c>
      <c r="AB146">
        <f t="shared" si="39"/>
        <v>5</v>
      </c>
      <c r="AC146" s="10">
        <f t="shared" si="40"/>
        <v>0</v>
      </c>
      <c r="AD146" s="5">
        <f t="shared" si="41"/>
        <v>1</v>
      </c>
      <c r="AE146" s="5">
        <f t="shared" si="42"/>
        <v>1</v>
      </c>
      <c r="AF146" s="5">
        <f t="shared" si="43"/>
        <v>0</v>
      </c>
      <c r="AG146">
        <f>IF(B146&lt;&gt;"", COUNTIFS($B$2:B146, B146), "")</f>
        <v>1</v>
      </c>
      <c r="AH146">
        <f t="shared" si="44"/>
        <v>5</v>
      </c>
      <c r="AI146" t="str">
        <f>VLOOKUP(B146, Currency!A:B, 2, FALSE)</f>
        <v>INR</v>
      </c>
      <c r="AJ146">
        <f t="shared" si="45"/>
        <v>5</v>
      </c>
      <c r="AK146">
        <f t="shared" si="46"/>
        <v>4</v>
      </c>
      <c r="AL146" t="str">
        <f t="shared" si="47"/>
        <v>April</v>
      </c>
      <c r="AM146">
        <f t="shared" si="50"/>
        <v>2023</v>
      </c>
      <c r="AN146" t="str">
        <f t="shared" si="48"/>
        <v>30BLUECRAFT AGRO PRIVATE LIMIMITED</v>
      </c>
      <c r="AO146">
        <f>IF(COUNTIF($AN$2:AN146, AN146)=1, 1, 0)</f>
        <v>1</v>
      </c>
      <c r="AP146" t="str">
        <f t="shared" si="51"/>
        <v>&gt;3</v>
      </c>
      <c r="AQ146" t="str">
        <f t="shared" si="52"/>
        <v>&gt;3</v>
      </c>
      <c r="AR146" t="str">
        <f t="shared" si="53"/>
        <v>&gt;3</v>
      </c>
    </row>
    <row r="147" spans="1:44" x14ac:dyDescent="0.3">
      <c r="A147" t="s">
        <v>111</v>
      </c>
      <c r="B147" t="s">
        <v>258</v>
      </c>
      <c r="C147" t="s">
        <v>41</v>
      </c>
      <c r="D147">
        <v>1619</v>
      </c>
      <c r="E147">
        <v>23120013</v>
      </c>
      <c r="F147" t="s">
        <v>259</v>
      </c>
      <c r="G147" t="s">
        <v>260</v>
      </c>
      <c r="H147">
        <v>6850</v>
      </c>
      <c r="I147">
        <v>105</v>
      </c>
      <c r="J147">
        <v>719250</v>
      </c>
      <c r="K147" s="7" t="str">
        <f>IFERROR(IF(B147&lt;&gt;"", TEXT(VLOOKUP(B147, 'Expected Date'!A:B, 2, FALSE) + DATE(RIGHT(C147,2),MID(C147,4,2),LEFT(C147,2)), "dd/mm/yy"), ""), "")</f>
        <v>09/05/23</v>
      </c>
      <c r="L147" t="s">
        <v>38</v>
      </c>
      <c r="M147" t="s">
        <v>48</v>
      </c>
      <c r="N147" t="s">
        <v>261</v>
      </c>
      <c r="O147" t="s">
        <v>41</v>
      </c>
      <c r="P147">
        <v>23190116</v>
      </c>
      <c r="Q147" t="s">
        <v>259</v>
      </c>
      <c r="R147" t="s">
        <v>260</v>
      </c>
      <c r="S147">
        <v>3000</v>
      </c>
      <c r="T147">
        <v>105</v>
      </c>
      <c r="U147">
        <v>315000</v>
      </c>
      <c r="V147" t="str">
        <f t="shared" si="49"/>
        <v>Accepted</v>
      </c>
      <c r="W147">
        <f>IFERROR(VLOOKUP(N147, Payment_Terms!A:B, 2, FALSE), "Payment term not found!")</f>
        <v>30</v>
      </c>
      <c r="X147" t="str">
        <f>IFERROR(VLOOKUP(R147, Item_Category!A:B, 2, FALSE), "Uncategorized")</f>
        <v>SSG - Maize</v>
      </c>
      <c r="Y147" s="5">
        <f t="shared" si="36"/>
        <v>0</v>
      </c>
      <c r="Z147">
        <f t="shared" si="37"/>
        <v>5</v>
      </c>
      <c r="AA147">
        <f t="shared" si="38"/>
        <v>-10</v>
      </c>
      <c r="AB147">
        <f t="shared" si="39"/>
        <v>5</v>
      </c>
      <c r="AC147" s="10">
        <f t="shared" si="40"/>
        <v>0</v>
      </c>
      <c r="AD147" s="5">
        <f t="shared" si="41"/>
        <v>1</v>
      </c>
      <c r="AE147" s="5">
        <f t="shared" si="42"/>
        <v>1</v>
      </c>
      <c r="AF147" s="5">
        <f t="shared" si="43"/>
        <v>0</v>
      </c>
      <c r="AG147">
        <f>IF(B147&lt;&gt;"", COUNTIFS($B$2:B147, B147), "")</f>
        <v>2</v>
      </c>
      <c r="AH147">
        <f t="shared" si="44"/>
        <v>5</v>
      </c>
      <c r="AI147" t="str">
        <f>VLOOKUP(B147, Currency!A:B, 2, FALSE)</f>
        <v>INR</v>
      </c>
      <c r="AJ147">
        <f t="shared" si="45"/>
        <v>5</v>
      </c>
      <c r="AK147">
        <f t="shared" si="46"/>
        <v>4</v>
      </c>
      <c r="AL147" t="str">
        <f t="shared" si="47"/>
        <v>April</v>
      </c>
      <c r="AM147">
        <f t="shared" si="50"/>
        <v>2023</v>
      </c>
      <c r="AN147" t="str">
        <f t="shared" si="48"/>
        <v>30BLUECRAFT AGRO PRIVATE LIMIMITED</v>
      </c>
      <c r="AO147">
        <f>IF(COUNTIF($AN$2:AN147, AN147)=1, 1, 0)</f>
        <v>0</v>
      </c>
      <c r="AP147" t="str">
        <f t="shared" si="51"/>
        <v>&gt;3</v>
      </c>
      <c r="AQ147" t="str">
        <f t="shared" si="52"/>
        <v>&gt;3</v>
      </c>
      <c r="AR147" t="str">
        <f t="shared" si="53"/>
        <v>&gt;3</v>
      </c>
    </row>
    <row r="148" spans="1:44" x14ac:dyDescent="0.3">
      <c r="A148" t="s">
        <v>33</v>
      </c>
      <c r="B148" t="s">
        <v>44</v>
      </c>
      <c r="C148" t="s">
        <v>65</v>
      </c>
      <c r="D148">
        <v>1391</v>
      </c>
      <c r="E148">
        <v>23110051</v>
      </c>
      <c r="F148" t="s">
        <v>46</v>
      </c>
      <c r="G148" t="s">
        <v>47</v>
      </c>
      <c r="H148">
        <v>600</v>
      </c>
      <c r="I148">
        <v>80</v>
      </c>
      <c r="J148">
        <v>48000</v>
      </c>
      <c r="K148" s="7" t="str">
        <f>IFERROR(IF(B148&lt;&gt;"", TEXT(VLOOKUP(B148, 'Expected Date'!A:B, 2, FALSE) + DATE(RIGHT(C148,2),MID(C148,4,2),LEFT(C148,2)), "dd/mm/yy"), ""), "")</f>
        <v>24/04/23</v>
      </c>
      <c r="L148" t="s">
        <v>38</v>
      </c>
      <c r="M148" t="s">
        <v>48</v>
      </c>
      <c r="N148" t="s">
        <v>49</v>
      </c>
      <c r="O148" t="s">
        <v>41</v>
      </c>
      <c r="P148">
        <v>23190118</v>
      </c>
      <c r="Q148" t="s">
        <v>46</v>
      </c>
      <c r="R148" t="s">
        <v>47</v>
      </c>
      <c r="S148">
        <v>300</v>
      </c>
      <c r="T148">
        <v>80</v>
      </c>
      <c r="U148">
        <v>24000</v>
      </c>
      <c r="V148" t="str">
        <f t="shared" si="49"/>
        <v>Accepted</v>
      </c>
      <c r="W148">
        <f>IFERROR(VLOOKUP(N148, Payment_Terms!A:B, 2, FALSE), "Payment term not found!")</f>
        <v>30</v>
      </c>
      <c r="X148" t="str">
        <f>IFERROR(VLOOKUP(R148, Item_Category!A:B, 2, FALSE), "Uncategorized")</f>
        <v>Gas</v>
      </c>
      <c r="Y148" s="5">
        <f t="shared" si="36"/>
        <v>0</v>
      </c>
      <c r="Z148">
        <f t="shared" si="37"/>
        <v>5</v>
      </c>
      <c r="AA148">
        <f t="shared" si="38"/>
        <v>5</v>
      </c>
      <c r="AB148">
        <f t="shared" si="39"/>
        <v>3</v>
      </c>
      <c r="AC148" s="10">
        <f t="shared" si="40"/>
        <v>10</v>
      </c>
      <c r="AD148" s="5">
        <f t="shared" si="41"/>
        <v>1</v>
      </c>
      <c r="AE148" s="5">
        <f t="shared" si="42"/>
        <v>1</v>
      </c>
      <c r="AF148" s="5">
        <f t="shared" si="43"/>
        <v>0</v>
      </c>
      <c r="AG148">
        <f>IF(B148&lt;&gt;"", COUNTIFS($B$2:B148, B148), "")</f>
        <v>4</v>
      </c>
      <c r="AH148">
        <f t="shared" si="44"/>
        <v>5</v>
      </c>
      <c r="AI148" t="str">
        <f>VLOOKUP(B148, Currency!A:B, 2, FALSE)</f>
        <v>INR</v>
      </c>
      <c r="AJ148">
        <f t="shared" si="45"/>
        <v>5</v>
      </c>
      <c r="AK148">
        <f t="shared" si="46"/>
        <v>4</v>
      </c>
      <c r="AL148" t="str">
        <f t="shared" si="47"/>
        <v>April</v>
      </c>
      <c r="AM148">
        <f t="shared" si="50"/>
        <v>2023</v>
      </c>
      <c r="AN148" t="str">
        <f t="shared" si="48"/>
        <v>30Surat Ammonia &amp; Chemical Co.</v>
      </c>
      <c r="AO148">
        <f>IF(COUNTIF($AN$2:AN148, AN148)=1, 1, 0)</f>
        <v>0</v>
      </c>
      <c r="AP148" t="str">
        <f t="shared" si="51"/>
        <v>&gt;3</v>
      </c>
      <c r="AQ148" t="str">
        <f t="shared" si="52"/>
        <v>&gt;3</v>
      </c>
      <c r="AR148" t="str">
        <f t="shared" si="53"/>
        <v>&lt;=3</v>
      </c>
    </row>
    <row r="149" spans="1:44" x14ac:dyDescent="0.3">
      <c r="A149" t="str">
        <f>A137</f>
        <v>Woodpulp</v>
      </c>
      <c r="B149" t="s">
        <v>140</v>
      </c>
      <c r="C149" t="s">
        <v>35</v>
      </c>
      <c r="D149">
        <v>1556</v>
      </c>
      <c r="E149">
        <v>23120011</v>
      </c>
      <c r="F149" t="s">
        <v>142</v>
      </c>
      <c r="G149" t="s">
        <v>360</v>
      </c>
      <c r="H149">
        <v>100</v>
      </c>
      <c r="I149">
        <v>830</v>
      </c>
      <c r="J149">
        <v>6756200</v>
      </c>
      <c r="K149" s="7" t="str">
        <f>IFERROR(IF(B149&lt;&gt;"", TEXT(VLOOKUP(B149, 'Expected Date'!A:B, 2, FALSE) + DATE(RIGHT(C149,2),MID(C149,4,2),LEFT(C149,2)), "dd/mm/yy"), ""), "")</f>
        <v>11/06/23</v>
      </c>
      <c r="L149" t="s">
        <v>68</v>
      </c>
      <c r="M149" t="str">
        <f>M47</f>
        <v>MT</v>
      </c>
      <c r="N149" t="s">
        <v>144</v>
      </c>
      <c r="O149" t="s">
        <v>41</v>
      </c>
      <c r="P149">
        <v>23190123</v>
      </c>
      <c r="Q149" t="s">
        <v>142</v>
      </c>
      <c r="R149" t="s">
        <v>143</v>
      </c>
      <c r="S149">
        <v>99.366</v>
      </c>
      <c r="T149">
        <v>830</v>
      </c>
      <c r="U149">
        <v>6713365.6900000004</v>
      </c>
      <c r="V149" t="str">
        <f t="shared" si="49"/>
        <v>Accepted</v>
      </c>
      <c r="W149">
        <f>IFERROR(VLOOKUP(N149, Payment_Terms!A:B, 2, FALSE), "Payment term not found!")</f>
        <v>30</v>
      </c>
      <c r="X149" t="str">
        <f>IFERROR(VLOOKUP(R149, Item_Category!A:B, 2, FALSE), "Uncategorized")</f>
        <v>Wood pulp</v>
      </c>
      <c r="Y149" s="5">
        <f t="shared" si="36"/>
        <v>6.3400000000000036E-3</v>
      </c>
      <c r="Z149">
        <f t="shared" si="37"/>
        <v>4</v>
      </c>
      <c r="AA149">
        <f t="shared" si="38"/>
        <v>-43</v>
      </c>
      <c r="AB149">
        <f t="shared" si="39"/>
        <v>5</v>
      </c>
      <c r="AC149" s="10">
        <f t="shared" si="40"/>
        <v>2</v>
      </c>
      <c r="AD149" s="5">
        <f t="shared" si="41"/>
        <v>1</v>
      </c>
      <c r="AE149" s="5">
        <f t="shared" si="42"/>
        <v>1</v>
      </c>
      <c r="AF149" s="5">
        <f t="shared" si="43"/>
        <v>0</v>
      </c>
      <c r="AG149">
        <f>IF(B149&lt;&gt;"", COUNTIFS($B$2:B149, B149), "")</f>
        <v>10</v>
      </c>
      <c r="AH149">
        <f t="shared" si="44"/>
        <v>5</v>
      </c>
      <c r="AI149" t="str">
        <f>VLOOKUP(B149, Currency!A:B, 2, FALSE)</f>
        <v>USD</v>
      </c>
      <c r="AJ149">
        <f t="shared" si="45"/>
        <v>5</v>
      </c>
      <c r="AK149">
        <f t="shared" si="46"/>
        <v>4</v>
      </c>
      <c r="AL149" t="str">
        <f t="shared" si="47"/>
        <v>April</v>
      </c>
      <c r="AM149">
        <f t="shared" si="50"/>
        <v>2023</v>
      </c>
      <c r="AN149" t="str">
        <f t="shared" si="48"/>
        <v>30Sappi Paper Holdings GMBH</v>
      </c>
      <c r="AO149">
        <f>IF(COUNTIF($AN$2:AN149, AN149)=1, 1, 0)</f>
        <v>0</v>
      </c>
      <c r="AP149" t="str">
        <f t="shared" si="51"/>
        <v>&gt;3</v>
      </c>
      <c r="AQ149" t="str">
        <f t="shared" si="52"/>
        <v>&gt;3</v>
      </c>
      <c r="AR149" t="str">
        <f t="shared" si="53"/>
        <v>&gt;3</v>
      </c>
    </row>
    <row r="150" spans="1:44" x14ac:dyDescent="0.3">
      <c r="A150" t="s">
        <v>33</v>
      </c>
      <c r="B150" t="s">
        <v>51</v>
      </c>
      <c r="C150" t="s">
        <v>35</v>
      </c>
      <c r="D150">
        <v>1549</v>
      </c>
      <c r="E150">
        <v>23120010</v>
      </c>
      <c r="F150" t="s">
        <v>214</v>
      </c>
      <c r="G150" t="s">
        <v>215</v>
      </c>
      <c r="H150">
        <v>30</v>
      </c>
      <c r="I150">
        <v>6519.3</v>
      </c>
      <c r="J150">
        <v>195579</v>
      </c>
      <c r="K150" s="7" t="str">
        <f>IFERROR(IF(B150&lt;&gt;"", TEXT(VLOOKUP(B150, 'Expected Date'!A:B, 2, FALSE) + DATE(RIGHT(C150,2),MID(C150,4,2),LEFT(C150,2)), "dd/mm/yy"), ""), "")</f>
        <v>17/05/23</v>
      </c>
      <c r="L150" t="s">
        <v>38</v>
      </c>
      <c r="M150" t="s">
        <v>48</v>
      </c>
      <c r="N150" t="s">
        <v>55</v>
      </c>
      <c r="O150" t="s">
        <v>41</v>
      </c>
      <c r="P150">
        <v>23190136</v>
      </c>
      <c r="Q150" t="s">
        <v>214</v>
      </c>
      <c r="R150" t="s">
        <v>215</v>
      </c>
      <c r="S150">
        <v>30</v>
      </c>
      <c r="T150">
        <v>6519.3</v>
      </c>
      <c r="U150">
        <v>195579</v>
      </c>
      <c r="V150" t="str">
        <f t="shared" si="49"/>
        <v>Accepted</v>
      </c>
      <c r="W150">
        <f>IFERROR(VLOOKUP(N150, Payment_Terms!A:B, 2, FALSE), "Payment term not found!")</f>
        <v>0</v>
      </c>
      <c r="X150" t="str">
        <f>IFERROR(VLOOKUP(R150, Item_Category!A:B, 2, FALSE), "Uncategorized")</f>
        <v>Coal materials</v>
      </c>
      <c r="Y150" s="5">
        <f t="shared" si="36"/>
        <v>0</v>
      </c>
      <c r="Z150">
        <f t="shared" si="37"/>
        <v>5</v>
      </c>
      <c r="AA150">
        <f t="shared" si="38"/>
        <v>-18</v>
      </c>
      <c r="AB150">
        <f t="shared" si="39"/>
        <v>5</v>
      </c>
      <c r="AC150" s="10">
        <f t="shared" si="40"/>
        <v>2</v>
      </c>
      <c r="AD150" s="5">
        <f t="shared" si="41"/>
        <v>1</v>
      </c>
      <c r="AE150" s="5">
        <f t="shared" si="42"/>
        <v>1</v>
      </c>
      <c r="AF150" s="5">
        <f t="shared" si="43"/>
        <v>0</v>
      </c>
      <c r="AG150">
        <f>IF(B150&lt;&gt;"", COUNTIFS($B$2:B150, B150), "")</f>
        <v>54</v>
      </c>
      <c r="AH150">
        <f t="shared" si="44"/>
        <v>5</v>
      </c>
      <c r="AI150" t="str">
        <f>VLOOKUP(B150, Currency!A:B, 2, FALSE)</f>
        <v>INR</v>
      </c>
      <c r="AJ150">
        <f t="shared" si="45"/>
        <v>5</v>
      </c>
      <c r="AK150">
        <f t="shared" si="46"/>
        <v>4</v>
      </c>
      <c r="AL150" t="str">
        <f t="shared" si="47"/>
        <v>April</v>
      </c>
      <c r="AM150">
        <f t="shared" si="50"/>
        <v>2023</v>
      </c>
      <c r="AN150" t="str">
        <f t="shared" si="48"/>
        <v>0The Singareni Collieries Company Ltd</v>
      </c>
      <c r="AO150">
        <f>IF(COUNTIF($AN$2:AN150, AN150)=1, 1, 0)</f>
        <v>0</v>
      </c>
      <c r="AP150" t="str">
        <f t="shared" si="51"/>
        <v>&gt;3</v>
      </c>
      <c r="AQ150" t="str">
        <f t="shared" si="52"/>
        <v>&gt;3</v>
      </c>
      <c r="AR150" t="str">
        <f t="shared" si="53"/>
        <v>&gt;3</v>
      </c>
    </row>
    <row r="151" spans="1:44" x14ac:dyDescent="0.3">
      <c r="A151" t="s">
        <v>33</v>
      </c>
      <c r="B151" t="s">
        <v>147</v>
      </c>
      <c r="C151" t="s">
        <v>262</v>
      </c>
      <c r="D151">
        <v>1662</v>
      </c>
      <c r="E151">
        <v>23120015</v>
      </c>
      <c r="F151" t="s">
        <v>148</v>
      </c>
      <c r="G151" t="s">
        <v>149</v>
      </c>
      <c r="H151">
        <v>595</v>
      </c>
      <c r="I151">
        <v>210</v>
      </c>
      <c r="J151">
        <v>124950</v>
      </c>
      <c r="K151" s="7" t="str">
        <f>IFERROR(IF(B151&lt;&gt;"", TEXT(VLOOKUP(B151, 'Expected Date'!A:B, 2, FALSE) + DATE(RIGHT(C151,2),MID(C151,4,2),LEFT(C151,2)), "dd/mm/yy"), ""), "")</f>
        <v>12/05/23</v>
      </c>
      <c r="L151" t="s">
        <v>38</v>
      </c>
      <c r="M151" t="s">
        <v>39</v>
      </c>
      <c r="N151" t="s">
        <v>49</v>
      </c>
      <c r="O151" t="s">
        <v>41</v>
      </c>
      <c r="P151">
        <v>23190137</v>
      </c>
      <c r="Q151" t="s">
        <v>148</v>
      </c>
      <c r="R151" t="s">
        <v>149</v>
      </c>
      <c r="S151">
        <v>595</v>
      </c>
      <c r="T151">
        <v>210</v>
      </c>
      <c r="U151">
        <v>124950</v>
      </c>
      <c r="V151" t="str">
        <f t="shared" si="49"/>
        <v>Accepted</v>
      </c>
      <c r="W151">
        <f>IFERROR(VLOOKUP(N151, Payment_Terms!A:B, 2, FALSE), "Payment term not found!")</f>
        <v>30</v>
      </c>
      <c r="X151" t="str">
        <f>IFERROR(VLOOKUP(R151, Item_Category!A:B, 2, FALSE), "Uncategorized")</f>
        <v>Fibre drum</v>
      </c>
      <c r="Y151" s="5">
        <f t="shared" si="36"/>
        <v>0</v>
      </c>
      <c r="Z151">
        <f t="shared" si="37"/>
        <v>5</v>
      </c>
      <c r="AA151">
        <f t="shared" si="38"/>
        <v>-13</v>
      </c>
      <c r="AB151">
        <f t="shared" si="39"/>
        <v>5</v>
      </c>
      <c r="AC151" s="10">
        <f t="shared" si="40"/>
        <v>3</v>
      </c>
      <c r="AD151" s="5">
        <f t="shared" si="41"/>
        <v>1</v>
      </c>
      <c r="AE151" s="5">
        <f t="shared" si="42"/>
        <v>1</v>
      </c>
      <c r="AF151" s="5">
        <f t="shared" si="43"/>
        <v>0</v>
      </c>
      <c r="AG151">
        <f>IF(B151&lt;&gt;"", COUNTIFS($B$2:B151, B151), "")</f>
        <v>4</v>
      </c>
      <c r="AH151">
        <f t="shared" si="44"/>
        <v>5</v>
      </c>
      <c r="AI151" t="str">
        <f>VLOOKUP(B151, Currency!A:B, 2, FALSE)</f>
        <v>INR</v>
      </c>
      <c r="AJ151">
        <f t="shared" si="45"/>
        <v>5</v>
      </c>
      <c r="AK151">
        <f t="shared" si="46"/>
        <v>5</v>
      </c>
      <c r="AL151" t="str">
        <f t="shared" si="47"/>
        <v>May</v>
      </c>
      <c r="AM151">
        <f t="shared" si="50"/>
        <v>2023</v>
      </c>
      <c r="AN151" t="str">
        <f t="shared" si="48"/>
        <v>30Navodaya Packing Industries</v>
      </c>
      <c r="AO151">
        <f>IF(COUNTIF($AN$2:AN151, AN151)=1, 1, 0)</f>
        <v>0</v>
      </c>
      <c r="AP151" t="str">
        <f t="shared" si="51"/>
        <v>&gt;3</v>
      </c>
      <c r="AQ151" t="str">
        <f t="shared" si="52"/>
        <v>&gt;3</v>
      </c>
      <c r="AR151" t="str">
        <f t="shared" si="53"/>
        <v>&gt;3</v>
      </c>
    </row>
    <row r="152" spans="1:44" x14ac:dyDescent="0.3">
      <c r="A152" t="s">
        <v>33</v>
      </c>
      <c r="B152" t="s">
        <v>44</v>
      </c>
      <c r="C152" t="s">
        <v>202</v>
      </c>
      <c r="D152">
        <v>3635</v>
      </c>
      <c r="E152">
        <v>23120098</v>
      </c>
      <c r="F152" t="s">
        <v>46</v>
      </c>
      <c r="G152" t="s">
        <v>47</v>
      </c>
      <c r="H152">
        <v>600</v>
      </c>
      <c r="I152">
        <v>65</v>
      </c>
      <c r="J152">
        <v>39000</v>
      </c>
      <c r="K152" s="7" t="str">
        <f>IFERROR(IF(B152&lt;&gt;"", TEXT(VLOOKUP(B152, 'Expected Date'!A:B, 2, FALSE) + DATE(RIGHT(C152,2),MID(C152,4,2),LEFT(C152,2)), "dd/mm/yy"), ""), "")</f>
        <v>14/08/23</v>
      </c>
      <c r="L152" t="s">
        <v>38</v>
      </c>
      <c r="M152" t="s">
        <v>48</v>
      </c>
      <c r="N152" t="s">
        <v>49</v>
      </c>
      <c r="O152" t="s">
        <v>192</v>
      </c>
      <c r="P152">
        <v>23190838</v>
      </c>
      <c r="Q152" t="s">
        <v>46</v>
      </c>
      <c r="R152" t="s">
        <v>47</v>
      </c>
      <c r="S152">
        <v>300</v>
      </c>
      <c r="T152">
        <v>65</v>
      </c>
      <c r="U152">
        <v>19500</v>
      </c>
      <c r="V152" t="str">
        <f t="shared" si="49"/>
        <v>Accepted</v>
      </c>
      <c r="W152">
        <f>IFERROR(VLOOKUP(N152, Payment_Terms!A:B, 2, FALSE), "Payment term not found!")</f>
        <v>30</v>
      </c>
      <c r="X152" t="str">
        <f>IFERROR(VLOOKUP(R152, Item_Category!A:B, 2, FALSE), "Uncategorized")</f>
        <v>Gas</v>
      </c>
      <c r="Y152" s="5">
        <f t="shared" si="36"/>
        <v>0</v>
      </c>
      <c r="Z152">
        <f t="shared" si="37"/>
        <v>5</v>
      </c>
      <c r="AA152">
        <f t="shared" si="38"/>
        <v>0</v>
      </c>
      <c r="AB152">
        <f t="shared" si="39"/>
        <v>5</v>
      </c>
      <c r="AC152" s="10">
        <f t="shared" si="40"/>
        <v>5</v>
      </c>
      <c r="AD152" s="5">
        <f t="shared" si="41"/>
        <v>1</v>
      </c>
      <c r="AE152" s="5">
        <f t="shared" si="42"/>
        <v>1</v>
      </c>
      <c r="AF152" s="5">
        <f t="shared" si="43"/>
        <v>0</v>
      </c>
      <c r="AG152">
        <f>IF(B152&lt;&gt;"", COUNTIFS($B$2:B152, B152), "")</f>
        <v>5</v>
      </c>
      <c r="AH152">
        <f t="shared" si="44"/>
        <v>5</v>
      </c>
      <c r="AI152" t="str">
        <f>VLOOKUP(B152, Currency!A:B, 2, FALSE)</f>
        <v>INR</v>
      </c>
      <c r="AJ152">
        <f t="shared" si="45"/>
        <v>5</v>
      </c>
      <c r="AK152">
        <f t="shared" si="46"/>
        <v>8</v>
      </c>
      <c r="AL152" t="str">
        <f t="shared" si="47"/>
        <v>August</v>
      </c>
      <c r="AM152">
        <f t="shared" si="50"/>
        <v>2023</v>
      </c>
      <c r="AN152" t="str">
        <f t="shared" si="48"/>
        <v>30Surat Ammonia &amp; Chemical Co.</v>
      </c>
      <c r="AO152">
        <f>IF(COUNTIF($AN$2:AN152, AN152)=1, 1, 0)</f>
        <v>0</v>
      </c>
      <c r="AP152" t="str">
        <f t="shared" si="51"/>
        <v>&gt;3</v>
      </c>
      <c r="AQ152" t="str">
        <f t="shared" si="52"/>
        <v>&gt;3</v>
      </c>
      <c r="AR152" t="str">
        <f t="shared" si="53"/>
        <v>&gt;3</v>
      </c>
    </row>
    <row r="153" spans="1:44" x14ac:dyDescent="0.3">
      <c r="A153" t="s">
        <v>33</v>
      </c>
      <c r="B153" t="s">
        <v>200</v>
      </c>
      <c r="C153" t="s">
        <v>226</v>
      </c>
      <c r="D153">
        <v>4295</v>
      </c>
      <c r="E153">
        <v>23120119</v>
      </c>
      <c r="F153" t="s">
        <v>186</v>
      </c>
      <c r="G153" t="s">
        <v>187</v>
      </c>
      <c r="H153">
        <v>2000</v>
      </c>
      <c r="I153">
        <v>124</v>
      </c>
      <c r="J153">
        <v>248000</v>
      </c>
      <c r="K153" s="7" t="str">
        <f>IFERROR(IF(B153&lt;&gt;"", TEXT(VLOOKUP(B153, 'Expected Date'!A:B, 2, FALSE) + DATE(RIGHT(C153,2),MID(C153,4,2),LEFT(C153,2)), "dd/mm/yy"), ""), "")</f>
        <v>21/09/23</v>
      </c>
      <c r="L153" t="s">
        <v>68</v>
      </c>
      <c r="M153" t="s">
        <v>48</v>
      </c>
      <c r="N153" t="s">
        <v>188</v>
      </c>
      <c r="O153" t="s">
        <v>263</v>
      </c>
      <c r="P153">
        <v>23191309</v>
      </c>
      <c r="Q153" t="s">
        <v>186</v>
      </c>
      <c r="R153" t="s">
        <v>187</v>
      </c>
      <c r="S153">
        <v>1000</v>
      </c>
      <c r="T153">
        <v>124</v>
      </c>
      <c r="U153">
        <v>124000</v>
      </c>
      <c r="V153" t="str">
        <f t="shared" si="49"/>
        <v>Accepted</v>
      </c>
      <c r="W153">
        <f>IFERROR(VLOOKUP(N153, Payment_Terms!A:B, 2, FALSE), "Payment term not found!")</f>
        <v>30</v>
      </c>
      <c r="X153" t="str">
        <f>IFERROR(VLOOKUP(R153, Item_Category!A:B, 2, FALSE), "Uncategorized")</f>
        <v>Liner</v>
      </c>
      <c r="Y153" s="5">
        <f t="shared" si="36"/>
        <v>0.5</v>
      </c>
      <c r="Z153">
        <f t="shared" si="37"/>
        <v>1</v>
      </c>
      <c r="AA153">
        <f t="shared" si="38"/>
        <v>18</v>
      </c>
      <c r="AB153">
        <f t="shared" si="39"/>
        <v>1</v>
      </c>
      <c r="AC153" s="10">
        <f t="shared" si="40"/>
        <v>28</v>
      </c>
      <c r="AD153" s="5">
        <f t="shared" si="41"/>
        <v>1</v>
      </c>
      <c r="AE153" s="5">
        <f t="shared" si="42"/>
        <v>1</v>
      </c>
      <c r="AF153" s="5">
        <f t="shared" si="43"/>
        <v>0</v>
      </c>
      <c r="AG153">
        <f>IF(B153&lt;&gt;"", COUNTIFS($B$2:B153, B153), "")</f>
        <v>3</v>
      </c>
      <c r="AH153">
        <f t="shared" si="44"/>
        <v>5</v>
      </c>
      <c r="AI153" t="str">
        <f>VLOOKUP(B153, Currency!A:B, 2, FALSE)</f>
        <v>INR</v>
      </c>
      <c r="AJ153">
        <f t="shared" si="45"/>
        <v>3</v>
      </c>
      <c r="AK153">
        <f t="shared" si="46"/>
        <v>9</v>
      </c>
      <c r="AL153" t="str">
        <f t="shared" si="47"/>
        <v>September</v>
      </c>
      <c r="AM153">
        <f t="shared" si="50"/>
        <v>2023</v>
      </c>
      <c r="AN153" t="str">
        <f t="shared" si="48"/>
        <v>30Foldpack India Private Limited</v>
      </c>
      <c r="AO153">
        <f>IF(COUNTIF($AN$2:AN153, AN153)=1, 1, 0)</f>
        <v>0</v>
      </c>
      <c r="AP153" t="str">
        <f t="shared" si="51"/>
        <v>&gt;3</v>
      </c>
      <c r="AQ153" t="str">
        <f t="shared" si="52"/>
        <v>&lt;=3</v>
      </c>
      <c r="AR153" t="str">
        <f t="shared" si="53"/>
        <v>&lt;=3</v>
      </c>
    </row>
    <row r="154" spans="1:44" x14ac:dyDescent="0.3">
      <c r="A154" t="str">
        <f>A149</f>
        <v>Woodpulp</v>
      </c>
      <c r="B154" t="s">
        <v>140</v>
      </c>
      <c r="C154" t="s">
        <v>35</v>
      </c>
      <c r="D154">
        <v>1557</v>
      </c>
      <c r="E154">
        <v>23120012</v>
      </c>
      <c r="F154" t="s">
        <v>142</v>
      </c>
      <c r="G154" t="s">
        <v>360</v>
      </c>
      <c r="H154">
        <v>100</v>
      </c>
      <c r="I154">
        <v>830</v>
      </c>
      <c r="J154">
        <v>6756200</v>
      </c>
      <c r="K154" s="7" t="str">
        <f>IFERROR(IF(B154&lt;&gt;"", TEXT(VLOOKUP(B154, 'Expected Date'!A:B, 2, FALSE) + DATE(RIGHT(C154,2),MID(C154,4,2),LEFT(C154,2)), "dd/mm/yy"), ""), "")</f>
        <v>11/06/23</v>
      </c>
      <c r="L154" t="s">
        <v>68</v>
      </c>
      <c r="M154" t="str">
        <f>M47</f>
        <v>MT</v>
      </c>
      <c r="N154" t="s">
        <v>144</v>
      </c>
      <c r="O154" t="s">
        <v>41</v>
      </c>
      <c r="P154">
        <v>23190124</v>
      </c>
      <c r="Q154" t="s">
        <v>142</v>
      </c>
      <c r="R154" t="s">
        <v>143</v>
      </c>
      <c r="S154">
        <v>97.1</v>
      </c>
      <c r="T154">
        <v>830</v>
      </c>
      <c r="U154">
        <v>6560270.2000000002</v>
      </c>
      <c r="V154" t="str">
        <f t="shared" si="49"/>
        <v>Accepted</v>
      </c>
      <c r="W154">
        <f>IFERROR(VLOOKUP(N154, Payment_Terms!A:B, 2, FALSE), "Payment term not found!")</f>
        <v>30</v>
      </c>
      <c r="X154" t="str">
        <f>IFERROR(VLOOKUP(R154, Item_Category!A:B, 2, FALSE), "Uncategorized")</f>
        <v>Wood pulp</v>
      </c>
      <c r="Y154" s="5">
        <f t="shared" si="36"/>
        <v>2.9000000000000057E-2</v>
      </c>
      <c r="Z154">
        <f t="shared" si="37"/>
        <v>3</v>
      </c>
      <c r="AA154">
        <f t="shared" si="38"/>
        <v>-43</v>
      </c>
      <c r="AB154">
        <f t="shared" si="39"/>
        <v>5</v>
      </c>
      <c r="AC154" s="10">
        <f t="shared" si="40"/>
        <v>2</v>
      </c>
      <c r="AD154" s="5">
        <f t="shared" si="41"/>
        <v>1</v>
      </c>
      <c r="AE154" s="5">
        <f t="shared" si="42"/>
        <v>1</v>
      </c>
      <c r="AF154" s="5">
        <f t="shared" si="43"/>
        <v>0</v>
      </c>
      <c r="AG154">
        <f>IF(B154&lt;&gt;"", COUNTIFS($B$2:B154, B154), "")</f>
        <v>11</v>
      </c>
      <c r="AH154">
        <f t="shared" si="44"/>
        <v>5</v>
      </c>
      <c r="AI154" t="str">
        <f>VLOOKUP(B154, Currency!A:B, 2, FALSE)</f>
        <v>USD</v>
      </c>
      <c r="AJ154">
        <f t="shared" si="45"/>
        <v>5</v>
      </c>
      <c r="AK154">
        <f t="shared" si="46"/>
        <v>4</v>
      </c>
      <c r="AL154" t="str">
        <f t="shared" si="47"/>
        <v>April</v>
      </c>
      <c r="AM154">
        <f t="shared" si="50"/>
        <v>2023</v>
      </c>
      <c r="AN154" t="str">
        <f t="shared" si="48"/>
        <v>30Sappi Paper Holdings GMBH</v>
      </c>
      <c r="AO154">
        <f>IF(COUNTIF($AN$2:AN154, AN154)=1, 1, 0)</f>
        <v>0</v>
      </c>
      <c r="AP154" t="str">
        <f t="shared" si="51"/>
        <v>&gt;3</v>
      </c>
      <c r="AQ154" t="str">
        <f t="shared" si="52"/>
        <v>&lt;=3</v>
      </c>
      <c r="AR154" t="str">
        <f t="shared" si="53"/>
        <v>&gt;3</v>
      </c>
    </row>
    <row r="155" spans="1:44" x14ac:dyDescent="0.3">
      <c r="A155" t="s">
        <v>33</v>
      </c>
      <c r="B155" t="s">
        <v>73</v>
      </c>
      <c r="C155" t="s">
        <v>198</v>
      </c>
      <c r="D155">
        <v>3461</v>
      </c>
      <c r="E155">
        <v>23120095</v>
      </c>
      <c r="F155" t="s">
        <v>75</v>
      </c>
      <c r="G155" t="s">
        <v>76</v>
      </c>
      <c r="H155">
        <v>1600</v>
      </c>
      <c r="I155">
        <v>900</v>
      </c>
      <c r="J155">
        <v>1440000</v>
      </c>
      <c r="K155" s="7" t="str">
        <f>IFERROR(IF(B155&lt;&gt;"", TEXT(VLOOKUP(B155, 'Expected Date'!A:B, 2, FALSE) + DATE(RIGHT(C155,2),MID(C155,4,2),LEFT(C155,2)), "dd/mm/yy"), ""), "")</f>
        <v>20/08/23</v>
      </c>
      <c r="L155" t="s">
        <v>38</v>
      </c>
      <c r="M155" t="s">
        <v>39</v>
      </c>
      <c r="N155" t="s">
        <v>77</v>
      </c>
      <c r="O155" t="s">
        <v>263</v>
      </c>
      <c r="P155">
        <v>23191308</v>
      </c>
      <c r="Q155" t="s">
        <v>75</v>
      </c>
      <c r="R155" t="s">
        <v>76</v>
      </c>
      <c r="S155">
        <v>400</v>
      </c>
      <c r="T155">
        <v>900</v>
      </c>
      <c r="U155">
        <v>360000</v>
      </c>
      <c r="V155" t="str">
        <f t="shared" si="49"/>
        <v>Accepted</v>
      </c>
      <c r="W155">
        <f>IFERROR(VLOOKUP(N155, Payment_Terms!A:B, 2, FALSE), "Payment term not found!")</f>
        <v>0</v>
      </c>
      <c r="X155" t="str">
        <f>IFERROR(VLOOKUP(R155, Item_Category!A:B, 2, FALSE), "Uncategorized")</f>
        <v>Pallets</v>
      </c>
      <c r="Y155" s="5">
        <f t="shared" si="36"/>
        <v>0</v>
      </c>
      <c r="Z155">
        <f t="shared" si="37"/>
        <v>5</v>
      </c>
      <c r="AA155">
        <f t="shared" si="38"/>
        <v>50</v>
      </c>
      <c r="AB155">
        <f t="shared" si="39"/>
        <v>1</v>
      </c>
      <c r="AC155" s="10">
        <f t="shared" si="40"/>
        <v>70</v>
      </c>
      <c r="AD155" s="5">
        <f t="shared" si="41"/>
        <v>1</v>
      </c>
      <c r="AE155" s="5">
        <f t="shared" si="42"/>
        <v>1</v>
      </c>
      <c r="AF155" s="5">
        <f t="shared" si="43"/>
        <v>0</v>
      </c>
      <c r="AG155">
        <f>IF(B155&lt;&gt;"", COUNTIFS($B$2:B155, B155), "")</f>
        <v>8</v>
      </c>
      <c r="AH155">
        <f t="shared" si="44"/>
        <v>5</v>
      </c>
      <c r="AI155" t="str">
        <f>VLOOKUP(B155, Currency!A:B, 2, FALSE)</f>
        <v>INR</v>
      </c>
      <c r="AJ155">
        <f t="shared" si="45"/>
        <v>4</v>
      </c>
      <c r="AK155">
        <f t="shared" si="46"/>
        <v>7</v>
      </c>
      <c r="AL155" t="str">
        <f t="shared" si="47"/>
        <v>July</v>
      </c>
      <c r="AM155">
        <f t="shared" si="50"/>
        <v>2023</v>
      </c>
      <c r="AN155" t="str">
        <f t="shared" si="48"/>
        <v>0Nilkamal Limited</v>
      </c>
      <c r="AO155">
        <f>IF(COUNTIF($AN$2:AN155, AN155)=1, 1, 0)</f>
        <v>0</v>
      </c>
      <c r="AP155" t="str">
        <f t="shared" si="51"/>
        <v>&gt;3</v>
      </c>
      <c r="AQ155" t="str">
        <f t="shared" si="52"/>
        <v>&gt;3</v>
      </c>
      <c r="AR155" t="str">
        <f t="shared" si="53"/>
        <v>&lt;=3</v>
      </c>
    </row>
    <row r="156" spans="1:44" x14ac:dyDescent="0.3">
      <c r="A156" t="s">
        <v>33</v>
      </c>
      <c r="B156" t="s">
        <v>73</v>
      </c>
      <c r="C156" t="s">
        <v>198</v>
      </c>
      <c r="D156">
        <v>3461</v>
      </c>
      <c r="E156">
        <v>23120095</v>
      </c>
      <c r="F156" t="s">
        <v>75</v>
      </c>
      <c r="G156" t="s">
        <v>76</v>
      </c>
      <c r="H156">
        <v>1600</v>
      </c>
      <c r="I156">
        <v>900</v>
      </c>
      <c r="J156">
        <v>1440000</v>
      </c>
      <c r="K156" s="7" t="str">
        <f>IFERROR(IF(B156&lt;&gt;"", TEXT(VLOOKUP(B156, 'Expected Date'!A:B, 2, FALSE) + DATE(RIGHT(C156,2),MID(C156,4,2),LEFT(C156,2)), "dd/mm/yy"), ""), "")</f>
        <v>20/08/23</v>
      </c>
      <c r="L156" t="s">
        <v>38</v>
      </c>
      <c r="M156" t="s">
        <v>39</v>
      </c>
      <c r="N156" t="s">
        <v>77</v>
      </c>
      <c r="O156" t="s">
        <v>253</v>
      </c>
      <c r="P156">
        <v>23191311</v>
      </c>
      <c r="Q156" t="s">
        <v>75</v>
      </c>
      <c r="R156" t="s">
        <v>76</v>
      </c>
      <c r="S156">
        <v>400</v>
      </c>
      <c r="T156">
        <v>900</v>
      </c>
      <c r="U156">
        <v>360000</v>
      </c>
      <c r="V156" t="str">
        <f t="shared" si="49"/>
        <v>Accepted</v>
      </c>
      <c r="W156">
        <f>IFERROR(VLOOKUP(N156, Payment_Terms!A:B, 2, FALSE), "Payment term not found!")</f>
        <v>0</v>
      </c>
      <c r="X156" t="str">
        <f>IFERROR(VLOOKUP(R156, Item_Category!A:B, 2, FALSE), "Uncategorized")</f>
        <v>Pallets</v>
      </c>
      <c r="Y156" s="5">
        <f t="shared" si="36"/>
        <v>0</v>
      </c>
      <c r="Z156">
        <f t="shared" si="37"/>
        <v>5</v>
      </c>
      <c r="AA156">
        <f t="shared" si="38"/>
        <v>51</v>
      </c>
      <c r="AB156">
        <f t="shared" si="39"/>
        <v>1</v>
      </c>
      <c r="AC156" s="10">
        <f t="shared" si="40"/>
        <v>71</v>
      </c>
      <c r="AD156" s="5">
        <f t="shared" si="41"/>
        <v>1</v>
      </c>
      <c r="AE156" s="5">
        <f t="shared" si="42"/>
        <v>1</v>
      </c>
      <c r="AF156" s="5">
        <f t="shared" si="43"/>
        <v>0</v>
      </c>
      <c r="AG156">
        <f>IF(B156&lt;&gt;"", COUNTIFS($B$2:B156, B156), "")</f>
        <v>9</v>
      </c>
      <c r="AH156">
        <f t="shared" si="44"/>
        <v>5</v>
      </c>
      <c r="AI156" t="str">
        <f>VLOOKUP(B156, Currency!A:B, 2, FALSE)</f>
        <v>INR</v>
      </c>
      <c r="AJ156">
        <f t="shared" si="45"/>
        <v>4</v>
      </c>
      <c r="AK156">
        <f t="shared" si="46"/>
        <v>7</v>
      </c>
      <c r="AL156" t="str">
        <f t="shared" si="47"/>
        <v>July</v>
      </c>
      <c r="AM156">
        <f t="shared" si="50"/>
        <v>2023</v>
      </c>
      <c r="AN156" t="str">
        <f t="shared" si="48"/>
        <v>0Nilkamal Limited</v>
      </c>
      <c r="AO156">
        <f>IF(COUNTIF($AN$2:AN156, AN156)=1, 1, 0)</f>
        <v>0</v>
      </c>
      <c r="AP156" t="str">
        <f t="shared" si="51"/>
        <v>&gt;3</v>
      </c>
      <c r="AQ156" t="str">
        <f t="shared" si="52"/>
        <v>&gt;3</v>
      </c>
      <c r="AR156" t="str">
        <f t="shared" si="53"/>
        <v>&lt;=3</v>
      </c>
    </row>
    <row r="157" spans="1:44" x14ac:dyDescent="0.3">
      <c r="A157" t="s">
        <v>33</v>
      </c>
      <c r="B157" t="s">
        <v>64</v>
      </c>
      <c r="C157" t="s">
        <v>228</v>
      </c>
      <c r="D157">
        <v>4548</v>
      </c>
      <c r="E157">
        <v>23120125</v>
      </c>
      <c r="F157" t="s">
        <v>170</v>
      </c>
      <c r="G157" t="s">
        <v>171</v>
      </c>
      <c r="H157">
        <v>4000</v>
      </c>
      <c r="I157">
        <v>22.25</v>
      </c>
      <c r="J157">
        <v>89000</v>
      </c>
      <c r="K157" s="7" t="str">
        <f>IFERROR(IF(B157&lt;&gt;"", TEXT(VLOOKUP(B157, 'Expected Date'!A:B, 2, FALSE) + DATE(RIGHT(C157,2),MID(C157,4,2),LEFT(C157,2)), "dd/mm/yy"), ""), "")</f>
        <v>02/10/23</v>
      </c>
      <c r="L157" t="s">
        <v>38</v>
      </c>
      <c r="M157" t="s">
        <v>39</v>
      </c>
      <c r="N157" t="s">
        <v>69</v>
      </c>
      <c r="O157" t="s">
        <v>254</v>
      </c>
      <c r="P157">
        <v>23191316</v>
      </c>
      <c r="Q157" t="s">
        <v>170</v>
      </c>
      <c r="R157" t="s">
        <v>171</v>
      </c>
      <c r="S157">
        <v>4000</v>
      </c>
      <c r="T157">
        <v>22.25</v>
      </c>
      <c r="U157">
        <v>89000</v>
      </c>
      <c r="V157" t="str">
        <f t="shared" si="49"/>
        <v>Accepted</v>
      </c>
      <c r="W157">
        <f>IFERROR(VLOOKUP(N157, Payment_Terms!A:B, 2, FALSE), "Payment term not found!")</f>
        <v>30</v>
      </c>
      <c r="X157" t="str">
        <f>IFERROR(VLOOKUP(R157, Item_Category!A:B, 2, FALSE), "Uncategorized")</f>
        <v>Bags</v>
      </c>
      <c r="Y157" s="5">
        <f t="shared" si="36"/>
        <v>0</v>
      </c>
      <c r="Z157">
        <f t="shared" si="37"/>
        <v>5</v>
      </c>
      <c r="AA157">
        <f t="shared" si="38"/>
        <v>12</v>
      </c>
      <c r="AB157">
        <f t="shared" si="39"/>
        <v>1</v>
      </c>
      <c r="AC157" s="10">
        <f t="shared" si="40"/>
        <v>22</v>
      </c>
      <c r="AD157" s="5">
        <f t="shared" si="41"/>
        <v>1</v>
      </c>
      <c r="AE157" s="5">
        <f t="shared" si="42"/>
        <v>1</v>
      </c>
      <c r="AF157" s="5">
        <f t="shared" si="43"/>
        <v>0</v>
      </c>
      <c r="AG157">
        <f>IF(B157&lt;&gt;"", COUNTIFS($B$2:B157, B157), "")</f>
        <v>17</v>
      </c>
      <c r="AH157">
        <f t="shared" si="44"/>
        <v>5</v>
      </c>
      <c r="AI157" t="str">
        <f>VLOOKUP(B157, Currency!A:B, 2, FALSE)</f>
        <v>INR</v>
      </c>
      <c r="AJ157">
        <f t="shared" si="45"/>
        <v>4</v>
      </c>
      <c r="AK157">
        <f t="shared" si="46"/>
        <v>9</v>
      </c>
      <c r="AL157" t="str">
        <f t="shared" si="47"/>
        <v>September</v>
      </c>
      <c r="AM157">
        <f t="shared" si="50"/>
        <v>2023</v>
      </c>
      <c r="AN157" t="str">
        <f t="shared" si="48"/>
        <v>30Epic Polymers</v>
      </c>
      <c r="AO157">
        <f>IF(COUNTIF($AN$2:AN157, AN157)=1, 1, 0)</f>
        <v>0</v>
      </c>
      <c r="AP157" t="str">
        <f t="shared" si="51"/>
        <v>&gt;3</v>
      </c>
      <c r="AQ157" t="str">
        <f t="shared" si="52"/>
        <v>&gt;3</v>
      </c>
      <c r="AR157" t="str">
        <f t="shared" si="53"/>
        <v>&lt;=3</v>
      </c>
    </row>
    <row r="158" spans="1:44" x14ac:dyDescent="0.3">
      <c r="A158" t="s">
        <v>33</v>
      </c>
      <c r="B158" t="s">
        <v>73</v>
      </c>
      <c r="C158" t="s">
        <v>97</v>
      </c>
      <c r="D158">
        <v>1219</v>
      </c>
      <c r="E158">
        <v>23120001</v>
      </c>
      <c r="F158" t="s">
        <v>75</v>
      </c>
      <c r="G158" t="s">
        <v>76</v>
      </c>
      <c r="H158">
        <v>1200</v>
      </c>
      <c r="I158">
        <v>1000</v>
      </c>
      <c r="J158">
        <v>1200000</v>
      </c>
      <c r="K158" s="7" t="str">
        <f>IFERROR(IF(B158&lt;&gt;"", TEXT(VLOOKUP(B158, 'Expected Date'!A:B, 2, FALSE) + DATE(RIGHT(C158,2),MID(C158,4,2),LEFT(C158,2)), "dd/mm/yy"), ""), "")</f>
        <v>01/05/23</v>
      </c>
      <c r="L158" t="s">
        <v>38</v>
      </c>
      <c r="M158" t="s">
        <v>39</v>
      </c>
      <c r="N158" t="s">
        <v>77</v>
      </c>
      <c r="O158" t="s">
        <v>80</v>
      </c>
      <c r="P158">
        <v>23190040</v>
      </c>
      <c r="Q158" t="s">
        <v>75</v>
      </c>
      <c r="R158" t="s">
        <v>76</v>
      </c>
      <c r="S158">
        <v>400</v>
      </c>
      <c r="T158">
        <v>1000</v>
      </c>
      <c r="U158">
        <v>400000</v>
      </c>
      <c r="V158" t="str">
        <f t="shared" si="49"/>
        <v>Accepted</v>
      </c>
      <c r="W158">
        <f>IFERROR(VLOOKUP(N158, Payment_Terms!A:B, 2, FALSE), "Payment term not found!")</f>
        <v>0</v>
      </c>
      <c r="X158" t="str">
        <f>IFERROR(VLOOKUP(R158, Item_Category!A:B, 2, FALSE), "Uncategorized")</f>
        <v>Pallets</v>
      </c>
      <c r="Y158" s="5">
        <f t="shared" si="36"/>
        <v>0</v>
      </c>
      <c r="Z158">
        <f t="shared" si="37"/>
        <v>5</v>
      </c>
      <c r="AA158">
        <f t="shared" si="38"/>
        <v>-17</v>
      </c>
      <c r="AB158">
        <f t="shared" si="39"/>
        <v>5</v>
      </c>
      <c r="AC158" s="10">
        <f t="shared" si="40"/>
        <v>3</v>
      </c>
      <c r="AD158" s="5">
        <f t="shared" si="41"/>
        <v>1</v>
      </c>
      <c r="AE158" s="5">
        <f t="shared" si="42"/>
        <v>1</v>
      </c>
      <c r="AF158" s="5">
        <f t="shared" si="43"/>
        <v>0</v>
      </c>
      <c r="AG158">
        <f>IF(B158&lt;&gt;"", COUNTIFS($B$2:B158, B158), "")</f>
        <v>10</v>
      </c>
      <c r="AH158">
        <f t="shared" si="44"/>
        <v>5</v>
      </c>
      <c r="AI158" t="str">
        <f>VLOOKUP(B158, Currency!A:B, 2, FALSE)</f>
        <v>INR</v>
      </c>
      <c r="AJ158">
        <f t="shared" si="45"/>
        <v>5</v>
      </c>
      <c r="AK158">
        <f t="shared" si="46"/>
        <v>4</v>
      </c>
      <c r="AL158" t="str">
        <f t="shared" si="47"/>
        <v>April</v>
      </c>
      <c r="AM158">
        <f t="shared" si="50"/>
        <v>2023</v>
      </c>
      <c r="AN158" t="str">
        <f t="shared" si="48"/>
        <v>0Nilkamal Limited</v>
      </c>
      <c r="AO158">
        <f>IF(COUNTIF($AN$2:AN158, AN158)=1, 1, 0)</f>
        <v>0</v>
      </c>
      <c r="AP158" t="str">
        <f t="shared" si="51"/>
        <v>&gt;3</v>
      </c>
      <c r="AQ158" t="str">
        <f t="shared" si="52"/>
        <v>&gt;3</v>
      </c>
      <c r="AR158" t="str">
        <f t="shared" si="53"/>
        <v>&gt;3</v>
      </c>
    </row>
    <row r="159" spans="1:44" x14ac:dyDescent="0.3">
      <c r="A159" t="s">
        <v>111</v>
      </c>
      <c r="B159" t="s">
        <v>264</v>
      </c>
      <c r="C159" t="s">
        <v>265</v>
      </c>
      <c r="D159">
        <v>1202</v>
      </c>
      <c r="E159">
        <v>23110011</v>
      </c>
      <c r="F159" t="s">
        <v>266</v>
      </c>
      <c r="G159" t="s">
        <v>267</v>
      </c>
      <c r="H159">
        <v>12000</v>
      </c>
      <c r="I159">
        <v>133</v>
      </c>
      <c r="J159">
        <v>1596000</v>
      </c>
      <c r="K159" s="7" t="str">
        <f>IFERROR(IF(B159&lt;&gt;"", TEXT(VLOOKUP(B159, 'Expected Date'!A:B, 2, FALSE) + DATE(RIGHT(C159,2),MID(C159,4,2),LEFT(C159,2)), "dd/mm/yy"), ""), "")</f>
        <v>20/04/23</v>
      </c>
      <c r="L159" t="s">
        <v>38</v>
      </c>
      <c r="M159" t="s">
        <v>48</v>
      </c>
      <c r="N159" t="s">
        <v>268</v>
      </c>
      <c r="O159" t="s">
        <v>65</v>
      </c>
      <c r="P159">
        <v>23190058</v>
      </c>
      <c r="Q159" t="s">
        <v>266</v>
      </c>
      <c r="R159" t="s">
        <v>267</v>
      </c>
      <c r="S159">
        <v>12000</v>
      </c>
      <c r="T159">
        <v>133</v>
      </c>
      <c r="U159">
        <v>1596000</v>
      </c>
      <c r="V159" t="str">
        <f t="shared" si="49"/>
        <v>Accepted</v>
      </c>
      <c r="W159">
        <f>IFERROR(VLOOKUP(N159, Payment_Terms!A:B, 2, FALSE), "Payment term not found!")</f>
        <v>0</v>
      </c>
      <c r="X159" t="str">
        <f>IFERROR(VLOOKUP(R159, Item_Category!A:B, 2, FALSE), "Uncategorized")</f>
        <v>Magnesium stearate</v>
      </c>
      <c r="Y159" s="5">
        <f t="shared" si="36"/>
        <v>0</v>
      </c>
      <c r="Z159">
        <f t="shared" si="37"/>
        <v>5</v>
      </c>
      <c r="AA159">
        <f t="shared" si="38"/>
        <v>-1</v>
      </c>
      <c r="AB159">
        <f t="shared" si="39"/>
        <v>5</v>
      </c>
      <c r="AC159" s="10">
        <f t="shared" si="40"/>
        <v>9</v>
      </c>
      <c r="AD159" s="5">
        <f t="shared" si="41"/>
        <v>1</v>
      </c>
      <c r="AE159" s="5">
        <f t="shared" si="42"/>
        <v>1</v>
      </c>
      <c r="AF159" s="5">
        <f t="shared" si="43"/>
        <v>0</v>
      </c>
      <c r="AG159">
        <f>IF(B159&lt;&gt;"", COUNTIFS($B$2:B159, B159), "")</f>
        <v>1</v>
      </c>
      <c r="AH159">
        <f t="shared" si="44"/>
        <v>5</v>
      </c>
      <c r="AI159" t="str">
        <f>VLOOKUP(B159, Currency!A:B, 2, FALSE)</f>
        <v>INR</v>
      </c>
      <c r="AJ159">
        <f t="shared" si="45"/>
        <v>5</v>
      </c>
      <c r="AK159">
        <f t="shared" si="46"/>
        <v>4</v>
      </c>
      <c r="AL159" t="str">
        <f t="shared" si="47"/>
        <v>April</v>
      </c>
      <c r="AM159">
        <f t="shared" si="50"/>
        <v>2023</v>
      </c>
      <c r="AN159" t="str">
        <f t="shared" si="48"/>
        <v>0Sunshine Organic Pvt Ltd</v>
      </c>
      <c r="AO159">
        <f>IF(COUNTIF($AN$2:AN159, AN159)=1, 1, 0)</f>
        <v>1</v>
      </c>
      <c r="AP159" t="str">
        <f t="shared" si="51"/>
        <v>&gt;3</v>
      </c>
      <c r="AQ159" t="str">
        <f t="shared" si="52"/>
        <v>&gt;3</v>
      </c>
      <c r="AR159" t="str">
        <f t="shared" si="53"/>
        <v>&gt;3</v>
      </c>
    </row>
    <row r="160" spans="1:44" x14ac:dyDescent="0.3">
      <c r="A160" t="str">
        <f>A154</f>
        <v>Woodpulp</v>
      </c>
      <c r="B160" t="s">
        <v>140</v>
      </c>
      <c r="C160" t="s">
        <v>141</v>
      </c>
      <c r="D160">
        <v>1711</v>
      </c>
      <c r="E160">
        <v>23120018</v>
      </c>
      <c r="F160" t="s">
        <v>142</v>
      </c>
      <c r="G160" t="s">
        <v>360</v>
      </c>
      <c r="H160">
        <v>100</v>
      </c>
      <c r="I160">
        <v>830</v>
      </c>
      <c r="J160">
        <v>6756200</v>
      </c>
      <c r="K160" s="7" t="str">
        <f>IFERROR(IF(B160&lt;&gt;"", TEXT(VLOOKUP(B160, 'Expected Date'!A:B, 2, FALSE) + DATE(RIGHT(C160,2),MID(C160,4,2),LEFT(C160,2)), "dd/mm/yy"), ""), "")</f>
        <v>22/06/23</v>
      </c>
      <c r="L160" t="s">
        <v>68</v>
      </c>
      <c r="M160" t="str">
        <f>M47</f>
        <v>MT</v>
      </c>
      <c r="N160" t="s">
        <v>144</v>
      </c>
      <c r="O160" t="s">
        <v>146</v>
      </c>
      <c r="P160">
        <v>23190177</v>
      </c>
      <c r="Q160" t="s">
        <v>142</v>
      </c>
      <c r="R160" t="s">
        <v>143</v>
      </c>
      <c r="S160">
        <v>99.369</v>
      </c>
      <c r="T160">
        <v>830</v>
      </c>
      <c r="U160">
        <v>6668206.4299999997</v>
      </c>
      <c r="V160" t="str">
        <f t="shared" si="49"/>
        <v>Accepted</v>
      </c>
      <c r="W160">
        <f>IFERROR(VLOOKUP(N160, Payment_Terms!A:B, 2, FALSE), "Payment term not found!")</f>
        <v>30</v>
      </c>
      <c r="X160" t="str">
        <f>IFERROR(VLOOKUP(R160, Item_Category!A:B, 2, FALSE), "Uncategorized")</f>
        <v>Wood pulp</v>
      </c>
      <c r="Y160" s="5">
        <f t="shared" si="36"/>
        <v>6.3100000000000022E-3</v>
      </c>
      <c r="Z160">
        <f t="shared" si="37"/>
        <v>4</v>
      </c>
      <c r="AA160">
        <f t="shared" si="38"/>
        <v>-44</v>
      </c>
      <c r="AB160">
        <f t="shared" si="39"/>
        <v>5</v>
      </c>
      <c r="AC160" s="10">
        <f t="shared" si="40"/>
        <v>1</v>
      </c>
      <c r="AD160" s="5">
        <f t="shared" si="41"/>
        <v>1</v>
      </c>
      <c r="AE160" s="5">
        <f t="shared" si="42"/>
        <v>1</v>
      </c>
      <c r="AF160" s="5">
        <f t="shared" si="43"/>
        <v>0</v>
      </c>
      <c r="AG160">
        <f>IF(B160&lt;&gt;"", COUNTIFS($B$2:B160, B160), "")</f>
        <v>12</v>
      </c>
      <c r="AH160">
        <f t="shared" si="44"/>
        <v>5</v>
      </c>
      <c r="AI160" t="str">
        <f>VLOOKUP(B160, Currency!A:B, 2, FALSE)</f>
        <v>USD</v>
      </c>
      <c r="AJ160">
        <f t="shared" si="45"/>
        <v>5</v>
      </c>
      <c r="AK160">
        <f t="shared" si="46"/>
        <v>5</v>
      </c>
      <c r="AL160" t="str">
        <f t="shared" si="47"/>
        <v>May</v>
      </c>
      <c r="AM160">
        <f t="shared" si="50"/>
        <v>2023</v>
      </c>
      <c r="AN160" t="str">
        <f t="shared" si="48"/>
        <v>30Sappi Paper Holdings GMBH</v>
      </c>
      <c r="AO160">
        <f>IF(COUNTIF($AN$2:AN160, AN160)=1, 1, 0)</f>
        <v>0</v>
      </c>
      <c r="AP160" t="str">
        <f t="shared" si="51"/>
        <v>&gt;3</v>
      </c>
      <c r="AQ160" t="str">
        <f t="shared" si="52"/>
        <v>&gt;3</v>
      </c>
      <c r="AR160" t="str">
        <f t="shared" si="53"/>
        <v>&gt;3</v>
      </c>
    </row>
    <row r="161" spans="1:44" x14ac:dyDescent="0.3">
      <c r="A161" t="s">
        <v>33</v>
      </c>
      <c r="B161" t="s">
        <v>73</v>
      </c>
      <c r="C161" t="s">
        <v>80</v>
      </c>
      <c r="D161">
        <v>1278</v>
      </c>
      <c r="E161">
        <v>23110026</v>
      </c>
      <c r="F161" t="s">
        <v>75</v>
      </c>
      <c r="G161" t="s">
        <v>76</v>
      </c>
      <c r="H161">
        <v>60</v>
      </c>
      <c r="I161">
        <v>3800</v>
      </c>
      <c r="J161">
        <v>228000</v>
      </c>
      <c r="K161" s="7" t="str">
        <f>IFERROR(IF(B161&lt;&gt;"", TEXT(VLOOKUP(B161, 'Expected Date'!A:B, 2, FALSE) + DATE(RIGHT(C161,2),MID(C161,4,2),LEFT(C161,2)), "dd/mm/yy"), ""), "")</f>
        <v>04/05/23</v>
      </c>
      <c r="L161" t="s">
        <v>38</v>
      </c>
      <c r="M161" t="s">
        <v>39</v>
      </c>
      <c r="N161" t="s">
        <v>77</v>
      </c>
      <c r="O161" t="s">
        <v>141</v>
      </c>
      <c r="P161">
        <v>23190180</v>
      </c>
      <c r="Q161" t="s">
        <v>75</v>
      </c>
      <c r="R161" t="s">
        <v>76</v>
      </c>
      <c r="S161">
        <v>60</v>
      </c>
      <c r="T161">
        <v>3800</v>
      </c>
      <c r="U161">
        <v>228000</v>
      </c>
      <c r="V161" t="str">
        <f t="shared" si="49"/>
        <v>Accepted</v>
      </c>
      <c r="W161">
        <f>IFERROR(VLOOKUP(N161, Payment_Terms!A:B, 2, FALSE), "Payment term not found!")</f>
        <v>0</v>
      </c>
      <c r="X161" t="str">
        <f>IFERROR(VLOOKUP(R161, Item_Category!A:B, 2, FALSE), "Uncategorized")</f>
        <v>Pallets</v>
      </c>
      <c r="Y161" s="5">
        <f t="shared" si="36"/>
        <v>0</v>
      </c>
      <c r="Z161">
        <f t="shared" si="37"/>
        <v>5</v>
      </c>
      <c r="AA161">
        <f t="shared" si="38"/>
        <v>4</v>
      </c>
      <c r="AB161">
        <f t="shared" si="39"/>
        <v>4</v>
      </c>
      <c r="AC161" s="10">
        <f t="shared" si="40"/>
        <v>24</v>
      </c>
      <c r="AD161" s="5">
        <f t="shared" si="41"/>
        <v>1</v>
      </c>
      <c r="AE161" s="5">
        <f t="shared" si="42"/>
        <v>1</v>
      </c>
      <c r="AF161" s="5">
        <f t="shared" si="43"/>
        <v>0</v>
      </c>
      <c r="AG161">
        <f>IF(B161&lt;&gt;"", COUNTIFS($B$2:B161, B161), "")</f>
        <v>11</v>
      </c>
      <c r="AH161">
        <f t="shared" si="44"/>
        <v>5</v>
      </c>
      <c r="AI161" t="str">
        <f>VLOOKUP(B161, Currency!A:B, 2, FALSE)</f>
        <v>INR</v>
      </c>
      <c r="AJ161">
        <f t="shared" si="45"/>
        <v>5</v>
      </c>
      <c r="AK161">
        <f t="shared" si="46"/>
        <v>4</v>
      </c>
      <c r="AL161" t="str">
        <f t="shared" si="47"/>
        <v>April</v>
      </c>
      <c r="AM161">
        <f t="shared" si="50"/>
        <v>2023</v>
      </c>
      <c r="AN161" t="str">
        <f t="shared" si="48"/>
        <v>0Nilkamal Limited</v>
      </c>
      <c r="AO161">
        <f>IF(COUNTIF($AN$2:AN161, AN161)=1, 1, 0)</f>
        <v>0</v>
      </c>
      <c r="AP161" t="str">
        <f t="shared" si="51"/>
        <v>&gt;3</v>
      </c>
      <c r="AQ161" t="str">
        <f t="shared" si="52"/>
        <v>&gt;3</v>
      </c>
      <c r="AR161" t="str">
        <f t="shared" si="53"/>
        <v>&gt;3</v>
      </c>
    </row>
    <row r="162" spans="1:44" x14ac:dyDescent="0.3">
      <c r="A162" t="str">
        <f>A160</f>
        <v>Woodpulp</v>
      </c>
      <c r="B162" t="s">
        <v>140</v>
      </c>
      <c r="C162" t="s">
        <v>71</v>
      </c>
      <c r="D162">
        <v>2722</v>
      </c>
      <c r="E162">
        <v>23120071</v>
      </c>
      <c r="F162" t="s">
        <v>142</v>
      </c>
      <c r="G162" t="s">
        <v>360</v>
      </c>
      <c r="H162">
        <v>125</v>
      </c>
      <c r="I162">
        <v>830</v>
      </c>
      <c r="J162">
        <v>8476375</v>
      </c>
      <c r="K162" s="7" t="str">
        <f>IFERROR(IF(B162&lt;&gt;"", TEXT(VLOOKUP(B162, 'Expected Date'!A:B, 2, FALSE) + DATE(RIGHT(C162,2),MID(C162,4,2),LEFT(C162,2)), "dd/mm/yy"), ""), "")</f>
        <v>06/08/23</v>
      </c>
      <c r="L162" t="s">
        <v>68</v>
      </c>
      <c r="M162" t="str">
        <f>M47</f>
        <v>MT</v>
      </c>
      <c r="N162" t="s">
        <v>190</v>
      </c>
      <c r="O162" t="s">
        <v>270</v>
      </c>
      <c r="P162">
        <v>23191115</v>
      </c>
      <c r="Q162" t="s">
        <v>142</v>
      </c>
      <c r="R162" t="s">
        <v>143</v>
      </c>
      <c r="S162">
        <v>122.923</v>
      </c>
      <c r="T162">
        <v>830</v>
      </c>
      <c r="U162">
        <v>8386544.5999999996</v>
      </c>
      <c r="V162" t="str">
        <f t="shared" si="49"/>
        <v>Accepted</v>
      </c>
      <c r="W162">
        <f>IFERROR(VLOOKUP(N162, Payment_Terms!A:B, 2, FALSE), "Payment term not found!")</f>
        <v>0</v>
      </c>
      <c r="X162" t="str">
        <f>IFERROR(VLOOKUP(R162, Item_Category!A:B, 2, FALSE), "Uncategorized")</f>
        <v>Wood pulp</v>
      </c>
      <c r="Y162" s="5">
        <f t="shared" si="36"/>
        <v>1.6615999999999985E-2</v>
      </c>
      <c r="Z162">
        <f t="shared" si="37"/>
        <v>4</v>
      </c>
      <c r="AA162">
        <f t="shared" si="38"/>
        <v>41</v>
      </c>
      <c r="AB162">
        <f t="shared" si="39"/>
        <v>1</v>
      </c>
      <c r="AC162" s="10">
        <f t="shared" si="40"/>
        <v>86</v>
      </c>
      <c r="AD162" s="5">
        <f t="shared" si="41"/>
        <v>1</v>
      </c>
      <c r="AE162" s="5">
        <f t="shared" si="42"/>
        <v>1</v>
      </c>
      <c r="AF162" s="5">
        <f t="shared" si="43"/>
        <v>0</v>
      </c>
      <c r="AG162">
        <f>IF(B162&lt;&gt;"", COUNTIFS($B$2:B162, B162), "")</f>
        <v>13</v>
      </c>
      <c r="AH162">
        <f t="shared" si="44"/>
        <v>5</v>
      </c>
      <c r="AI162" t="str">
        <f>VLOOKUP(B162, Currency!A:B, 2, FALSE)</f>
        <v>USD</v>
      </c>
      <c r="AJ162">
        <f t="shared" si="45"/>
        <v>4</v>
      </c>
      <c r="AK162">
        <f t="shared" si="46"/>
        <v>6</v>
      </c>
      <c r="AL162" t="str">
        <f t="shared" si="47"/>
        <v>June</v>
      </c>
      <c r="AM162">
        <f t="shared" si="50"/>
        <v>2023</v>
      </c>
      <c r="AN162" t="str">
        <f t="shared" si="48"/>
        <v>0Sappi Paper Holdings GMBH</v>
      </c>
      <c r="AO162">
        <f>IF(COUNTIF($AN$2:AN162, AN162)=1, 1, 0)</f>
        <v>0</v>
      </c>
      <c r="AP162" t="str">
        <f t="shared" si="51"/>
        <v>&gt;3</v>
      </c>
      <c r="AQ162" t="str">
        <f t="shared" si="52"/>
        <v>&gt;3</v>
      </c>
      <c r="AR162" t="str">
        <f t="shared" si="53"/>
        <v>&lt;=3</v>
      </c>
    </row>
    <row r="163" spans="1:44" x14ac:dyDescent="0.3">
      <c r="A163" t="s">
        <v>33</v>
      </c>
      <c r="B163" t="s">
        <v>147</v>
      </c>
      <c r="C163" t="s">
        <v>179</v>
      </c>
      <c r="D163">
        <v>2112</v>
      </c>
      <c r="E163">
        <v>23120033</v>
      </c>
      <c r="F163" t="s">
        <v>148</v>
      </c>
      <c r="G163" t="s">
        <v>149</v>
      </c>
      <c r="H163">
        <v>1500</v>
      </c>
      <c r="I163">
        <v>225</v>
      </c>
      <c r="J163">
        <v>337500</v>
      </c>
      <c r="K163" s="7" t="str">
        <f>IFERROR(IF(B163&lt;&gt;"", TEXT(VLOOKUP(B163, 'Expected Date'!A:B, 2, FALSE) + DATE(RIGHT(C163,2),MID(C163,4,2),LEFT(C163,2)), "dd/mm/yy"), ""), "")</f>
        <v>02/06/23</v>
      </c>
      <c r="L163" t="s">
        <v>38</v>
      </c>
      <c r="M163" t="s">
        <v>39</v>
      </c>
      <c r="N163" t="s">
        <v>49</v>
      </c>
      <c r="O163" t="s">
        <v>271</v>
      </c>
      <c r="P163">
        <v>23190411</v>
      </c>
      <c r="Q163" t="s">
        <v>148</v>
      </c>
      <c r="R163" t="s">
        <v>149</v>
      </c>
      <c r="S163">
        <v>504</v>
      </c>
      <c r="T163">
        <v>225</v>
      </c>
      <c r="U163">
        <v>113400</v>
      </c>
      <c r="V163" t="str">
        <f t="shared" si="49"/>
        <v>Accepted</v>
      </c>
      <c r="W163">
        <f>IFERROR(VLOOKUP(N163, Payment_Terms!A:B, 2, FALSE), "Payment term not found!")</f>
        <v>30</v>
      </c>
      <c r="X163" t="str">
        <f>IFERROR(VLOOKUP(R163, Item_Category!A:B, 2, FALSE), "Uncategorized")</f>
        <v>Fibre drum</v>
      </c>
      <c r="Y163" s="5">
        <f t="shared" si="36"/>
        <v>0</v>
      </c>
      <c r="Z163">
        <f t="shared" si="37"/>
        <v>5</v>
      </c>
      <c r="AA163">
        <f t="shared" si="38"/>
        <v>9</v>
      </c>
      <c r="AB163">
        <f t="shared" si="39"/>
        <v>2</v>
      </c>
      <c r="AC163" s="10">
        <f t="shared" si="40"/>
        <v>19</v>
      </c>
      <c r="AD163" s="5">
        <f t="shared" si="41"/>
        <v>1</v>
      </c>
      <c r="AE163" s="5">
        <f t="shared" si="42"/>
        <v>1</v>
      </c>
      <c r="AF163" s="5">
        <f t="shared" si="43"/>
        <v>0</v>
      </c>
      <c r="AG163">
        <f>IF(B163&lt;&gt;"", COUNTIFS($B$2:B163, B163), "")</f>
        <v>5</v>
      </c>
      <c r="AH163">
        <f t="shared" si="44"/>
        <v>5</v>
      </c>
      <c r="AI163" t="str">
        <f>VLOOKUP(B163, Currency!A:B, 2, FALSE)</f>
        <v>INR</v>
      </c>
      <c r="AJ163">
        <f t="shared" si="45"/>
        <v>5</v>
      </c>
      <c r="AK163">
        <f t="shared" si="46"/>
        <v>5</v>
      </c>
      <c r="AL163" t="str">
        <f t="shared" si="47"/>
        <v>May</v>
      </c>
      <c r="AM163">
        <f t="shared" si="50"/>
        <v>2023</v>
      </c>
      <c r="AN163" t="str">
        <f t="shared" si="48"/>
        <v>30Navodaya Packing Industries</v>
      </c>
      <c r="AO163">
        <f>IF(COUNTIF($AN$2:AN163, AN163)=1, 1, 0)</f>
        <v>0</v>
      </c>
      <c r="AP163" t="str">
        <f t="shared" si="51"/>
        <v>&gt;3</v>
      </c>
      <c r="AQ163" t="str">
        <f t="shared" si="52"/>
        <v>&gt;3</v>
      </c>
      <c r="AR163" t="str">
        <f t="shared" si="53"/>
        <v>&lt;=3</v>
      </c>
    </row>
    <row r="164" spans="1:44" x14ac:dyDescent="0.3">
      <c r="A164" t="s">
        <v>33</v>
      </c>
      <c r="B164" t="s">
        <v>147</v>
      </c>
      <c r="C164" t="s">
        <v>179</v>
      </c>
      <c r="D164">
        <v>2112</v>
      </c>
      <c r="E164">
        <v>23120033</v>
      </c>
      <c r="F164" t="s">
        <v>148</v>
      </c>
      <c r="G164" t="s">
        <v>149</v>
      </c>
      <c r="H164">
        <v>1500</v>
      </c>
      <c r="I164">
        <v>225</v>
      </c>
      <c r="J164">
        <v>337500</v>
      </c>
      <c r="K164" s="7" t="str">
        <f>IFERROR(IF(B164&lt;&gt;"", TEXT(VLOOKUP(B164, 'Expected Date'!A:B, 2, FALSE) + DATE(RIGHT(C164,2),MID(C164,4,2),LEFT(C164,2)), "dd/mm/yy"), ""), "")</f>
        <v>02/06/23</v>
      </c>
      <c r="L164" t="s">
        <v>38</v>
      </c>
      <c r="M164" t="s">
        <v>39</v>
      </c>
      <c r="N164" t="s">
        <v>49</v>
      </c>
      <c r="O164" t="s">
        <v>195</v>
      </c>
      <c r="P164">
        <v>23190434</v>
      </c>
      <c r="Q164" t="s">
        <v>148</v>
      </c>
      <c r="R164" t="s">
        <v>149</v>
      </c>
      <c r="S164">
        <v>498</v>
      </c>
      <c r="T164">
        <v>225</v>
      </c>
      <c r="U164">
        <v>112050</v>
      </c>
      <c r="V164" t="str">
        <f t="shared" si="49"/>
        <v>Accepted</v>
      </c>
      <c r="W164">
        <f>IFERROR(VLOOKUP(N164, Payment_Terms!A:B, 2, FALSE), "Payment term not found!")</f>
        <v>30</v>
      </c>
      <c r="X164" t="str">
        <f>IFERROR(VLOOKUP(R164, Item_Category!A:B, 2, FALSE), "Uncategorized")</f>
        <v>Fibre drum</v>
      </c>
      <c r="Y164" s="5">
        <f t="shared" si="36"/>
        <v>0</v>
      </c>
      <c r="Z164">
        <f t="shared" si="37"/>
        <v>5</v>
      </c>
      <c r="AA164">
        <f t="shared" si="38"/>
        <v>13</v>
      </c>
      <c r="AB164">
        <f t="shared" si="39"/>
        <v>1</v>
      </c>
      <c r="AC164" s="10">
        <f t="shared" si="40"/>
        <v>23</v>
      </c>
      <c r="AD164" s="5">
        <f t="shared" si="41"/>
        <v>1</v>
      </c>
      <c r="AE164" s="5">
        <f t="shared" si="42"/>
        <v>1</v>
      </c>
      <c r="AF164" s="5">
        <f t="shared" si="43"/>
        <v>0</v>
      </c>
      <c r="AG164">
        <f>IF(B164&lt;&gt;"", COUNTIFS($B$2:B164, B164), "")</f>
        <v>6</v>
      </c>
      <c r="AH164">
        <f t="shared" si="44"/>
        <v>5</v>
      </c>
      <c r="AI164" t="str">
        <f>VLOOKUP(B164, Currency!A:B, 2, FALSE)</f>
        <v>INR</v>
      </c>
      <c r="AJ164">
        <f t="shared" si="45"/>
        <v>4</v>
      </c>
      <c r="AK164">
        <f t="shared" si="46"/>
        <v>5</v>
      </c>
      <c r="AL164" t="str">
        <f t="shared" si="47"/>
        <v>May</v>
      </c>
      <c r="AM164">
        <f t="shared" si="50"/>
        <v>2023</v>
      </c>
      <c r="AN164" t="str">
        <f t="shared" si="48"/>
        <v>30Navodaya Packing Industries</v>
      </c>
      <c r="AO164">
        <f>IF(COUNTIF($AN$2:AN164, AN164)=1, 1, 0)</f>
        <v>0</v>
      </c>
      <c r="AP164" t="str">
        <f t="shared" si="51"/>
        <v>&gt;3</v>
      </c>
      <c r="AQ164" t="str">
        <f t="shared" si="52"/>
        <v>&gt;3</v>
      </c>
      <c r="AR164" t="str">
        <f t="shared" si="53"/>
        <v>&lt;=3</v>
      </c>
    </row>
    <row r="165" spans="1:44" x14ac:dyDescent="0.3">
      <c r="A165" t="s">
        <v>33</v>
      </c>
      <c r="B165" t="s">
        <v>107</v>
      </c>
      <c r="C165" t="s">
        <v>117</v>
      </c>
      <c r="D165">
        <v>2899</v>
      </c>
      <c r="E165">
        <v>23120083</v>
      </c>
      <c r="F165" t="s">
        <v>118</v>
      </c>
      <c r="G165" t="s">
        <v>119</v>
      </c>
      <c r="H165">
        <v>6000</v>
      </c>
      <c r="I165">
        <v>33.25</v>
      </c>
      <c r="J165">
        <v>199500</v>
      </c>
      <c r="K165" s="7" t="str">
        <f>IFERROR(IF(B165&lt;&gt;"", TEXT(VLOOKUP(B165, 'Expected Date'!A:B, 2, FALSE) + DATE(RIGHT(C165,2),MID(C165,4,2),LEFT(C165,2)), "dd/mm/yy"), ""), "")</f>
        <v>17/07/23</v>
      </c>
      <c r="L165" t="s">
        <v>38</v>
      </c>
      <c r="M165" t="s">
        <v>39</v>
      </c>
      <c r="N165" t="s">
        <v>109</v>
      </c>
      <c r="O165" t="s">
        <v>181</v>
      </c>
      <c r="P165">
        <v>23191104</v>
      </c>
      <c r="Q165" t="s">
        <v>118</v>
      </c>
      <c r="R165" t="s">
        <v>119</v>
      </c>
      <c r="S165">
        <v>2100</v>
      </c>
      <c r="T165">
        <v>33.25</v>
      </c>
      <c r="U165">
        <v>69825</v>
      </c>
      <c r="V165" t="str">
        <f t="shared" si="49"/>
        <v>Accepted</v>
      </c>
      <c r="W165">
        <f>IFERROR(VLOOKUP(N165, Payment_Terms!A:B, 2, FALSE), "Payment term not found!")</f>
        <v>0</v>
      </c>
      <c r="X165" t="str">
        <f>IFERROR(VLOOKUP(R165, Item_Category!A:B, 2, FALSE), "Uncategorized")</f>
        <v>Bags</v>
      </c>
      <c r="Y165" s="5">
        <f t="shared" si="36"/>
        <v>0</v>
      </c>
      <c r="Z165">
        <f t="shared" si="37"/>
        <v>5</v>
      </c>
      <c r="AA165">
        <f t="shared" si="38"/>
        <v>66</v>
      </c>
      <c r="AB165">
        <f t="shared" si="39"/>
        <v>1</v>
      </c>
      <c r="AC165" s="10">
        <f t="shared" si="40"/>
        <v>76</v>
      </c>
      <c r="AD165" s="5">
        <f t="shared" si="41"/>
        <v>1</v>
      </c>
      <c r="AE165" s="5">
        <f t="shared" si="42"/>
        <v>1</v>
      </c>
      <c r="AF165" s="5">
        <f t="shared" si="43"/>
        <v>0</v>
      </c>
      <c r="AG165">
        <f>IF(B165&lt;&gt;"", COUNTIFS($B$2:B165, B165), "")</f>
        <v>10</v>
      </c>
      <c r="AH165">
        <f t="shared" si="44"/>
        <v>5</v>
      </c>
      <c r="AI165" t="str">
        <f>VLOOKUP(B165, Currency!A:B, 2, FALSE)</f>
        <v>INR</v>
      </c>
      <c r="AJ165">
        <f t="shared" si="45"/>
        <v>4</v>
      </c>
      <c r="AK165">
        <f t="shared" si="46"/>
        <v>7</v>
      </c>
      <c r="AL165" t="str">
        <f t="shared" si="47"/>
        <v>July</v>
      </c>
      <c r="AM165">
        <f t="shared" si="50"/>
        <v>2023</v>
      </c>
      <c r="AN165" t="str">
        <f t="shared" si="48"/>
        <v>0KAPILA INDUSTRIES</v>
      </c>
      <c r="AO165">
        <f>IF(COUNTIF($AN$2:AN165, AN165)=1, 1, 0)</f>
        <v>0</v>
      </c>
      <c r="AP165" t="str">
        <f t="shared" si="51"/>
        <v>&gt;3</v>
      </c>
      <c r="AQ165" t="str">
        <f t="shared" si="52"/>
        <v>&gt;3</v>
      </c>
      <c r="AR165" t="str">
        <f t="shared" si="53"/>
        <v>&lt;=3</v>
      </c>
    </row>
    <row r="166" spans="1:44" x14ac:dyDescent="0.3">
      <c r="A166" t="s">
        <v>33</v>
      </c>
      <c r="B166" t="s">
        <v>73</v>
      </c>
      <c r="C166" t="s">
        <v>228</v>
      </c>
      <c r="D166">
        <v>4551</v>
      </c>
      <c r="E166">
        <v>23110457</v>
      </c>
      <c r="F166" t="s">
        <v>75</v>
      </c>
      <c r="G166" t="s">
        <v>76</v>
      </c>
      <c r="H166">
        <v>60</v>
      </c>
      <c r="I166">
        <v>3800</v>
      </c>
      <c r="J166">
        <v>228000</v>
      </c>
      <c r="K166" s="7" t="str">
        <f>IFERROR(IF(B166&lt;&gt;"", TEXT(VLOOKUP(B166, 'Expected Date'!A:B, 2, FALSE) + DATE(RIGHT(C166,2),MID(C166,4,2),LEFT(C166,2)), "dd/mm/yy"), ""), "")</f>
        <v>12/10/23</v>
      </c>
      <c r="L166" t="s">
        <v>38</v>
      </c>
      <c r="M166" t="s">
        <v>39</v>
      </c>
      <c r="N166" t="s">
        <v>273</v>
      </c>
      <c r="O166" t="s">
        <v>254</v>
      </c>
      <c r="P166">
        <v>23191317</v>
      </c>
      <c r="Q166" t="s">
        <v>75</v>
      </c>
      <c r="R166" t="s">
        <v>76</v>
      </c>
      <c r="S166">
        <v>60</v>
      </c>
      <c r="T166">
        <v>3800</v>
      </c>
      <c r="U166">
        <v>228000</v>
      </c>
      <c r="V166" t="str">
        <f t="shared" si="49"/>
        <v>Accepted</v>
      </c>
      <c r="W166">
        <f>IFERROR(VLOOKUP(N166, Payment_Terms!A:B, 2, FALSE), "Payment term not found!")</f>
        <v>0</v>
      </c>
      <c r="X166" t="str">
        <f>IFERROR(VLOOKUP(R166, Item_Category!A:B, 2, FALSE), "Uncategorized")</f>
        <v>Pallets</v>
      </c>
      <c r="Y166" s="5">
        <f t="shared" si="36"/>
        <v>0</v>
      </c>
      <c r="Z166">
        <f t="shared" si="37"/>
        <v>5</v>
      </c>
      <c r="AA166">
        <f t="shared" si="38"/>
        <v>2</v>
      </c>
      <c r="AB166">
        <f t="shared" si="39"/>
        <v>5</v>
      </c>
      <c r="AC166" s="10">
        <f t="shared" si="40"/>
        <v>22</v>
      </c>
      <c r="AD166" s="5">
        <f t="shared" si="41"/>
        <v>1</v>
      </c>
      <c r="AE166" s="5">
        <f t="shared" si="42"/>
        <v>1</v>
      </c>
      <c r="AF166" s="5">
        <f t="shared" si="43"/>
        <v>0</v>
      </c>
      <c r="AG166">
        <f>IF(B166&lt;&gt;"", COUNTIFS($B$2:B166, B166), "")</f>
        <v>12</v>
      </c>
      <c r="AH166">
        <f t="shared" si="44"/>
        <v>5</v>
      </c>
      <c r="AI166" t="str">
        <f>VLOOKUP(B166, Currency!A:B, 2, FALSE)</f>
        <v>INR</v>
      </c>
      <c r="AJ166">
        <f t="shared" si="45"/>
        <v>5</v>
      </c>
      <c r="AK166">
        <f t="shared" si="46"/>
        <v>9</v>
      </c>
      <c r="AL166" t="str">
        <f t="shared" si="47"/>
        <v>September</v>
      </c>
      <c r="AM166">
        <f t="shared" si="50"/>
        <v>2023</v>
      </c>
      <c r="AN166" t="str">
        <f t="shared" si="48"/>
        <v>0Nilkamal Limited</v>
      </c>
      <c r="AO166">
        <f>IF(COUNTIF($AN$2:AN166, AN166)=1, 1, 0)</f>
        <v>0</v>
      </c>
      <c r="AP166" t="str">
        <f t="shared" si="51"/>
        <v>&gt;3</v>
      </c>
      <c r="AQ166" t="str">
        <f t="shared" si="52"/>
        <v>&gt;3</v>
      </c>
      <c r="AR166" t="str">
        <f t="shared" si="53"/>
        <v>&gt;3</v>
      </c>
    </row>
    <row r="167" spans="1:44" x14ac:dyDescent="0.3">
      <c r="A167" t="s">
        <v>33</v>
      </c>
      <c r="B167" t="s">
        <v>274</v>
      </c>
      <c r="C167" t="s">
        <v>249</v>
      </c>
      <c r="D167">
        <v>2549</v>
      </c>
      <c r="E167">
        <v>23120049</v>
      </c>
      <c r="F167" t="s">
        <v>250</v>
      </c>
      <c r="G167" t="s">
        <v>251</v>
      </c>
      <c r="H167">
        <v>800</v>
      </c>
      <c r="I167">
        <v>390</v>
      </c>
      <c r="J167">
        <v>312000</v>
      </c>
      <c r="K167" s="7" t="str">
        <f>IFERROR(IF(B167&lt;&gt;"", TEXT(VLOOKUP(B167, 'Expected Date'!A:B, 2, FALSE) + DATE(RIGHT(C167,2),MID(C167,4,2),LEFT(C167,2)), "dd/mm/yy"), ""), "")</f>
        <v>01/07/23</v>
      </c>
      <c r="L167" t="s">
        <v>38</v>
      </c>
      <c r="M167" t="s">
        <v>39</v>
      </c>
      <c r="N167" t="s">
        <v>109</v>
      </c>
      <c r="O167" t="s">
        <v>60</v>
      </c>
      <c r="P167">
        <v>23190501</v>
      </c>
      <c r="Q167" t="s">
        <v>250</v>
      </c>
      <c r="R167" t="s">
        <v>251</v>
      </c>
      <c r="S167">
        <v>400</v>
      </c>
      <c r="T167">
        <v>390</v>
      </c>
      <c r="U167">
        <v>156000</v>
      </c>
      <c r="V167" t="str">
        <f t="shared" si="49"/>
        <v>Accepted</v>
      </c>
      <c r="W167">
        <f>IFERROR(VLOOKUP(N167, Payment_Terms!A:B, 2, FALSE), "Payment term not found!")</f>
        <v>0</v>
      </c>
      <c r="X167" t="str">
        <f>IFERROR(VLOOKUP(R167, Item_Category!A:B, 2, FALSE), "Uncategorized")</f>
        <v>HDPE</v>
      </c>
      <c r="Y167" s="5">
        <f t="shared" si="36"/>
        <v>0</v>
      </c>
      <c r="Z167">
        <f t="shared" si="37"/>
        <v>5</v>
      </c>
      <c r="AA167">
        <f t="shared" si="38"/>
        <v>-5</v>
      </c>
      <c r="AB167">
        <f t="shared" si="39"/>
        <v>5</v>
      </c>
      <c r="AC167" s="10">
        <f t="shared" si="40"/>
        <v>5</v>
      </c>
      <c r="AD167" s="5">
        <f t="shared" si="41"/>
        <v>1</v>
      </c>
      <c r="AE167" s="5">
        <f t="shared" si="42"/>
        <v>1</v>
      </c>
      <c r="AF167" s="5">
        <f t="shared" si="43"/>
        <v>0</v>
      </c>
      <c r="AG167">
        <f>IF(B167&lt;&gt;"", COUNTIFS($B$2:B167, B167), "")</f>
        <v>1</v>
      </c>
      <c r="AH167">
        <f t="shared" si="44"/>
        <v>5</v>
      </c>
      <c r="AI167" t="str">
        <f>VLOOKUP(B167, Currency!A:B, 2, FALSE)</f>
        <v>INR</v>
      </c>
      <c r="AJ167">
        <f t="shared" si="45"/>
        <v>5</v>
      </c>
      <c r="AK167">
        <f t="shared" si="46"/>
        <v>6</v>
      </c>
      <c r="AL167" t="str">
        <f t="shared" si="47"/>
        <v>June</v>
      </c>
      <c r="AM167">
        <f t="shared" si="50"/>
        <v>2023</v>
      </c>
      <c r="AN167" t="str">
        <f t="shared" si="48"/>
        <v>0Pragati Poly Plast India (Pvt) Ltd</v>
      </c>
      <c r="AO167">
        <f>IF(COUNTIF($AN$2:AN167, AN167)=1, 1, 0)</f>
        <v>1</v>
      </c>
      <c r="AP167" t="str">
        <f t="shared" si="51"/>
        <v>&gt;3</v>
      </c>
      <c r="AQ167" t="str">
        <f t="shared" si="52"/>
        <v>&gt;3</v>
      </c>
      <c r="AR167" t="str">
        <f t="shared" si="53"/>
        <v>&gt;3</v>
      </c>
    </row>
    <row r="168" spans="1:44" x14ac:dyDescent="0.3">
      <c r="A168" t="s">
        <v>33</v>
      </c>
      <c r="B168" t="s">
        <v>73</v>
      </c>
      <c r="C168" t="s">
        <v>108</v>
      </c>
      <c r="D168">
        <v>1808</v>
      </c>
      <c r="E168">
        <v>23120022</v>
      </c>
      <c r="F168" t="s">
        <v>75</v>
      </c>
      <c r="G168" t="s">
        <v>76</v>
      </c>
      <c r="H168">
        <v>1600</v>
      </c>
      <c r="I168">
        <v>900</v>
      </c>
      <c r="J168">
        <v>1440000</v>
      </c>
      <c r="K168" s="7" t="str">
        <f>IFERROR(IF(B168&lt;&gt;"", TEXT(VLOOKUP(B168, 'Expected Date'!A:B, 2, FALSE) + DATE(RIGHT(C168,2),MID(C168,4,2),LEFT(C168,2)), "dd/mm/yy"), ""), "")</f>
        <v>30/05/23</v>
      </c>
      <c r="L168" t="s">
        <v>38</v>
      </c>
      <c r="M168" t="s">
        <v>39</v>
      </c>
      <c r="N168" t="s">
        <v>77</v>
      </c>
      <c r="O168" t="s">
        <v>139</v>
      </c>
      <c r="P168">
        <v>23190507</v>
      </c>
      <c r="Q168" t="s">
        <v>75</v>
      </c>
      <c r="R168" t="s">
        <v>76</v>
      </c>
      <c r="S168">
        <v>400</v>
      </c>
      <c r="T168">
        <v>900</v>
      </c>
      <c r="U168">
        <v>360000</v>
      </c>
      <c r="V168" t="str">
        <f t="shared" si="49"/>
        <v>Accepted</v>
      </c>
      <c r="W168">
        <f>IFERROR(VLOOKUP(N168, Payment_Terms!A:B, 2, FALSE), "Payment term not found!")</f>
        <v>0</v>
      </c>
      <c r="X168" t="str">
        <f>IFERROR(VLOOKUP(R168, Item_Category!A:B, 2, FALSE), "Uncategorized")</f>
        <v>Pallets</v>
      </c>
      <c r="Y168" s="5">
        <f t="shared" si="36"/>
        <v>0</v>
      </c>
      <c r="Z168">
        <f t="shared" si="37"/>
        <v>5</v>
      </c>
      <c r="AA168">
        <f t="shared" si="38"/>
        <v>29</v>
      </c>
      <c r="AB168">
        <f t="shared" si="39"/>
        <v>1</v>
      </c>
      <c r="AC168" s="10">
        <f t="shared" si="40"/>
        <v>49</v>
      </c>
      <c r="AD168" s="5">
        <f t="shared" si="41"/>
        <v>1</v>
      </c>
      <c r="AE168" s="5">
        <f t="shared" si="42"/>
        <v>1</v>
      </c>
      <c r="AF168" s="5">
        <f t="shared" si="43"/>
        <v>0</v>
      </c>
      <c r="AG168">
        <f>IF(B168&lt;&gt;"", COUNTIFS($B$2:B168, B168), "")</f>
        <v>13</v>
      </c>
      <c r="AH168">
        <f t="shared" si="44"/>
        <v>5</v>
      </c>
      <c r="AI168" t="str">
        <f>VLOOKUP(B168, Currency!A:B, 2, FALSE)</f>
        <v>INR</v>
      </c>
      <c r="AJ168">
        <f t="shared" si="45"/>
        <v>4</v>
      </c>
      <c r="AK168">
        <f t="shared" si="46"/>
        <v>5</v>
      </c>
      <c r="AL168" t="str">
        <f t="shared" si="47"/>
        <v>May</v>
      </c>
      <c r="AM168">
        <f t="shared" si="50"/>
        <v>2023</v>
      </c>
      <c r="AN168" t="str">
        <f t="shared" si="48"/>
        <v>0Nilkamal Limited</v>
      </c>
      <c r="AO168">
        <f>IF(COUNTIF($AN$2:AN168, AN168)=1, 1, 0)</f>
        <v>0</v>
      </c>
      <c r="AP168" t="str">
        <f t="shared" si="51"/>
        <v>&gt;3</v>
      </c>
      <c r="AQ168" t="str">
        <f t="shared" si="52"/>
        <v>&gt;3</v>
      </c>
      <c r="AR168" t="str">
        <f t="shared" si="53"/>
        <v>&lt;=3</v>
      </c>
    </row>
    <row r="169" spans="1:44" x14ac:dyDescent="0.3">
      <c r="A169" t="s">
        <v>33</v>
      </c>
      <c r="B169" t="s">
        <v>274</v>
      </c>
      <c r="C169" t="s">
        <v>249</v>
      </c>
      <c r="D169">
        <v>2549</v>
      </c>
      <c r="E169">
        <v>23120049</v>
      </c>
      <c r="F169" t="s">
        <v>250</v>
      </c>
      <c r="G169" t="s">
        <v>251</v>
      </c>
      <c r="H169">
        <v>800</v>
      </c>
      <c r="I169">
        <v>390</v>
      </c>
      <c r="J169">
        <v>312000</v>
      </c>
      <c r="K169" s="7" t="str">
        <f>IFERROR(IF(B169&lt;&gt;"", TEXT(VLOOKUP(B169, 'Expected Date'!A:B, 2, FALSE) + DATE(RIGHT(C169,2),MID(C169,4,2),LEFT(C169,2)), "dd/mm/yy"), ""), "")</f>
        <v>01/07/23</v>
      </c>
      <c r="L169" t="s">
        <v>38</v>
      </c>
      <c r="M169" t="s">
        <v>39</v>
      </c>
      <c r="N169" t="s">
        <v>109</v>
      </c>
      <c r="O169" t="s">
        <v>139</v>
      </c>
      <c r="P169">
        <v>23190509</v>
      </c>
      <c r="Q169" t="s">
        <v>250</v>
      </c>
      <c r="R169" t="s">
        <v>251</v>
      </c>
      <c r="S169">
        <v>400</v>
      </c>
      <c r="T169">
        <v>390</v>
      </c>
      <c r="U169">
        <v>156000</v>
      </c>
      <c r="V169" t="str">
        <f t="shared" si="49"/>
        <v>Accepted</v>
      </c>
      <c r="W169">
        <f>IFERROR(VLOOKUP(N169, Payment_Terms!A:B, 2, FALSE), "Payment term not found!")</f>
        <v>0</v>
      </c>
      <c r="X169" t="str">
        <f>IFERROR(VLOOKUP(R169, Item_Category!A:B, 2, FALSE), "Uncategorized")</f>
        <v>HDPE</v>
      </c>
      <c r="Y169" s="5">
        <f t="shared" si="36"/>
        <v>0</v>
      </c>
      <c r="Z169">
        <f t="shared" si="37"/>
        <v>5</v>
      </c>
      <c r="AA169">
        <f t="shared" si="38"/>
        <v>-3</v>
      </c>
      <c r="AB169">
        <f t="shared" si="39"/>
        <v>5</v>
      </c>
      <c r="AC169" s="10">
        <f t="shared" si="40"/>
        <v>7</v>
      </c>
      <c r="AD169" s="5">
        <f t="shared" si="41"/>
        <v>1</v>
      </c>
      <c r="AE169" s="5">
        <f t="shared" si="42"/>
        <v>1</v>
      </c>
      <c r="AF169" s="5">
        <f t="shared" si="43"/>
        <v>0</v>
      </c>
      <c r="AG169">
        <f>IF(B169&lt;&gt;"", COUNTIFS($B$2:B169, B169), "")</f>
        <v>2</v>
      </c>
      <c r="AH169">
        <f t="shared" si="44"/>
        <v>5</v>
      </c>
      <c r="AI169" t="str">
        <f>VLOOKUP(B169, Currency!A:B, 2, FALSE)</f>
        <v>INR</v>
      </c>
      <c r="AJ169">
        <f t="shared" si="45"/>
        <v>5</v>
      </c>
      <c r="AK169">
        <f t="shared" si="46"/>
        <v>6</v>
      </c>
      <c r="AL169" t="str">
        <f t="shared" si="47"/>
        <v>June</v>
      </c>
      <c r="AM169">
        <f t="shared" si="50"/>
        <v>2023</v>
      </c>
      <c r="AN169" t="str">
        <f t="shared" si="48"/>
        <v>0Pragati Poly Plast India (Pvt) Ltd</v>
      </c>
      <c r="AO169">
        <f>IF(COUNTIF($AN$2:AN169, AN169)=1, 1, 0)</f>
        <v>0</v>
      </c>
      <c r="AP169" t="str">
        <f t="shared" si="51"/>
        <v>&gt;3</v>
      </c>
      <c r="AQ169" t="str">
        <f t="shared" si="52"/>
        <v>&gt;3</v>
      </c>
      <c r="AR169" t="str">
        <f t="shared" si="53"/>
        <v>&gt;3</v>
      </c>
    </row>
    <row r="170" spans="1:44" x14ac:dyDescent="0.3">
      <c r="A170" t="s">
        <v>33</v>
      </c>
      <c r="B170" t="s">
        <v>44</v>
      </c>
      <c r="C170" t="s">
        <v>225</v>
      </c>
      <c r="D170">
        <v>1842</v>
      </c>
      <c r="E170">
        <v>23120027</v>
      </c>
      <c r="F170" t="s">
        <v>46</v>
      </c>
      <c r="G170" t="s">
        <v>47</v>
      </c>
      <c r="H170">
        <v>600</v>
      </c>
      <c r="I170">
        <v>80</v>
      </c>
      <c r="J170">
        <v>48000</v>
      </c>
      <c r="K170" s="7" t="str">
        <f>IFERROR(IF(B170&lt;&gt;"", TEXT(VLOOKUP(B170, 'Expected Date'!A:B, 2, FALSE) + DATE(RIGHT(C170,2),MID(C170,4,2),LEFT(C170,2)), "dd/mm/yy"), ""), "")</f>
        <v>16/05/23</v>
      </c>
      <c r="L170" t="s">
        <v>38</v>
      </c>
      <c r="M170" t="s">
        <v>48</v>
      </c>
      <c r="N170" t="s">
        <v>49</v>
      </c>
      <c r="O170" t="s">
        <v>174</v>
      </c>
      <c r="P170">
        <v>23190250</v>
      </c>
      <c r="Q170" t="s">
        <v>46</v>
      </c>
      <c r="R170" t="s">
        <v>47</v>
      </c>
      <c r="S170">
        <v>500</v>
      </c>
      <c r="T170">
        <v>80</v>
      </c>
      <c r="U170">
        <v>40000</v>
      </c>
      <c r="V170" t="str">
        <f t="shared" si="49"/>
        <v>Accepted</v>
      </c>
      <c r="W170">
        <f>IFERROR(VLOOKUP(N170, Payment_Terms!A:B, 2, FALSE), "Payment term not found!")</f>
        <v>30</v>
      </c>
      <c r="X170" t="str">
        <f>IFERROR(VLOOKUP(R170, Item_Category!A:B, 2, FALSE), "Uncategorized")</f>
        <v>Gas</v>
      </c>
      <c r="Y170" s="5">
        <f t="shared" si="36"/>
        <v>0</v>
      </c>
      <c r="Z170">
        <f t="shared" si="37"/>
        <v>5</v>
      </c>
      <c r="AA170">
        <f t="shared" si="38"/>
        <v>0</v>
      </c>
      <c r="AB170">
        <f t="shared" si="39"/>
        <v>5</v>
      </c>
      <c r="AC170" s="10">
        <f t="shared" si="40"/>
        <v>5</v>
      </c>
      <c r="AD170" s="5">
        <f t="shared" si="41"/>
        <v>1</v>
      </c>
      <c r="AE170" s="5">
        <f t="shared" si="42"/>
        <v>1</v>
      </c>
      <c r="AF170" s="5">
        <f t="shared" si="43"/>
        <v>0</v>
      </c>
      <c r="AG170">
        <f>IF(B170&lt;&gt;"", COUNTIFS($B$2:B170, B170), "")</f>
        <v>6</v>
      </c>
      <c r="AH170">
        <f t="shared" si="44"/>
        <v>5</v>
      </c>
      <c r="AI170" t="str">
        <f>VLOOKUP(B170, Currency!A:B, 2, FALSE)</f>
        <v>INR</v>
      </c>
      <c r="AJ170">
        <f t="shared" si="45"/>
        <v>5</v>
      </c>
      <c r="AK170">
        <f t="shared" si="46"/>
        <v>5</v>
      </c>
      <c r="AL170" t="str">
        <f t="shared" si="47"/>
        <v>May</v>
      </c>
      <c r="AM170">
        <f t="shared" si="50"/>
        <v>2023</v>
      </c>
      <c r="AN170" t="str">
        <f t="shared" si="48"/>
        <v>30Surat Ammonia &amp; Chemical Co.</v>
      </c>
      <c r="AO170">
        <f>IF(COUNTIF($AN$2:AN170, AN170)=1, 1, 0)</f>
        <v>0</v>
      </c>
      <c r="AP170" t="str">
        <f t="shared" si="51"/>
        <v>&gt;3</v>
      </c>
      <c r="AQ170" t="str">
        <f t="shared" si="52"/>
        <v>&gt;3</v>
      </c>
      <c r="AR170" t="str">
        <f t="shared" si="53"/>
        <v>&gt;3</v>
      </c>
    </row>
    <row r="171" spans="1:44" x14ac:dyDescent="0.3">
      <c r="A171" t="s">
        <v>33</v>
      </c>
      <c r="B171" t="s">
        <v>44</v>
      </c>
      <c r="C171" t="s">
        <v>65</v>
      </c>
      <c r="D171">
        <v>1391</v>
      </c>
      <c r="E171">
        <v>23110051</v>
      </c>
      <c r="F171" t="s">
        <v>46</v>
      </c>
      <c r="G171" t="s">
        <v>47</v>
      </c>
      <c r="H171">
        <v>600</v>
      </c>
      <c r="I171">
        <v>80</v>
      </c>
      <c r="J171">
        <v>48000</v>
      </c>
      <c r="K171" s="7" t="str">
        <f>IFERROR(IF(B171&lt;&gt;"", TEXT(VLOOKUP(B171, 'Expected Date'!A:B, 2, FALSE) + DATE(RIGHT(C171,2),MID(C171,4,2),LEFT(C171,2)), "dd/mm/yy"), ""), "")</f>
        <v>24/04/23</v>
      </c>
      <c r="L171" t="s">
        <v>38</v>
      </c>
      <c r="M171" t="s">
        <v>48</v>
      </c>
      <c r="N171" t="s">
        <v>49</v>
      </c>
      <c r="O171" t="s">
        <v>275</v>
      </c>
      <c r="P171">
        <v>23190414</v>
      </c>
      <c r="Q171" t="s">
        <v>46</v>
      </c>
      <c r="R171" t="s">
        <v>47</v>
      </c>
      <c r="S171">
        <v>300</v>
      </c>
      <c r="T171">
        <v>80</v>
      </c>
      <c r="U171">
        <v>24000</v>
      </c>
      <c r="V171" t="str">
        <f t="shared" si="49"/>
        <v>Accepted</v>
      </c>
      <c r="W171">
        <f>IFERROR(VLOOKUP(N171, Payment_Terms!A:B, 2, FALSE), "Payment term not found!")</f>
        <v>30</v>
      </c>
      <c r="X171" t="str">
        <f>IFERROR(VLOOKUP(R171, Item_Category!A:B, 2, FALSE), "Uncategorized")</f>
        <v>Gas</v>
      </c>
      <c r="Y171" s="5">
        <f t="shared" si="36"/>
        <v>0</v>
      </c>
      <c r="Z171">
        <f t="shared" si="37"/>
        <v>5</v>
      </c>
      <c r="AA171">
        <f t="shared" si="38"/>
        <v>49</v>
      </c>
      <c r="AB171">
        <f t="shared" si="39"/>
        <v>1</v>
      </c>
      <c r="AC171" s="10">
        <f t="shared" si="40"/>
        <v>54</v>
      </c>
      <c r="AD171" s="5">
        <f t="shared" si="41"/>
        <v>1</v>
      </c>
      <c r="AE171" s="5">
        <f t="shared" si="42"/>
        <v>1</v>
      </c>
      <c r="AF171" s="5">
        <f t="shared" si="43"/>
        <v>0</v>
      </c>
      <c r="AG171">
        <f>IF(B171&lt;&gt;"", COUNTIFS($B$2:B171, B171), "")</f>
        <v>7</v>
      </c>
      <c r="AH171">
        <f t="shared" si="44"/>
        <v>5</v>
      </c>
      <c r="AI171" t="str">
        <f>VLOOKUP(B171, Currency!A:B, 2, FALSE)</f>
        <v>INR</v>
      </c>
      <c r="AJ171">
        <f t="shared" si="45"/>
        <v>4</v>
      </c>
      <c r="AK171">
        <f t="shared" si="46"/>
        <v>4</v>
      </c>
      <c r="AL171" t="str">
        <f t="shared" si="47"/>
        <v>April</v>
      </c>
      <c r="AM171">
        <f t="shared" si="50"/>
        <v>2023</v>
      </c>
      <c r="AN171" t="str">
        <f t="shared" si="48"/>
        <v>30Surat Ammonia &amp; Chemical Co.</v>
      </c>
      <c r="AO171">
        <f>IF(COUNTIF($AN$2:AN171, AN171)=1, 1, 0)</f>
        <v>0</v>
      </c>
      <c r="AP171" t="str">
        <f t="shared" si="51"/>
        <v>&gt;3</v>
      </c>
      <c r="AQ171" t="str">
        <f t="shared" si="52"/>
        <v>&gt;3</v>
      </c>
      <c r="AR171" t="str">
        <f t="shared" si="53"/>
        <v>&lt;=3</v>
      </c>
    </row>
    <row r="172" spans="1:44" x14ac:dyDescent="0.3">
      <c r="A172" t="s">
        <v>33</v>
      </c>
      <c r="B172" t="s">
        <v>44</v>
      </c>
      <c r="C172" t="s">
        <v>225</v>
      </c>
      <c r="D172">
        <v>1842</v>
      </c>
      <c r="E172">
        <v>23120027</v>
      </c>
      <c r="F172" t="s">
        <v>46</v>
      </c>
      <c r="G172" t="s">
        <v>47</v>
      </c>
      <c r="H172">
        <v>600</v>
      </c>
      <c r="I172">
        <v>80</v>
      </c>
      <c r="J172">
        <v>48000</v>
      </c>
      <c r="K172" s="7" t="str">
        <f>IFERROR(IF(B172&lt;&gt;"", TEXT(VLOOKUP(B172, 'Expected Date'!A:B, 2, FALSE) + DATE(RIGHT(C172,2),MID(C172,4,2),LEFT(C172,2)), "dd/mm/yy"), ""), "")</f>
        <v>16/05/23</v>
      </c>
      <c r="L172" t="s">
        <v>38</v>
      </c>
      <c r="M172" t="s">
        <v>48</v>
      </c>
      <c r="N172" t="s">
        <v>49</v>
      </c>
      <c r="O172" t="s">
        <v>275</v>
      </c>
      <c r="P172">
        <v>23190414</v>
      </c>
      <c r="Q172" t="s">
        <v>46</v>
      </c>
      <c r="R172" t="s">
        <v>47</v>
      </c>
      <c r="S172">
        <v>100</v>
      </c>
      <c r="T172">
        <v>80</v>
      </c>
      <c r="U172">
        <v>8000</v>
      </c>
      <c r="V172" t="str">
        <f t="shared" si="49"/>
        <v>Accepted</v>
      </c>
      <c r="W172">
        <f>IFERROR(VLOOKUP(N172, Payment_Terms!A:B, 2, FALSE), "Payment term not found!")</f>
        <v>30</v>
      </c>
      <c r="X172" t="str">
        <f>IFERROR(VLOOKUP(R172, Item_Category!A:B, 2, FALSE), "Uncategorized")</f>
        <v>Gas</v>
      </c>
      <c r="Y172" s="5">
        <f t="shared" si="36"/>
        <v>0</v>
      </c>
      <c r="Z172">
        <f t="shared" si="37"/>
        <v>5</v>
      </c>
      <c r="AA172">
        <f t="shared" si="38"/>
        <v>27</v>
      </c>
      <c r="AB172">
        <f t="shared" si="39"/>
        <v>1</v>
      </c>
      <c r="AC172" s="10">
        <f t="shared" si="40"/>
        <v>32</v>
      </c>
      <c r="AD172" s="5">
        <f t="shared" si="41"/>
        <v>1</v>
      </c>
      <c r="AE172" s="5">
        <f t="shared" si="42"/>
        <v>1</v>
      </c>
      <c r="AF172" s="5">
        <f t="shared" si="43"/>
        <v>0</v>
      </c>
      <c r="AG172">
        <f>IF(B172&lt;&gt;"", COUNTIFS($B$2:B172, B172), "")</f>
        <v>8</v>
      </c>
      <c r="AH172">
        <f t="shared" si="44"/>
        <v>5</v>
      </c>
      <c r="AI172" t="str">
        <f>VLOOKUP(B172, Currency!A:B, 2, FALSE)</f>
        <v>INR</v>
      </c>
      <c r="AJ172">
        <f t="shared" si="45"/>
        <v>4</v>
      </c>
      <c r="AK172">
        <f t="shared" si="46"/>
        <v>5</v>
      </c>
      <c r="AL172" t="str">
        <f t="shared" si="47"/>
        <v>May</v>
      </c>
      <c r="AM172">
        <f t="shared" si="50"/>
        <v>2023</v>
      </c>
      <c r="AN172" t="str">
        <f t="shared" si="48"/>
        <v>30Surat Ammonia &amp; Chemical Co.</v>
      </c>
      <c r="AO172">
        <f>IF(COUNTIF($AN$2:AN172, AN172)=1, 1, 0)</f>
        <v>0</v>
      </c>
      <c r="AP172" t="str">
        <f t="shared" si="51"/>
        <v>&gt;3</v>
      </c>
      <c r="AQ172" t="str">
        <f t="shared" si="52"/>
        <v>&gt;3</v>
      </c>
      <c r="AR172" t="str">
        <f t="shared" si="53"/>
        <v>&lt;=3</v>
      </c>
    </row>
    <row r="173" spans="1:44" x14ac:dyDescent="0.3">
      <c r="A173" t="s">
        <v>33</v>
      </c>
      <c r="B173" t="s">
        <v>64</v>
      </c>
      <c r="C173" t="s">
        <v>105</v>
      </c>
      <c r="D173">
        <v>4033</v>
      </c>
      <c r="E173">
        <v>23120111</v>
      </c>
      <c r="F173" t="s">
        <v>232</v>
      </c>
      <c r="G173" t="s">
        <v>233</v>
      </c>
      <c r="H173">
        <v>2000</v>
      </c>
      <c r="I173">
        <v>22.5</v>
      </c>
      <c r="J173">
        <v>45000</v>
      </c>
      <c r="K173" s="7" t="str">
        <f>IFERROR(IF(B173&lt;&gt;"", TEXT(VLOOKUP(B173, 'Expected Date'!A:B, 2, FALSE) + DATE(RIGHT(C173,2),MID(C173,4,2),LEFT(C173,2)), "dd/mm/yy"), ""), "")</f>
        <v>04/09/23</v>
      </c>
      <c r="L173" t="s">
        <v>38</v>
      </c>
      <c r="M173" t="s">
        <v>39</v>
      </c>
      <c r="N173" t="s">
        <v>69</v>
      </c>
      <c r="O173" t="s">
        <v>206</v>
      </c>
      <c r="P173">
        <v>23191059</v>
      </c>
      <c r="Q173" t="s">
        <v>232</v>
      </c>
      <c r="R173" t="s">
        <v>233</v>
      </c>
      <c r="S173">
        <v>2000</v>
      </c>
      <c r="T173">
        <v>22.5</v>
      </c>
      <c r="U173">
        <v>45000</v>
      </c>
      <c r="V173" t="str">
        <f t="shared" si="49"/>
        <v>Accepted</v>
      </c>
      <c r="W173">
        <f>IFERROR(VLOOKUP(N173, Payment_Terms!A:B, 2, FALSE), "Payment term not found!")</f>
        <v>30</v>
      </c>
      <c r="X173" t="str">
        <f>IFERROR(VLOOKUP(R173, Item_Category!A:B, 2, FALSE), "Uncategorized")</f>
        <v>Bags</v>
      </c>
      <c r="Y173" s="5">
        <f t="shared" si="36"/>
        <v>0</v>
      </c>
      <c r="Z173">
        <f t="shared" si="37"/>
        <v>5</v>
      </c>
      <c r="AA173">
        <f t="shared" si="38"/>
        <v>9</v>
      </c>
      <c r="AB173">
        <f t="shared" si="39"/>
        <v>2</v>
      </c>
      <c r="AC173" s="10">
        <f t="shared" si="40"/>
        <v>19</v>
      </c>
      <c r="AD173" s="5">
        <f t="shared" si="41"/>
        <v>1</v>
      </c>
      <c r="AE173" s="5">
        <f t="shared" si="42"/>
        <v>1</v>
      </c>
      <c r="AF173" s="5">
        <f t="shared" si="43"/>
        <v>0</v>
      </c>
      <c r="AG173">
        <f>IF(B173&lt;&gt;"", COUNTIFS($B$2:B173, B173), "")</f>
        <v>18</v>
      </c>
      <c r="AH173">
        <f t="shared" si="44"/>
        <v>5</v>
      </c>
      <c r="AI173" t="str">
        <f>VLOOKUP(B173, Currency!A:B, 2, FALSE)</f>
        <v>INR</v>
      </c>
      <c r="AJ173">
        <f t="shared" si="45"/>
        <v>5</v>
      </c>
      <c r="AK173">
        <f t="shared" si="46"/>
        <v>8</v>
      </c>
      <c r="AL173" t="str">
        <f t="shared" si="47"/>
        <v>August</v>
      </c>
      <c r="AM173">
        <f t="shared" si="50"/>
        <v>2023</v>
      </c>
      <c r="AN173" t="str">
        <f t="shared" si="48"/>
        <v>30Epic Polymers</v>
      </c>
      <c r="AO173">
        <f>IF(COUNTIF($AN$2:AN173, AN173)=1, 1, 0)</f>
        <v>0</v>
      </c>
      <c r="AP173" t="str">
        <f t="shared" si="51"/>
        <v>&gt;3</v>
      </c>
      <c r="AQ173" t="str">
        <f t="shared" si="52"/>
        <v>&gt;3</v>
      </c>
      <c r="AR173" t="str">
        <f t="shared" si="53"/>
        <v>&lt;=3</v>
      </c>
    </row>
    <row r="174" spans="1:44" x14ac:dyDescent="0.3">
      <c r="A174" t="s">
        <v>33</v>
      </c>
      <c r="B174" t="s">
        <v>64</v>
      </c>
      <c r="C174" t="s">
        <v>231</v>
      </c>
      <c r="D174">
        <v>2384</v>
      </c>
      <c r="E174">
        <v>23120043</v>
      </c>
      <c r="F174" t="s">
        <v>125</v>
      </c>
      <c r="G174" t="s">
        <v>126</v>
      </c>
      <c r="H174">
        <v>3000</v>
      </c>
      <c r="I174">
        <v>22.5</v>
      </c>
      <c r="J174">
        <v>67500</v>
      </c>
      <c r="K174" s="7" t="str">
        <f>IFERROR(IF(B174&lt;&gt;"", TEXT(VLOOKUP(B174, 'Expected Date'!A:B, 2, FALSE) + DATE(RIGHT(C174,2),MID(C174,4,2),LEFT(C174,2)), "dd/mm/yy"), ""), "")</f>
        <v>19/06/23</v>
      </c>
      <c r="L174" t="s">
        <v>38</v>
      </c>
      <c r="M174" t="s">
        <v>39</v>
      </c>
      <c r="N174" t="s">
        <v>69</v>
      </c>
      <c r="O174" t="s">
        <v>162</v>
      </c>
      <c r="P174">
        <v>23190516</v>
      </c>
      <c r="Q174" t="s">
        <v>125</v>
      </c>
      <c r="R174" t="s">
        <v>126</v>
      </c>
      <c r="S174">
        <v>3200</v>
      </c>
      <c r="T174">
        <v>22.5</v>
      </c>
      <c r="U174">
        <v>72000</v>
      </c>
      <c r="V174" t="str">
        <f t="shared" si="49"/>
        <v>Accepted</v>
      </c>
      <c r="W174">
        <f>IFERROR(VLOOKUP(N174, Payment_Terms!A:B, 2, FALSE), "Payment term not found!")</f>
        <v>30</v>
      </c>
      <c r="X174" t="str">
        <f>IFERROR(VLOOKUP(R174, Item_Category!A:B, 2, FALSE), "Uncategorized")</f>
        <v>Bags</v>
      </c>
      <c r="Y174" s="5">
        <f t="shared" si="36"/>
        <v>0</v>
      </c>
      <c r="Z174">
        <f t="shared" si="37"/>
        <v>5</v>
      </c>
      <c r="AA174">
        <f t="shared" si="38"/>
        <v>10</v>
      </c>
      <c r="AB174">
        <f t="shared" si="39"/>
        <v>2</v>
      </c>
      <c r="AC174" s="10">
        <f t="shared" si="40"/>
        <v>20</v>
      </c>
      <c r="AD174" s="5">
        <f t="shared" si="41"/>
        <v>1</v>
      </c>
      <c r="AE174" s="5">
        <f t="shared" si="42"/>
        <v>1</v>
      </c>
      <c r="AF174" s="5">
        <f t="shared" si="43"/>
        <v>0</v>
      </c>
      <c r="AG174">
        <f>IF(B174&lt;&gt;"", COUNTIFS($B$2:B174, B174), "")</f>
        <v>19</v>
      </c>
      <c r="AH174">
        <f t="shared" si="44"/>
        <v>5</v>
      </c>
      <c r="AI174" t="str">
        <f>VLOOKUP(B174, Currency!A:B, 2, FALSE)</f>
        <v>INR</v>
      </c>
      <c r="AJ174">
        <f t="shared" si="45"/>
        <v>5</v>
      </c>
      <c r="AK174">
        <f t="shared" si="46"/>
        <v>6</v>
      </c>
      <c r="AL174" t="str">
        <f t="shared" si="47"/>
        <v>June</v>
      </c>
      <c r="AM174">
        <f t="shared" si="50"/>
        <v>2023</v>
      </c>
      <c r="AN174" t="str">
        <f t="shared" si="48"/>
        <v>30Epic Polymers</v>
      </c>
      <c r="AO174">
        <f>IF(COUNTIF($AN$2:AN174, AN174)=1, 1, 0)</f>
        <v>0</v>
      </c>
      <c r="AP174" t="str">
        <f t="shared" si="51"/>
        <v>&gt;3</v>
      </c>
      <c r="AQ174" t="str">
        <f t="shared" si="52"/>
        <v>&gt;3</v>
      </c>
      <c r="AR174" t="str">
        <f t="shared" si="53"/>
        <v>&lt;=3</v>
      </c>
    </row>
    <row r="175" spans="1:44" x14ac:dyDescent="0.3">
      <c r="A175" t="s">
        <v>33</v>
      </c>
      <c r="B175" t="s">
        <v>276</v>
      </c>
      <c r="C175" t="s">
        <v>270</v>
      </c>
      <c r="D175">
        <v>4423</v>
      </c>
      <c r="E175">
        <v>23120123</v>
      </c>
      <c r="F175" t="s">
        <v>277</v>
      </c>
      <c r="G175" t="s">
        <v>278</v>
      </c>
      <c r="H175">
        <v>2000</v>
      </c>
      <c r="I175">
        <v>340</v>
      </c>
      <c r="J175">
        <v>680000</v>
      </c>
      <c r="K175" s="7" t="str">
        <f>IFERROR(IF(B175&lt;&gt;"", TEXT(VLOOKUP(B175, 'Expected Date'!A:B, 2, FALSE) + DATE(RIGHT(C175,2),MID(C175,4,2),LEFT(C175,2)), "dd/mm/yy"), ""), "")</f>
        <v>01/10/23</v>
      </c>
      <c r="L175" t="s">
        <v>38</v>
      </c>
      <c r="M175" t="s">
        <v>48</v>
      </c>
      <c r="N175" t="s">
        <v>49</v>
      </c>
      <c r="O175" t="s">
        <v>279</v>
      </c>
      <c r="P175">
        <v>23191128</v>
      </c>
      <c r="Q175" t="s">
        <v>277</v>
      </c>
      <c r="R175" t="s">
        <v>278</v>
      </c>
      <c r="S175">
        <v>2000</v>
      </c>
      <c r="T175">
        <v>340</v>
      </c>
      <c r="U175">
        <v>680000</v>
      </c>
      <c r="V175" t="str">
        <f t="shared" si="49"/>
        <v>Accepted</v>
      </c>
      <c r="W175">
        <f>IFERROR(VLOOKUP(N175, Payment_Terms!A:B, 2, FALSE), "Payment term not found!")</f>
        <v>30</v>
      </c>
      <c r="X175" t="str">
        <f>IFERROR(VLOOKUP(R175, Item_Category!A:B, 2, FALSE), "Uncategorized")</f>
        <v>CMC</v>
      </c>
      <c r="Y175" s="5">
        <f t="shared" si="36"/>
        <v>0</v>
      </c>
      <c r="Z175">
        <f t="shared" si="37"/>
        <v>5</v>
      </c>
      <c r="AA175">
        <f t="shared" si="38"/>
        <v>-12</v>
      </c>
      <c r="AB175">
        <f t="shared" si="39"/>
        <v>5</v>
      </c>
      <c r="AC175" s="10">
        <f t="shared" si="40"/>
        <v>3</v>
      </c>
      <c r="AD175" s="5">
        <f t="shared" si="41"/>
        <v>1</v>
      </c>
      <c r="AE175" s="5">
        <f t="shared" si="42"/>
        <v>1</v>
      </c>
      <c r="AF175" s="5">
        <f t="shared" si="43"/>
        <v>0</v>
      </c>
      <c r="AG175">
        <f>IF(B175&lt;&gt;"", COUNTIFS($B$2:B175, B175), "")</f>
        <v>1</v>
      </c>
      <c r="AH175">
        <f t="shared" si="44"/>
        <v>5</v>
      </c>
      <c r="AI175" t="str">
        <f>VLOOKUP(B175, Currency!A:B, 2, FALSE)</f>
        <v>INR</v>
      </c>
      <c r="AJ175">
        <f t="shared" si="45"/>
        <v>5</v>
      </c>
      <c r="AK175">
        <f t="shared" si="46"/>
        <v>9</v>
      </c>
      <c r="AL175" t="str">
        <f t="shared" si="47"/>
        <v>September</v>
      </c>
      <c r="AM175">
        <f t="shared" si="50"/>
        <v>2023</v>
      </c>
      <c r="AN175" t="str">
        <f t="shared" si="48"/>
        <v>30Cellulose Solutions Pvt Ltd</v>
      </c>
      <c r="AO175">
        <f>IF(COUNTIF($AN$2:AN175, AN175)=1, 1, 0)</f>
        <v>1</v>
      </c>
      <c r="AP175" t="str">
        <f t="shared" si="51"/>
        <v>&gt;3</v>
      </c>
      <c r="AQ175" t="str">
        <f t="shared" si="52"/>
        <v>&gt;3</v>
      </c>
      <c r="AR175" t="str">
        <f t="shared" si="53"/>
        <v>&gt;3</v>
      </c>
    </row>
    <row r="176" spans="1:44" x14ac:dyDescent="0.3">
      <c r="A176" t="s">
        <v>33</v>
      </c>
      <c r="B176" t="s">
        <v>280</v>
      </c>
      <c r="C176" t="s">
        <v>281</v>
      </c>
      <c r="D176">
        <v>4178</v>
      </c>
      <c r="E176">
        <v>23110397</v>
      </c>
      <c r="F176" t="s">
        <v>282</v>
      </c>
      <c r="G176" t="s">
        <v>283</v>
      </c>
      <c r="H176">
        <v>32</v>
      </c>
      <c r="I176">
        <v>631.5</v>
      </c>
      <c r="J176">
        <v>20208</v>
      </c>
      <c r="K176" s="7" t="str">
        <f>IFERROR(IF(B176&lt;&gt;"", TEXT(VLOOKUP(B176, 'Expected Date'!A:B, 2, FALSE) + DATE(RIGHT(C176,2),MID(C176,4,2),LEFT(C176,2)), "dd/mm/yy"), ""), "")</f>
        <v>15/09/23</v>
      </c>
      <c r="L176" t="s">
        <v>38</v>
      </c>
      <c r="M176" t="s">
        <v>285</v>
      </c>
      <c r="N176" t="s">
        <v>109</v>
      </c>
      <c r="O176" t="s">
        <v>286</v>
      </c>
      <c r="P176">
        <v>23191010</v>
      </c>
      <c r="Q176" t="s">
        <v>282</v>
      </c>
      <c r="R176" t="s">
        <v>283</v>
      </c>
      <c r="S176">
        <v>32</v>
      </c>
      <c r="T176">
        <v>631.5</v>
      </c>
      <c r="U176">
        <v>20208</v>
      </c>
      <c r="V176" t="str">
        <f t="shared" si="49"/>
        <v>Accepted</v>
      </c>
      <c r="W176">
        <f>IFERROR(VLOOKUP(N176, Payment_Terms!A:B, 2, FALSE), "Payment term not found!")</f>
        <v>0</v>
      </c>
      <c r="X176" t="str">
        <f>IFERROR(VLOOKUP(R176, Item_Category!A:B, 2, FALSE), "Uncategorized")</f>
        <v>R O water</v>
      </c>
      <c r="Y176" s="5">
        <f t="shared" si="36"/>
        <v>0</v>
      </c>
      <c r="Z176">
        <f t="shared" si="37"/>
        <v>5</v>
      </c>
      <c r="AA176">
        <f t="shared" si="38"/>
        <v>-15</v>
      </c>
      <c r="AB176">
        <f t="shared" si="39"/>
        <v>5</v>
      </c>
      <c r="AC176" s="10">
        <f t="shared" si="40"/>
        <v>5</v>
      </c>
      <c r="AD176" s="5">
        <f t="shared" si="41"/>
        <v>1</v>
      </c>
      <c r="AE176" s="5">
        <f t="shared" si="42"/>
        <v>1</v>
      </c>
      <c r="AF176" s="5">
        <f t="shared" si="43"/>
        <v>0</v>
      </c>
      <c r="AG176">
        <f>IF(B176&lt;&gt;"", COUNTIFS($B$2:B176, B176), "")</f>
        <v>1</v>
      </c>
      <c r="AH176">
        <f t="shared" si="44"/>
        <v>5</v>
      </c>
      <c r="AI176" t="str">
        <f>VLOOKUP(B176, Currency!A:B, 2, FALSE)</f>
        <v>INR</v>
      </c>
      <c r="AJ176">
        <f t="shared" si="45"/>
        <v>5</v>
      </c>
      <c r="AK176">
        <f t="shared" si="46"/>
        <v>9</v>
      </c>
      <c r="AL176" t="str">
        <f t="shared" si="47"/>
        <v>September</v>
      </c>
      <c r="AM176">
        <f t="shared" si="50"/>
        <v>2023</v>
      </c>
      <c r="AN176" t="str">
        <f t="shared" si="48"/>
        <v>0Karthik Enterprises</v>
      </c>
      <c r="AO176">
        <f>IF(COUNTIF($AN$2:AN176, AN176)=1, 1, 0)</f>
        <v>1</v>
      </c>
      <c r="AP176" t="str">
        <f t="shared" si="51"/>
        <v>&gt;3</v>
      </c>
      <c r="AQ176" t="str">
        <f t="shared" si="52"/>
        <v>&gt;3</v>
      </c>
      <c r="AR176" t="str">
        <f t="shared" si="53"/>
        <v>&gt;3</v>
      </c>
    </row>
    <row r="177" spans="1:44" x14ac:dyDescent="0.3">
      <c r="A177" t="s">
        <v>33</v>
      </c>
      <c r="B177" t="s">
        <v>287</v>
      </c>
      <c r="C177" t="s">
        <v>281</v>
      </c>
      <c r="D177">
        <v>4180</v>
      </c>
      <c r="E177">
        <v>23110399</v>
      </c>
      <c r="F177" t="s">
        <v>282</v>
      </c>
      <c r="G177" t="s">
        <v>283</v>
      </c>
      <c r="H177">
        <v>928</v>
      </c>
      <c r="I177">
        <v>443.875</v>
      </c>
      <c r="J177">
        <v>411916</v>
      </c>
      <c r="K177" s="7" t="str">
        <f>IFERROR(IF(B177&lt;&gt;"", TEXT(VLOOKUP(B177, 'Expected Date'!A:B, 2, FALSE) + DATE(RIGHT(C177,2),MID(C177,4,2),LEFT(C177,2)), "dd/mm/yy"), ""), "")</f>
        <v>15/09/23</v>
      </c>
      <c r="L177" t="s">
        <v>38</v>
      </c>
      <c r="M177" t="s">
        <v>285</v>
      </c>
      <c r="N177" t="s">
        <v>77</v>
      </c>
      <c r="O177" t="s">
        <v>286</v>
      </c>
      <c r="P177">
        <v>23191013</v>
      </c>
      <c r="Q177" t="s">
        <v>282</v>
      </c>
      <c r="R177" t="s">
        <v>283</v>
      </c>
      <c r="S177">
        <v>928</v>
      </c>
      <c r="T177">
        <v>443.875</v>
      </c>
      <c r="U177">
        <v>411916</v>
      </c>
      <c r="V177" t="str">
        <f t="shared" si="49"/>
        <v>Accepted</v>
      </c>
      <c r="W177">
        <f>IFERROR(VLOOKUP(N177, Payment_Terms!A:B, 2, FALSE), "Payment term not found!")</f>
        <v>0</v>
      </c>
      <c r="X177" t="str">
        <f>IFERROR(VLOOKUP(R177, Item_Category!A:B, 2, FALSE), "Uncategorized")</f>
        <v>R O water</v>
      </c>
      <c r="Y177" s="5">
        <f t="shared" si="36"/>
        <v>0</v>
      </c>
      <c r="Z177">
        <f t="shared" si="37"/>
        <v>5</v>
      </c>
      <c r="AA177">
        <f t="shared" si="38"/>
        <v>-15</v>
      </c>
      <c r="AB177">
        <f t="shared" si="39"/>
        <v>5</v>
      </c>
      <c r="AC177" s="10">
        <f t="shared" si="40"/>
        <v>5</v>
      </c>
      <c r="AD177" s="5">
        <f t="shared" si="41"/>
        <v>1</v>
      </c>
      <c r="AE177" s="5">
        <f t="shared" si="42"/>
        <v>1</v>
      </c>
      <c r="AF177" s="5">
        <f t="shared" si="43"/>
        <v>0</v>
      </c>
      <c r="AG177">
        <f>IF(B177&lt;&gt;"", COUNTIFS($B$2:B177, B177), "")</f>
        <v>1</v>
      </c>
      <c r="AH177">
        <f t="shared" si="44"/>
        <v>5</v>
      </c>
      <c r="AI177" t="str">
        <f>VLOOKUP(B177, Currency!A:B, 2, FALSE)</f>
        <v>INR</v>
      </c>
      <c r="AJ177">
        <f t="shared" si="45"/>
        <v>5</v>
      </c>
      <c r="AK177">
        <f t="shared" si="46"/>
        <v>9</v>
      </c>
      <c r="AL177" t="str">
        <f t="shared" si="47"/>
        <v>September</v>
      </c>
      <c r="AM177">
        <f t="shared" si="50"/>
        <v>2023</v>
      </c>
      <c r="AN177" t="str">
        <f t="shared" si="48"/>
        <v>0Sri Venkateshwara Enterprises</v>
      </c>
      <c r="AO177">
        <f>IF(COUNTIF($AN$2:AN177, AN177)=1, 1, 0)</f>
        <v>1</v>
      </c>
      <c r="AP177" t="str">
        <f t="shared" si="51"/>
        <v>&gt;3</v>
      </c>
      <c r="AQ177" t="str">
        <f t="shared" si="52"/>
        <v>&gt;3</v>
      </c>
      <c r="AR177" t="str">
        <f t="shared" si="53"/>
        <v>&gt;3</v>
      </c>
    </row>
    <row r="178" spans="1:44" x14ac:dyDescent="0.3">
      <c r="A178" t="s">
        <v>33</v>
      </c>
      <c r="B178" t="s">
        <v>107</v>
      </c>
      <c r="C178" t="s">
        <v>231</v>
      </c>
      <c r="D178">
        <v>2383</v>
      </c>
      <c r="E178">
        <v>23120042</v>
      </c>
      <c r="F178" t="s">
        <v>92</v>
      </c>
      <c r="G178" t="s">
        <v>93</v>
      </c>
      <c r="H178">
        <v>6000</v>
      </c>
      <c r="I178">
        <v>33.799999999999997</v>
      </c>
      <c r="J178">
        <v>202800</v>
      </c>
      <c r="K178" s="7" t="str">
        <f>IFERROR(IF(B178&lt;&gt;"", TEXT(VLOOKUP(B178, 'Expected Date'!A:B, 2, FALSE) + DATE(RIGHT(C178,2),MID(C178,4,2),LEFT(C178,2)), "dd/mm/yy"), ""), "")</f>
        <v>19/06/23</v>
      </c>
      <c r="L178" t="s">
        <v>38</v>
      </c>
      <c r="M178" t="s">
        <v>39</v>
      </c>
      <c r="N178" t="s">
        <v>109</v>
      </c>
      <c r="O178" t="s">
        <v>257</v>
      </c>
      <c r="P178">
        <v>23190503</v>
      </c>
      <c r="Q178" t="s">
        <v>92</v>
      </c>
      <c r="R178" t="s">
        <v>93</v>
      </c>
      <c r="S178">
        <v>6167</v>
      </c>
      <c r="T178">
        <v>33.799999999999997</v>
      </c>
      <c r="U178">
        <v>208444.6</v>
      </c>
      <c r="V178" t="str">
        <f t="shared" si="49"/>
        <v>Accepted</v>
      </c>
      <c r="W178">
        <f>IFERROR(VLOOKUP(N178, Payment_Terms!A:B, 2, FALSE), "Payment term not found!")</f>
        <v>0</v>
      </c>
      <c r="X178" t="str">
        <f>IFERROR(VLOOKUP(R178, Item_Category!A:B, 2, FALSE), "Uncategorized")</f>
        <v>Bags</v>
      </c>
      <c r="Y178" s="5">
        <f t="shared" si="36"/>
        <v>0</v>
      </c>
      <c r="Z178">
        <f t="shared" si="37"/>
        <v>5</v>
      </c>
      <c r="AA178">
        <f t="shared" si="38"/>
        <v>8</v>
      </c>
      <c r="AB178">
        <f t="shared" si="39"/>
        <v>2</v>
      </c>
      <c r="AC178" s="10">
        <f t="shared" si="40"/>
        <v>18</v>
      </c>
      <c r="AD178" s="5">
        <f t="shared" si="41"/>
        <v>1</v>
      </c>
      <c r="AE178" s="5">
        <f t="shared" si="42"/>
        <v>1</v>
      </c>
      <c r="AF178" s="5">
        <f t="shared" si="43"/>
        <v>0</v>
      </c>
      <c r="AG178">
        <f>IF(B178&lt;&gt;"", COUNTIFS($B$2:B178, B178), "")</f>
        <v>11</v>
      </c>
      <c r="AH178">
        <f t="shared" si="44"/>
        <v>5</v>
      </c>
      <c r="AI178" t="str">
        <f>VLOOKUP(B178, Currency!A:B, 2, FALSE)</f>
        <v>INR</v>
      </c>
      <c r="AJ178">
        <f t="shared" si="45"/>
        <v>5</v>
      </c>
      <c r="AK178">
        <f t="shared" si="46"/>
        <v>6</v>
      </c>
      <c r="AL178" t="str">
        <f t="shared" si="47"/>
        <v>June</v>
      </c>
      <c r="AM178">
        <f t="shared" si="50"/>
        <v>2023</v>
      </c>
      <c r="AN178" t="str">
        <f t="shared" si="48"/>
        <v>0KAPILA INDUSTRIES</v>
      </c>
      <c r="AO178">
        <f>IF(COUNTIF($AN$2:AN178, AN178)=1, 1, 0)</f>
        <v>0</v>
      </c>
      <c r="AP178" t="str">
        <f t="shared" si="51"/>
        <v>&gt;3</v>
      </c>
      <c r="AQ178" t="str">
        <f t="shared" si="52"/>
        <v>&gt;3</v>
      </c>
      <c r="AR178" t="str">
        <f t="shared" si="53"/>
        <v>&lt;=3</v>
      </c>
    </row>
    <row r="179" spans="1:44" x14ac:dyDescent="0.3">
      <c r="A179" t="s">
        <v>33</v>
      </c>
      <c r="B179" t="s">
        <v>248</v>
      </c>
      <c r="C179" t="s">
        <v>249</v>
      </c>
      <c r="D179">
        <v>2550</v>
      </c>
      <c r="E179">
        <v>23120050</v>
      </c>
      <c r="F179" t="s">
        <v>250</v>
      </c>
      <c r="G179" t="s">
        <v>251</v>
      </c>
      <c r="H179">
        <v>800</v>
      </c>
      <c r="I179">
        <v>390</v>
      </c>
      <c r="J179">
        <v>312000</v>
      </c>
      <c r="K179" s="7" t="str">
        <f>IFERROR(IF(B179&lt;&gt;"", TEXT(VLOOKUP(B179, 'Expected Date'!A:B, 2, FALSE) + DATE(RIGHT(C179,2),MID(C179,4,2),LEFT(C179,2)), "dd/mm/yy"), ""), "")</f>
        <v>01/07/23</v>
      </c>
      <c r="L179" t="s">
        <v>38</v>
      </c>
      <c r="M179" t="s">
        <v>39</v>
      </c>
      <c r="N179" t="s">
        <v>109</v>
      </c>
      <c r="O179" t="s">
        <v>139</v>
      </c>
      <c r="P179">
        <v>23190508</v>
      </c>
      <c r="Q179" t="s">
        <v>250</v>
      </c>
      <c r="R179" t="s">
        <v>251</v>
      </c>
      <c r="S179">
        <v>400</v>
      </c>
      <c r="T179">
        <v>390</v>
      </c>
      <c r="U179">
        <v>156000</v>
      </c>
      <c r="V179" t="str">
        <f t="shared" si="49"/>
        <v>Accepted</v>
      </c>
      <c r="W179">
        <f>IFERROR(VLOOKUP(N179, Payment_Terms!A:B, 2, FALSE), "Payment term not found!")</f>
        <v>0</v>
      </c>
      <c r="X179" t="str">
        <f>IFERROR(VLOOKUP(R179, Item_Category!A:B, 2, FALSE), "Uncategorized")</f>
        <v>HDPE</v>
      </c>
      <c r="Y179" s="5">
        <f t="shared" si="36"/>
        <v>0</v>
      </c>
      <c r="Z179">
        <f t="shared" si="37"/>
        <v>5</v>
      </c>
      <c r="AA179">
        <f t="shared" si="38"/>
        <v>-3</v>
      </c>
      <c r="AB179">
        <f t="shared" si="39"/>
        <v>5</v>
      </c>
      <c r="AC179" s="10">
        <f t="shared" si="40"/>
        <v>7</v>
      </c>
      <c r="AD179" s="5">
        <f t="shared" si="41"/>
        <v>1</v>
      </c>
      <c r="AE179" s="5">
        <f t="shared" si="42"/>
        <v>1</v>
      </c>
      <c r="AF179" s="5">
        <f t="shared" si="43"/>
        <v>0</v>
      </c>
      <c r="AG179">
        <f>IF(B179&lt;&gt;"", COUNTIFS($B$2:B179, B179), "")</f>
        <v>2</v>
      </c>
      <c r="AH179">
        <f t="shared" si="44"/>
        <v>5</v>
      </c>
      <c r="AI179" t="str">
        <f>VLOOKUP(B179, Currency!A:B, 2, FALSE)</f>
        <v>INR</v>
      </c>
      <c r="AJ179">
        <f t="shared" si="45"/>
        <v>5</v>
      </c>
      <c r="AK179">
        <f t="shared" si="46"/>
        <v>6</v>
      </c>
      <c r="AL179" t="str">
        <f t="shared" si="47"/>
        <v>June</v>
      </c>
      <c r="AM179">
        <f t="shared" si="50"/>
        <v>2023</v>
      </c>
      <c r="AN179" t="str">
        <f t="shared" si="48"/>
        <v>0Sanjay Chem Products</v>
      </c>
      <c r="AO179">
        <f>IF(COUNTIF($AN$2:AN179, AN179)=1, 1, 0)</f>
        <v>0</v>
      </c>
      <c r="AP179" t="str">
        <f t="shared" si="51"/>
        <v>&gt;3</v>
      </c>
      <c r="AQ179" t="str">
        <f t="shared" si="52"/>
        <v>&gt;3</v>
      </c>
      <c r="AR179" t="str">
        <f t="shared" si="53"/>
        <v>&gt;3</v>
      </c>
    </row>
    <row r="180" spans="1:44" x14ac:dyDescent="0.3">
      <c r="A180" t="str">
        <f>A145</f>
        <v>Woodpulp</v>
      </c>
      <c r="B180" t="s">
        <v>96</v>
      </c>
      <c r="C180" t="s">
        <v>97</v>
      </c>
      <c r="D180">
        <v>1232</v>
      </c>
      <c r="E180">
        <v>23120004</v>
      </c>
      <c r="F180" t="s">
        <v>98</v>
      </c>
      <c r="G180" t="s">
        <v>99</v>
      </c>
      <c r="H180">
        <v>75</v>
      </c>
      <c r="I180">
        <v>820</v>
      </c>
      <c r="J180">
        <v>4987650</v>
      </c>
      <c r="K180" s="7" t="str">
        <f>IFERROR(IF(B180&lt;&gt;"", TEXT(VLOOKUP(B180, 'Expected Date'!A:B, 2, FALSE) + DATE(RIGHT(C180,2),MID(C180,4,2),LEFT(C180,2)), "dd/mm/yy"), ""), "")</f>
        <v>10/06/23</v>
      </c>
      <c r="L180" t="s">
        <v>38</v>
      </c>
      <c r="M180" t="str">
        <f>M134</f>
        <v>MT</v>
      </c>
      <c r="N180" t="s">
        <v>102</v>
      </c>
      <c r="O180" t="s">
        <v>288</v>
      </c>
      <c r="P180">
        <v>23190920</v>
      </c>
      <c r="Q180" t="s">
        <v>98</v>
      </c>
      <c r="R180" t="s">
        <v>99</v>
      </c>
      <c r="S180">
        <v>79.021000000000001</v>
      </c>
      <c r="T180">
        <v>820</v>
      </c>
      <c r="U180">
        <v>5326331.4800000004</v>
      </c>
      <c r="V180" t="str">
        <f t="shared" si="49"/>
        <v>Accepted</v>
      </c>
      <c r="W180">
        <f>IFERROR(VLOOKUP(N180, Payment_Terms!A:B, 2, FALSE), "Payment term not found!")</f>
        <v>60</v>
      </c>
      <c r="X180" t="str">
        <f>IFERROR(VLOOKUP(R180, Item_Category!A:B, 2, FALSE), "Uncategorized")</f>
        <v>Wood pulp</v>
      </c>
      <c r="Y180" s="5">
        <f t="shared" si="36"/>
        <v>0</v>
      </c>
      <c r="Z180">
        <f t="shared" si="37"/>
        <v>5</v>
      </c>
      <c r="AA180">
        <f t="shared" si="38"/>
        <v>69</v>
      </c>
      <c r="AB180">
        <f t="shared" si="39"/>
        <v>1</v>
      </c>
      <c r="AC180" s="10">
        <f t="shared" si="40"/>
        <v>129</v>
      </c>
      <c r="AD180" s="5">
        <f t="shared" si="41"/>
        <v>1</v>
      </c>
      <c r="AE180" s="5">
        <f t="shared" si="42"/>
        <v>1</v>
      </c>
      <c r="AF180" s="5">
        <f t="shared" si="43"/>
        <v>0</v>
      </c>
      <c r="AG180">
        <f>IF(B180&lt;&gt;"", COUNTIFS($B$2:B180, B180), "")</f>
        <v>3</v>
      </c>
      <c r="AH180">
        <f t="shared" si="44"/>
        <v>5</v>
      </c>
      <c r="AI180" t="str">
        <f>VLOOKUP(B180, Currency!A:B, 2, FALSE)</f>
        <v>USD</v>
      </c>
      <c r="AJ180">
        <f t="shared" si="45"/>
        <v>4</v>
      </c>
      <c r="AK180">
        <f t="shared" si="46"/>
        <v>4</v>
      </c>
      <c r="AL180" t="str">
        <f t="shared" si="47"/>
        <v>April</v>
      </c>
      <c r="AM180">
        <f t="shared" si="50"/>
        <v>2023</v>
      </c>
      <c r="AN180" t="str">
        <f t="shared" si="48"/>
        <v>60G P Cellulose GMBH</v>
      </c>
      <c r="AO180">
        <f>IF(COUNTIF($AN$2:AN180, AN180)=1, 1, 0)</f>
        <v>0</v>
      </c>
      <c r="AP180" t="str">
        <f t="shared" si="51"/>
        <v>&gt;3</v>
      </c>
      <c r="AQ180" t="str">
        <f t="shared" si="52"/>
        <v>&gt;3</v>
      </c>
      <c r="AR180" t="str">
        <f t="shared" si="53"/>
        <v>&lt;=3</v>
      </c>
    </row>
    <row r="181" spans="1:44" x14ac:dyDescent="0.3">
      <c r="A181" t="s">
        <v>95</v>
      </c>
      <c r="B181" t="s">
        <v>289</v>
      </c>
      <c r="C181" t="s">
        <v>249</v>
      </c>
      <c r="D181">
        <v>2553</v>
      </c>
      <c r="E181">
        <v>23120052</v>
      </c>
      <c r="F181" t="s">
        <v>290</v>
      </c>
      <c r="G181" t="s">
        <v>291</v>
      </c>
      <c r="H181">
        <v>100</v>
      </c>
      <c r="I181">
        <v>47800</v>
      </c>
      <c r="J181">
        <v>4780000</v>
      </c>
      <c r="K181" s="7" t="str">
        <f>IFERROR(IF(B181&lt;&gt;"", TEXT(VLOOKUP(B181, 'Expected Date'!A:B, 2, FALSE) + DATE(RIGHT(C181,2),MID(C181,4,2),LEFT(C181,2)), "dd/mm/yy"), ""), "")</f>
        <v>21/07/23</v>
      </c>
      <c r="L181" t="s">
        <v>68</v>
      </c>
      <c r="M181" t="str">
        <f>M134</f>
        <v>MT</v>
      </c>
      <c r="N181" t="s">
        <v>292</v>
      </c>
      <c r="O181" t="s">
        <v>293</v>
      </c>
      <c r="P181">
        <v>23190932</v>
      </c>
      <c r="Q181" t="s">
        <v>290</v>
      </c>
      <c r="R181" t="s">
        <v>291</v>
      </c>
      <c r="S181">
        <v>20.187000000000001</v>
      </c>
      <c r="T181">
        <v>47800</v>
      </c>
      <c r="U181">
        <v>964938.6</v>
      </c>
      <c r="V181" t="str">
        <f t="shared" si="49"/>
        <v>Accepted</v>
      </c>
      <c r="W181">
        <f>IFERROR(VLOOKUP(N181, Payment_Terms!A:B, 2, FALSE), "Payment term not found!")</f>
        <v>0</v>
      </c>
      <c r="X181" t="str">
        <f>IFERROR(VLOOKUP(R181, Item_Category!A:B, 2, FALSE), "Uncategorized")</f>
        <v>Wood pulp</v>
      </c>
      <c r="Y181" s="5">
        <f t="shared" si="36"/>
        <v>0.19251999999999994</v>
      </c>
      <c r="Z181">
        <f t="shared" si="37"/>
        <v>1</v>
      </c>
      <c r="AA181">
        <f t="shared" si="38"/>
        <v>32</v>
      </c>
      <c r="AB181">
        <f t="shared" si="39"/>
        <v>1</v>
      </c>
      <c r="AC181" s="10">
        <f t="shared" si="40"/>
        <v>62</v>
      </c>
      <c r="AD181" s="5">
        <f t="shared" si="41"/>
        <v>1</v>
      </c>
      <c r="AE181" s="5">
        <f t="shared" si="42"/>
        <v>1</v>
      </c>
      <c r="AF181" s="5">
        <f t="shared" si="43"/>
        <v>0</v>
      </c>
      <c r="AG181">
        <f>IF(B181&lt;&gt;"", COUNTIFS($B$2:B181, B181), "")</f>
        <v>1</v>
      </c>
      <c r="AH181">
        <f t="shared" si="44"/>
        <v>5</v>
      </c>
      <c r="AI181" t="str">
        <f>VLOOKUP(B181, Currency!A:B, 2, FALSE)</f>
        <v>INR</v>
      </c>
      <c r="AJ181">
        <f t="shared" si="45"/>
        <v>3</v>
      </c>
      <c r="AK181">
        <f t="shared" si="46"/>
        <v>6</v>
      </c>
      <c r="AL181" t="str">
        <f t="shared" si="47"/>
        <v>June</v>
      </c>
      <c r="AM181">
        <f t="shared" si="50"/>
        <v>2023</v>
      </c>
      <c r="AN181" t="str">
        <f t="shared" si="48"/>
        <v>0N.E. IMPEX PRIVATE LIMITED</v>
      </c>
      <c r="AO181">
        <f>IF(COUNTIF($AN$2:AN181, AN181)=1, 1, 0)</f>
        <v>1</v>
      </c>
      <c r="AP181" t="str">
        <f t="shared" si="51"/>
        <v>&gt;3</v>
      </c>
      <c r="AQ181" t="str">
        <f t="shared" si="52"/>
        <v>&lt;=3</v>
      </c>
      <c r="AR181" t="str">
        <f t="shared" si="53"/>
        <v>&lt;=3</v>
      </c>
    </row>
    <row r="182" spans="1:44" x14ac:dyDescent="0.3">
      <c r="A182" t="str">
        <f>A181</f>
        <v>Woodpulp</v>
      </c>
      <c r="B182" t="s">
        <v>289</v>
      </c>
      <c r="C182" t="s">
        <v>249</v>
      </c>
      <c r="D182">
        <v>2553</v>
      </c>
      <c r="E182">
        <v>23120052</v>
      </c>
      <c r="F182" t="s">
        <v>290</v>
      </c>
      <c r="G182" t="s">
        <v>291</v>
      </c>
      <c r="H182">
        <v>100</v>
      </c>
      <c r="I182">
        <v>47800</v>
      </c>
      <c r="J182">
        <v>4780000</v>
      </c>
      <c r="K182" s="7" t="str">
        <f>IFERROR(IF(B182&lt;&gt;"", TEXT(VLOOKUP(B182, 'Expected Date'!A:B, 2, FALSE) + DATE(RIGHT(C182,2),MID(C182,4,2),LEFT(C182,2)), "dd/mm/yy"), ""), "")</f>
        <v>21/07/23</v>
      </c>
      <c r="L182" t="s">
        <v>68</v>
      </c>
      <c r="M182" t="str">
        <f>M149</f>
        <v>MT</v>
      </c>
      <c r="N182" t="s">
        <v>292</v>
      </c>
      <c r="O182" t="s">
        <v>293</v>
      </c>
      <c r="P182">
        <v>23190933</v>
      </c>
      <c r="Q182" t="s">
        <v>290</v>
      </c>
      <c r="R182" t="s">
        <v>291</v>
      </c>
      <c r="S182">
        <v>20.187000000000001</v>
      </c>
      <c r="T182">
        <v>47800</v>
      </c>
      <c r="U182">
        <v>964938.6</v>
      </c>
      <c r="V182" t="str">
        <f t="shared" si="49"/>
        <v>Accepted</v>
      </c>
      <c r="W182">
        <f>IFERROR(VLOOKUP(N182, Payment_Terms!A:B, 2, FALSE), "Payment term not found!")</f>
        <v>0</v>
      </c>
      <c r="X182" t="str">
        <f>IFERROR(VLOOKUP(R182, Item_Category!A:B, 2, FALSE), "Uncategorized")</f>
        <v>Wood pulp</v>
      </c>
      <c r="Y182" s="5">
        <f t="shared" si="36"/>
        <v>0.19251999999999994</v>
      </c>
      <c r="Z182">
        <f t="shared" si="37"/>
        <v>1</v>
      </c>
      <c r="AA182">
        <f t="shared" si="38"/>
        <v>32</v>
      </c>
      <c r="AB182">
        <f t="shared" si="39"/>
        <v>1</v>
      </c>
      <c r="AC182" s="10">
        <f t="shared" si="40"/>
        <v>62</v>
      </c>
      <c r="AD182" s="5">
        <f t="shared" si="41"/>
        <v>1</v>
      </c>
      <c r="AE182" s="5">
        <f t="shared" si="42"/>
        <v>1</v>
      </c>
      <c r="AF182" s="5">
        <f t="shared" si="43"/>
        <v>0</v>
      </c>
      <c r="AG182">
        <f>IF(B182&lt;&gt;"", COUNTIFS($B$2:B182, B182), "")</f>
        <v>2</v>
      </c>
      <c r="AH182">
        <f t="shared" si="44"/>
        <v>5</v>
      </c>
      <c r="AI182" t="str">
        <f>VLOOKUP(B182, Currency!A:B, 2, FALSE)</f>
        <v>INR</v>
      </c>
      <c r="AJ182">
        <f t="shared" si="45"/>
        <v>3</v>
      </c>
      <c r="AK182">
        <f t="shared" si="46"/>
        <v>6</v>
      </c>
      <c r="AL182" t="str">
        <f t="shared" si="47"/>
        <v>June</v>
      </c>
      <c r="AM182">
        <f t="shared" si="50"/>
        <v>2023</v>
      </c>
      <c r="AN182" t="str">
        <f t="shared" si="48"/>
        <v>0N.E. IMPEX PRIVATE LIMITED</v>
      </c>
      <c r="AO182">
        <f>IF(COUNTIF($AN$2:AN182, AN182)=1, 1, 0)</f>
        <v>0</v>
      </c>
      <c r="AP182" t="str">
        <f t="shared" si="51"/>
        <v>&gt;3</v>
      </c>
      <c r="AQ182" t="str">
        <f t="shared" si="52"/>
        <v>&lt;=3</v>
      </c>
      <c r="AR182" t="str">
        <f t="shared" si="53"/>
        <v>&lt;=3</v>
      </c>
    </row>
    <row r="183" spans="1:44" x14ac:dyDescent="0.3">
      <c r="A183" t="str">
        <f>A181</f>
        <v>Woodpulp</v>
      </c>
      <c r="B183" t="s">
        <v>289</v>
      </c>
      <c r="C183" t="s">
        <v>249</v>
      </c>
      <c r="D183">
        <v>2553</v>
      </c>
      <c r="E183">
        <v>23120052</v>
      </c>
      <c r="F183" t="s">
        <v>290</v>
      </c>
      <c r="G183" t="s">
        <v>291</v>
      </c>
      <c r="H183">
        <v>100</v>
      </c>
      <c r="I183">
        <v>47800</v>
      </c>
      <c r="J183">
        <v>4780000</v>
      </c>
      <c r="K183" s="7" t="str">
        <f>IFERROR(IF(B183&lt;&gt;"", TEXT(VLOOKUP(B183, 'Expected Date'!A:B, 2, FALSE) + DATE(RIGHT(C183,2),MID(C183,4,2),LEFT(C183,2)), "dd/mm/yy"), ""), "")</f>
        <v>21/07/23</v>
      </c>
      <c r="L183" t="s">
        <v>68</v>
      </c>
      <c r="M183" t="str">
        <f>M149</f>
        <v>MT</v>
      </c>
      <c r="N183" t="s">
        <v>292</v>
      </c>
      <c r="O183" t="s">
        <v>293</v>
      </c>
      <c r="P183">
        <v>23190934</v>
      </c>
      <c r="Q183" t="s">
        <v>290</v>
      </c>
      <c r="R183" t="s">
        <v>291</v>
      </c>
      <c r="S183">
        <v>20.187000000000001</v>
      </c>
      <c r="T183">
        <v>47800</v>
      </c>
      <c r="U183">
        <v>964938.6</v>
      </c>
      <c r="V183" t="str">
        <f t="shared" si="49"/>
        <v>Accepted</v>
      </c>
      <c r="W183">
        <f>IFERROR(VLOOKUP(N183, Payment_Terms!A:B, 2, FALSE), "Payment term not found!")</f>
        <v>0</v>
      </c>
      <c r="X183" t="str">
        <f>IFERROR(VLOOKUP(R183, Item_Category!A:B, 2, FALSE), "Uncategorized")</f>
        <v>Wood pulp</v>
      </c>
      <c r="Y183" s="5">
        <f t="shared" si="36"/>
        <v>0.19251999999999994</v>
      </c>
      <c r="Z183">
        <f t="shared" si="37"/>
        <v>1</v>
      </c>
      <c r="AA183">
        <f t="shared" si="38"/>
        <v>32</v>
      </c>
      <c r="AB183">
        <f t="shared" si="39"/>
        <v>1</v>
      </c>
      <c r="AC183" s="10">
        <f t="shared" si="40"/>
        <v>62</v>
      </c>
      <c r="AD183" s="5">
        <f t="shared" si="41"/>
        <v>1</v>
      </c>
      <c r="AE183" s="5">
        <f t="shared" si="42"/>
        <v>1</v>
      </c>
      <c r="AF183" s="5">
        <f t="shared" si="43"/>
        <v>0</v>
      </c>
      <c r="AG183">
        <f>IF(B183&lt;&gt;"", COUNTIFS($B$2:B183, B183), "")</f>
        <v>3</v>
      </c>
      <c r="AH183">
        <f t="shared" si="44"/>
        <v>5</v>
      </c>
      <c r="AI183" t="str">
        <f>VLOOKUP(B183, Currency!A:B, 2, FALSE)</f>
        <v>INR</v>
      </c>
      <c r="AJ183">
        <f t="shared" si="45"/>
        <v>3</v>
      </c>
      <c r="AK183">
        <f t="shared" si="46"/>
        <v>6</v>
      </c>
      <c r="AL183" t="str">
        <f t="shared" si="47"/>
        <v>June</v>
      </c>
      <c r="AM183">
        <f t="shared" si="50"/>
        <v>2023</v>
      </c>
      <c r="AN183" t="str">
        <f t="shared" si="48"/>
        <v>0N.E. IMPEX PRIVATE LIMITED</v>
      </c>
      <c r="AO183">
        <f>IF(COUNTIF($AN$2:AN183, AN183)=1, 1, 0)</f>
        <v>0</v>
      </c>
      <c r="AP183" t="str">
        <f t="shared" si="51"/>
        <v>&gt;3</v>
      </c>
      <c r="AQ183" t="str">
        <f t="shared" si="52"/>
        <v>&lt;=3</v>
      </c>
      <c r="AR183" t="str">
        <f t="shared" si="53"/>
        <v>&lt;=3</v>
      </c>
    </row>
    <row r="184" spans="1:44" x14ac:dyDescent="0.3">
      <c r="A184" t="str">
        <f>A183</f>
        <v>Woodpulp</v>
      </c>
      <c r="B184" t="s">
        <v>289</v>
      </c>
      <c r="C184" t="s">
        <v>249</v>
      </c>
      <c r="D184">
        <v>2553</v>
      </c>
      <c r="E184">
        <v>23120052</v>
      </c>
      <c r="F184" t="s">
        <v>290</v>
      </c>
      <c r="G184" t="s">
        <v>291</v>
      </c>
      <c r="H184">
        <v>100</v>
      </c>
      <c r="I184">
        <v>47800</v>
      </c>
      <c r="J184">
        <v>4780000</v>
      </c>
      <c r="K184" s="7" t="str">
        <f>IFERROR(IF(B184&lt;&gt;"", TEXT(VLOOKUP(B184, 'Expected Date'!A:B, 2, FALSE) + DATE(RIGHT(C184,2),MID(C184,4,2),LEFT(C184,2)), "dd/mm/yy"), ""), "")</f>
        <v>21/07/23</v>
      </c>
      <c r="L184" t="s">
        <v>68</v>
      </c>
      <c r="M184" t="str">
        <f>M149</f>
        <v>MT</v>
      </c>
      <c r="N184" t="s">
        <v>292</v>
      </c>
      <c r="O184" t="s">
        <v>293</v>
      </c>
      <c r="P184">
        <v>23190935</v>
      </c>
      <c r="Q184" t="s">
        <v>290</v>
      </c>
      <c r="R184" t="s">
        <v>291</v>
      </c>
      <c r="S184">
        <v>20.187000000000001</v>
      </c>
      <c r="T184">
        <v>47800</v>
      </c>
      <c r="U184">
        <v>964938.6</v>
      </c>
      <c r="V184" t="str">
        <f t="shared" si="49"/>
        <v>Accepted</v>
      </c>
      <c r="W184">
        <f>IFERROR(VLOOKUP(N184, Payment_Terms!A:B, 2, FALSE), "Payment term not found!")</f>
        <v>0</v>
      </c>
      <c r="X184" t="str">
        <f>IFERROR(VLOOKUP(R184, Item_Category!A:B, 2, FALSE), "Uncategorized")</f>
        <v>Wood pulp</v>
      </c>
      <c r="Y184" s="5">
        <f t="shared" si="36"/>
        <v>0.19251999999999994</v>
      </c>
      <c r="Z184">
        <f t="shared" si="37"/>
        <v>1</v>
      </c>
      <c r="AA184">
        <f t="shared" si="38"/>
        <v>32</v>
      </c>
      <c r="AB184">
        <f t="shared" si="39"/>
        <v>1</v>
      </c>
      <c r="AC184" s="10">
        <f t="shared" si="40"/>
        <v>62</v>
      </c>
      <c r="AD184" s="5">
        <f t="shared" si="41"/>
        <v>1</v>
      </c>
      <c r="AE184" s="5">
        <f t="shared" si="42"/>
        <v>1</v>
      </c>
      <c r="AF184" s="5">
        <f t="shared" si="43"/>
        <v>0</v>
      </c>
      <c r="AG184">
        <f>IF(B184&lt;&gt;"", COUNTIFS($B$2:B184, B184), "")</f>
        <v>4</v>
      </c>
      <c r="AH184">
        <f t="shared" si="44"/>
        <v>5</v>
      </c>
      <c r="AI184" t="str">
        <f>VLOOKUP(B184, Currency!A:B, 2, FALSE)</f>
        <v>INR</v>
      </c>
      <c r="AJ184">
        <f t="shared" si="45"/>
        <v>3</v>
      </c>
      <c r="AK184">
        <f t="shared" si="46"/>
        <v>6</v>
      </c>
      <c r="AL184" t="str">
        <f t="shared" si="47"/>
        <v>June</v>
      </c>
      <c r="AM184">
        <f t="shared" si="50"/>
        <v>2023</v>
      </c>
      <c r="AN184" t="str">
        <f t="shared" si="48"/>
        <v>0N.E. IMPEX PRIVATE LIMITED</v>
      </c>
      <c r="AO184">
        <f>IF(COUNTIF($AN$2:AN184, AN184)=1, 1, 0)</f>
        <v>0</v>
      </c>
      <c r="AP184" t="str">
        <f t="shared" si="51"/>
        <v>&gt;3</v>
      </c>
      <c r="AQ184" t="str">
        <f t="shared" si="52"/>
        <v>&lt;=3</v>
      </c>
      <c r="AR184" t="str">
        <f t="shared" si="53"/>
        <v>&lt;=3</v>
      </c>
    </row>
    <row r="185" spans="1:44" x14ac:dyDescent="0.3">
      <c r="A185" t="s">
        <v>111</v>
      </c>
      <c r="B185" t="s">
        <v>234</v>
      </c>
      <c r="C185" t="s">
        <v>294</v>
      </c>
      <c r="D185">
        <v>4020</v>
      </c>
      <c r="E185">
        <v>23120107</v>
      </c>
      <c r="F185" t="s">
        <v>235</v>
      </c>
      <c r="G185" t="s">
        <v>236</v>
      </c>
      <c r="H185">
        <v>5000</v>
      </c>
      <c r="I185">
        <v>115</v>
      </c>
      <c r="J185">
        <v>575000</v>
      </c>
      <c r="K185" s="7" t="str">
        <f>IFERROR(IF(B185&lt;&gt;"", TEXT(VLOOKUP(B185, 'Expected Date'!A:B, 2, FALSE) + DATE(RIGHT(C185,2),MID(C185,4,2),LEFT(C185,2)), "dd/mm/yy"), ""), "")</f>
        <v>02/09/23</v>
      </c>
      <c r="L185" t="s">
        <v>38</v>
      </c>
      <c r="M185" t="s">
        <v>48</v>
      </c>
      <c r="N185" t="s">
        <v>295</v>
      </c>
      <c r="O185" t="s">
        <v>286</v>
      </c>
      <c r="P185">
        <v>23191002</v>
      </c>
      <c r="Q185" t="s">
        <v>235</v>
      </c>
      <c r="R185" t="s">
        <v>236</v>
      </c>
      <c r="S185">
        <v>5000</v>
      </c>
      <c r="T185">
        <v>115</v>
      </c>
      <c r="U185">
        <v>575000</v>
      </c>
      <c r="V185" t="str">
        <f t="shared" si="49"/>
        <v>Accepted</v>
      </c>
      <c r="W185">
        <f>IFERROR(VLOOKUP(N185, Payment_Terms!A:B, 2, FALSE), "Payment term not found!")</f>
        <v>0</v>
      </c>
      <c r="X185" t="str">
        <f>IFERROR(VLOOKUP(R185, Item_Category!A:B, 2, FALSE), "Uncategorized")</f>
        <v>Calcium salts</v>
      </c>
      <c r="Y185" s="5">
        <f t="shared" si="36"/>
        <v>0</v>
      </c>
      <c r="Z185">
        <f t="shared" si="37"/>
        <v>5</v>
      </c>
      <c r="AA185">
        <f t="shared" si="38"/>
        <v>-2</v>
      </c>
      <c r="AB185">
        <f t="shared" si="39"/>
        <v>5</v>
      </c>
      <c r="AC185" s="10">
        <f t="shared" si="40"/>
        <v>8</v>
      </c>
      <c r="AD185" s="5">
        <f t="shared" si="41"/>
        <v>1</v>
      </c>
      <c r="AE185" s="5">
        <f t="shared" si="42"/>
        <v>1</v>
      </c>
      <c r="AF185" s="5">
        <f t="shared" si="43"/>
        <v>0</v>
      </c>
      <c r="AG185">
        <f>IF(B185&lt;&gt;"", COUNTIFS($B$2:B185, B185), "")</f>
        <v>2</v>
      </c>
      <c r="AH185">
        <f t="shared" si="44"/>
        <v>5</v>
      </c>
      <c r="AI185" t="str">
        <f>VLOOKUP(B185, Currency!A:B, 2, FALSE)</f>
        <v>INR</v>
      </c>
      <c r="AJ185">
        <f t="shared" si="45"/>
        <v>5</v>
      </c>
      <c r="AK185">
        <f t="shared" si="46"/>
        <v>8</v>
      </c>
      <c r="AL185" t="str">
        <f t="shared" si="47"/>
        <v>August</v>
      </c>
      <c r="AM185">
        <f t="shared" si="50"/>
        <v>2023</v>
      </c>
      <c r="AN185" t="str">
        <f t="shared" si="48"/>
        <v>0Sbf pharma</v>
      </c>
      <c r="AO185">
        <f>IF(COUNTIF($AN$2:AN185, AN185)=1, 1, 0)</f>
        <v>0</v>
      </c>
      <c r="AP185" t="str">
        <f t="shared" si="51"/>
        <v>&gt;3</v>
      </c>
      <c r="AQ185" t="str">
        <f t="shared" si="52"/>
        <v>&gt;3</v>
      </c>
      <c r="AR185" t="str">
        <f t="shared" si="53"/>
        <v>&gt;3</v>
      </c>
    </row>
    <row r="186" spans="1:44" x14ac:dyDescent="0.3">
      <c r="A186" t="s">
        <v>111</v>
      </c>
      <c r="B186" t="s">
        <v>296</v>
      </c>
      <c r="C186" t="s">
        <v>74</v>
      </c>
      <c r="D186">
        <v>3664</v>
      </c>
      <c r="E186">
        <v>23110335</v>
      </c>
      <c r="F186" t="s">
        <v>297</v>
      </c>
      <c r="G186" t="s">
        <v>298</v>
      </c>
      <c r="H186">
        <v>5000</v>
      </c>
      <c r="I186">
        <v>205</v>
      </c>
      <c r="J186">
        <v>1025000</v>
      </c>
      <c r="K186" s="7" t="str">
        <f>IFERROR(IF(B186&lt;&gt;"", TEXT(VLOOKUP(B186, 'Expected Date'!A:B, 2, FALSE) + DATE(RIGHT(C186,2),MID(C186,4,2),LEFT(C186,2)), "dd/mm/yy"), ""), "")</f>
        <v>26/08/23</v>
      </c>
      <c r="L186" t="s">
        <v>38</v>
      </c>
      <c r="M186" t="s">
        <v>48</v>
      </c>
      <c r="N186" t="s">
        <v>299</v>
      </c>
      <c r="O186" t="s">
        <v>286</v>
      </c>
      <c r="P186">
        <v>23191003</v>
      </c>
      <c r="Q186" t="s">
        <v>297</v>
      </c>
      <c r="R186" t="s">
        <v>298</v>
      </c>
      <c r="S186">
        <v>5000</v>
      </c>
      <c r="T186">
        <v>205</v>
      </c>
      <c r="U186">
        <v>1025000</v>
      </c>
      <c r="V186" t="str">
        <f t="shared" si="49"/>
        <v>Accepted</v>
      </c>
      <c r="W186">
        <f>IFERROR(VLOOKUP(N186, Payment_Terms!A:B, 2, FALSE), "Payment term not found!")</f>
        <v>60</v>
      </c>
      <c r="X186" t="str">
        <f>IFERROR(VLOOKUP(R186, Item_Category!A:B, 2, FALSE), "Uncategorized")</f>
        <v>SSG - Potato</v>
      </c>
      <c r="Y186" s="5">
        <f t="shared" si="36"/>
        <v>0</v>
      </c>
      <c r="Z186">
        <f t="shared" si="37"/>
        <v>5</v>
      </c>
      <c r="AA186">
        <f t="shared" si="38"/>
        <v>5</v>
      </c>
      <c r="AB186">
        <f t="shared" si="39"/>
        <v>3</v>
      </c>
      <c r="AC186" s="10">
        <f t="shared" si="40"/>
        <v>20</v>
      </c>
      <c r="AD186" s="5">
        <f t="shared" si="41"/>
        <v>1</v>
      </c>
      <c r="AE186" s="5">
        <f t="shared" si="42"/>
        <v>1</v>
      </c>
      <c r="AF186" s="5">
        <f t="shared" si="43"/>
        <v>0</v>
      </c>
      <c r="AG186">
        <f>IF(B186&lt;&gt;"", COUNTIFS($B$2:B186, B186), "")</f>
        <v>1</v>
      </c>
      <c r="AH186">
        <f t="shared" si="44"/>
        <v>5</v>
      </c>
      <c r="AI186" t="str">
        <f>VLOOKUP(B186, Currency!A:B, 2, FALSE)</f>
        <v>INR</v>
      </c>
      <c r="AJ186">
        <f t="shared" si="45"/>
        <v>5</v>
      </c>
      <c r="AK186">
        <f t="shared" si="46"/>
        <v>8</v>
      </c>
      <c r="AL186" t="str">
        <f t="shared" si="47"/>
        <v>August</v>
      </c>
      <c r="AM186">
        <f t="shared" si="50"/>
        <v>2023</v>
      </c>
      <c r="AN186" t="str">
        <f t="shared" si="48"/>
        <v>60Ascot Pharmachem Pvt Ltd</v>
      </c>
      <c r="AO186">
        <f>IF(COUNTIF($AN$2:AN186, AN186)=1, 1, 0)</f>
        <v>1</v>
      </c>
      <c r="AP186" t="str">
        <f t="shared" si="51"/>
        <v>&gt;3</v>
      </c>
      <c r="AQ186" t="str">
        <f t="shared" si="52"/>
        <v>&gt;3</v>
      </c>
      <c r="AR186" t="str">
        <f t="shared" si="53"/>
        <v>&lt;=3</v>
      </c>
    </row>
    <row r="187" spans="1:44" x14ac:dyDescent="0.3">
      <c r="A187" t="s">
        <v>33</v>
      </c>
      <c r="B187" t="s">
        <v>64</v>
      </c>
      <c r="C187" t="s">
        <v>228</v>
      </c>
      <c r="D187">
        <v>4548</v>
      </c>
      <c r="E187">
        <v>23120125</v>
      </c>
      <c r="F187" t="s">
        <v>125</v>
      </c>
      <c r="G187" t="s">
        <v>126</v>
      </c>
      <c r="H187">
        <v>5000</v>
      </c>
      <c r="I187">
        <v>22.5</v>
      </c>
      <c r="J187">
        <v>112500</v>
      </c>
      <c r="K187" s="7" t="str">
        <f>IFERROR(IF(B187&lt;&gt;"", TEXT(VLOOKUP(B187, 'Expected Date'!A:B, 2, FALSE) + DATE(RIGHT(C187,2),MID(C187,4,2),LEFT(C187,2)), "dd/mm/yy"), ""), "")</f>
        <v>02/10/23</v>
      </c>
      <c r="L187" t="s">
        <v>38</v>
      </c>
      <c r="M187" t="s">
        <v>48</v>
      </c>
      <c r="N187" t="s">
        <v>69</v>
      </c>
      <c r="O187" t="s">
        <v>254</v>
      </c>
      <c r="P187">
        <v>23191316</v>
      </c>
      <c r="Q187" t="s">
        <v>125</v>
      </c>
      <c r="R187" t="s">
        <v>126</v>
      </c>
      <c r="S187">
        <v>5302</v>
      </c>
      <c r="T187">
        <v>22.5</v>
      </c>
      <c r="U187">
        <v>119295</v>
      </c>
      <c r="V187" t="str">
        <f t="shared" si="49"/>
        <v>Accepted</v>
      </c>
      <c r="W187">
        <f>IFERROR(VLOOKUP(N187, Payment_Terms!A:B, 2, FALSE), "Payment term not found!")</f>
        <v>30</v>
      </c>
      <c r="X187" t="str">
        <f>IFERROR(VLOOKUP(R187, Item_Category!A:B, 2, FALSE), "Uncategorized")</f>
        <v>Bags</v>
      </c>
      <c r="Y187" s="5">
        <f t="shared" si="36"/>
        <v>0</v>
      </c>
      <c r="Z187">
        <f t="shared" si="37"/>
        <v>5</v>
      </c>
      <c r="AA187">
        <f t="shared" si="38"/>
        <v>12</v>
      </c>
      <c r="AB187">
        <f t="shared" si="39"/>
        <v>1</v>
      </c>
      <c r="AC187" s="10">
        <f t="shared" si="40"/>
        <v>22</v>
      </c>
      <c r="AD187" s="5">
        <f t="shared" si="41"/>
        <v>1</v>
      </c>
      <c r="AE187" s="5">
        <f t="shared" si="42"/>
        <v>1</v>
      </c>
      <c r="AF187" s="5">
        <f t="shared" si="43"/>
        <v>0</v>
      </c>
      <c r="AG187">
        <f>IF(B187&lt;&gt;"", COUNTIFS($B$2:B187, B187), "")</f>
        <v>20</v>
      </c>
      <c r="AH187">
        <f t="shared" si="44"/>
        <v>5</v>
      </c>
      <c r="AI187" t="str">
        <f>VLOOKUP(B187, Currency!A:B, 2, FALSE)</f>
        <v>INR</v>
      </c>
      <c r="AJ187">
        <f t="shared" si="45"/>
        <v>4</v>
      </c>
      <c r="AK187">
        <f t="shared" si="46"/>
        <v>9</v>
      </c>
      <c r="AL187" t="str">
        <f t="shared" si="47"/>
        <v>September</v>
      </c>
      <c r="AM187">
        <f t="shared" si="50"/>
        <v>2023</v>
      </c>
      <c r="AN187" t="str">
        <f t="shared" si="48"/>
        <v>30Epic Polymers</v>
      </c>
      <c r="AO187">
        <f>IF(COUNTIF($AN$2:AN187, AN187)=1, 1, 0)</f>
        <v>0</v>
      </c>
      <c r="AP187" t="str">
        <f t="shared" si="51"/>
        <v>&gt;3</v>
      </c>
      <c r="AQ187" t="str">
        <f t="shared" si="52"/>
        <v>&gt;3</v>
      </c>
      <c r="AR187" t="str">
        <f t="shared" si="53"/>
        <v>&lt;=3</v>
      </c>
    </row>
    <row r="188" spans="1:44" x14ac:dyDescent="0.3">
      <c r="A188" t="s">
        <v>111</v>
      </c>
      <c r="B188" t="s">
        <v>264</v>
      </c>
      <c r="C188" t="s">
        <v>84</v>
      </c>
      <c r="D188">
        <v>1444</v>
      </c>
      <c r="E188">
        <v>23110058</v>
      </c>
      <c r="F188" t="s">
        <v>266</v>
      </c>
      <c r="G188" t="s">
        <v>267</v>
      </c>
      <c r="H188">
        <v>5000</v>
      </c>
      <c r="I188">
        <v>133</v>
      </c>
      <c r="J188">
        <v>665000</v>
      </c>
      <c r="K188" s="7" t="str">
        <f>IFERROR(IF(B188&lt;&gt;"", TEXT(VLOOKUP(B188, 'Expected Date'!A:B, 2, FALSE) + DATE(RIGHT(C188,2),MID(C188,4,2),LEFT(C188,2)), "dd/mm/yy"), ""), "")</f>
        <v>01/05/23</v>
      </c>
      <c r="L188" t="s">
        <v>38</v>
      </c>
      <c r="M188" t="s">
        <v>48</v>
      </c>
      <c r="N188" t="s">
        <v>268</v>
      </c>
      <c r="O188" t="s">
        <v>41</v>
      </c>
      <c r="P188">
        <v>23190117</v>
      </c>
      <c r="Q188" t="s">
        <v>266</v>
      </c>
      <c r="R188" t="s">
        <v>267</v>
      </c>
      <c r="S188">
        <v>5000</v>
      </c>
      <c r="T188">
        <v>133</v>
      </c>
      <c r="U188">
        <v>665000</v>
      </c>
      <c r="V188" t="str">
        <f t="shared" si="49"/>
        <v>Accepted</v>
      </c>
      <c r="W188">
        <f>IFERROR(VLOOKUP(N188, Payment_Terms!A:B, 2, FALSE), "Payment term not found!")</f>
        <v>0</v>
      </c>
      <c r="X188" t="str">
        <f>IFERROR(VLOOKUP(R188, Item_Category!A:B, 2, FALSE), "Uncategorized")</f>
        <v>Magnesium stearate</v>
      </c>
      <c r="Y188" s="5">
        <f t="shared" si="36"/>
        <v>0</v>
      </c>
      <c r="Z188">
        <f t="shared" si="37"/>
        <v>5</v>
      </c>
      <c r="AA188">
        <f t="shared" si="38"/>
        <v>-2</v>
      </c>
      <c r="AB188">
        <f t="shared" si="39"/>
        <v>5</v>
      </c>
      <c r="AC188" s="10">
        <f t="shared" si="40"/>
        <v>8</v>
      </c>
      <c r="AD188" s="5">
        <f t="shared" si="41"/>
        <v>1</v>
      </c>
      <c r="AE188" s="5">
        <f t="shared" si="42"/>
        <v>1</v>
      </c>
      <c r="AF188" s="5">
        <f t="shared" si="43"/>
        <v>0</v>
      </c>
      <c r="AG188">
        <f>IF(B188&lt;&gt;"", COUNTIFS($B$2:B188, B188), "")</f>
        <v>2</v>
      </c>
      <c r="AH188">
        <f t="shared" si="44"/>
        <v>5</v>
      </c>
      <c r="AI188" t="str">
        <f>VLOOKUP(B188, Currency!A:B, 2, FALSE)</f>
        <v>INR</v>
      </c>
      <c r="AJ188">
        <f t="shared" si="45"/>
        <v>5</v>
      </c>
      <c r="AK188">
        <f t="shared" si="46"/>
        <v>4</v>
      </c>
      <c r="AL188" t="str">
        <f t="shared" si="47"/>
        <v>April</v>
      </c>
      <c r="AM188">
        <f t="shared" si="50"/>
        <v>2023</v>
      </c>
      <c r="AN188" t="str">
        <f t="shared" si="48"/>
        <v>0Sunshine Organic Pvt Ltd</v>
      </c>
      <c r="AO188">
        <f>IF(COUNTIF($AN$2:AN188, AN188)=1, 1, 0)</f>
        <v>0</v>
      </c>
      <c r="AP188" t="str">
        <f t="shared" si="51"/>
        <v>&gt;3</v>
      </c>
      <c r="AQ188" t="str">
        <f t="shared" si="52"/>
        <v>&gt;3</v>
      </c>
      <c r="AR188" t="str">
        <f t="shared" si="53"/>
        <v>&gt;3</v>
      </c>
    </row>
    <row r="189" spans="1:44" x14ac:dyDescent="0.3">
      <c r="A189" t="s">
        <v>33</v>
      </c>
      <c r="B189" t="s">
        <v>107</v>
      </c>
      <c r="C189" t="s">
        <v>65</v>
      </c>
      <c r="D189">
        <v>1389</v>
      </c>
      <c r="E189">
        <v>23110050</v>
      </c>
      <c r="F189" t="s">
        <v>92</v>
      </c>
      <c r="G189" t="s">
        <v>93</v>
      </c>
      <c r="H189">
        <v>12000</v>
      </c>
      <c r="I189">
        <v>33.799999999999997</v>
      </c>
      <c r="J189">
        <v>405600</v>
      </c>
      <c r="K189" s="7" t="str">
        <f>IFERROR(IF(B189&lt;&gt;"", TEXT(VLOOKUP(B189, 'Expected Date'!A:B, 2, FALSE) + DATE(RIGHT(C189,2),MID(C189,4,2),LEFT(C189,2)), "dd/mm/yy"), ""), "")</f>
        <v>29/04/23</v>
      </c>
      <c r="L189" t="s">
        <v>38</v>
      </c>
      <c r="M189" t="s">
        <v>39</v>
      </c>
      <c r="N189" t="s">
        <v>109</v>
      </c>
      <c r="O189" t="s">
        <v>41</v>
      </c>
      <c r="P189">
        <v>23190119</v>
      </c>
      <c r="Q189" t="s">
        <v>92</v>
      </c>
      <c r="R189" t="s">
        <v>93</v>
      </c>
      <c r="S189">
        <v>5154</v>
      </c>
      <c r="T189">
        <v>33.799999999999997</v>
      </c>
      <c r="U189">
        <v>174205.2</v>
      </c>
      <c r="V189" t="str">
        <f t="shared" si="49"/>
        <v>Accepted</v>
      </c>
      <c r="W189">
        <f>IFERROR(VLOOKUP(N189, Payment_Terms!A:B, 2, FALSE), "Payment term not found!")</f>
        <v>0</v>
      </c>
      <c r="X189" t="str">
        <f>IFERROR(VLOOKUP(R189, Item_Category!A:B, 2, FALSE), "Uncategorized")</f>
        <v>Bags</v>
      </c>
      <c r="Y189" s="5">
        <f t="shared" si="36"/>
        <v>0</v>
      </c>
      <c r="Z189">
        <f t="shared" si="37"/>
        <v>5</v>
      </c>
      <c r="AA189">
        <f t="shared" si="38"/>
        <v>0</v>
      </c>
      <c r="AB189">
        <f t="shared" si="39"/>
        <v>5</v>
      </c>
      <c r="AC189" s="10">
        <f t="shared" si="40"/>
        <v>10</v>
      </c>
      <c r="AD189" s="5">
        <f t="shared" si="41"/>
        <v>1</v>
      </c>
      <c r="AE189" s="5">
        <f t="shared" si="42"/>
        <v>1</v>
      </c>
      <c r="AF189" s="5">
        <f t="shared" si="43"/>
        <v>0</v>
      </c>
      <c r="AG189">
        <f>IF(B189&lt;&gt;"", COUNTIFS($B$2:B189, B189), "")</f>
        <v>12</v>
      </c>
      <c r="AH189">
        <f t="shared" si="44"/>
        <v>5</v>
      </c>
      <c r="AI189" t="str">
        <f>VLOOKUP(B189, Currency!A:B, 2, FALSE)</f>
        <v>INR</v>
      </c>
      <c r="AJ189">
        <f t="shared" si="45"/>
        <v>5</v>
      </c>
      <c r="AK189">
        <f t="shared" si="46"/>
        <v>4</v>
      </c>
      <c r="AL189" t="str">
        <f t="shared" si="47"/>
        <v>April</v>
      </c>
      <c r="AM189">
        <f t="shared" si="50"/>
        <v>2023</v>
      </c>
      <c r="AN189" t="str">
        <f t="shared" si="48"/>
        <v>0KAPILA INDUSTRIES</v>
      </c>
      <c r="AO189">
        <f>IF(COUNTIF($AN$2:AN189, AN189)=1, 1, 0)</f>
        <v>0</v>
      </c>
      <c r="AP189" t="str">
        <f t="shared" si="51"/>
        <v>&gt;3</v>
      </c>
      <c r="AQ189" t="str">
        <f t="shared" si="52"/>
        <v>&gt;3</v>
      </c>
      <c r="AR189" t="str">
        <f t="shared" si="53"/>
        <v>&gt;3</v>
      </c>
    </row>
    <row r="190" spans="1:44" x14ac:dyDescent="0.3">
      <c r="A190" t="s">
        <v>33</v>
      </c>
      <c r="B190" t="s">
        <v>107</v>
      </c>
      <c r="C190" t="s">
        <v>65</v>
      </c>
      <c r="D190">
        <v>1389</v>
      </c>
      <c r="E190">
        <v>23110050</v>
      </c>
      <c r="F190" t="s">
        <v>92</v>
      </c>
      <c r="G190" t="s">
        <v>93</v>
      </c>
      <c r="H190">
        <v>12000</v>
      </c>
      <c r="I190">
        <v>33.799999999999997</v>
      </c>
      <c r="J190">
        <v>405600</v>
      </c>
      <c r="K190" s="7" t="str">
        <f>IFERROR(IF(B190&lt;&gt;"", TEXT(VLOOKUP(B190, 'Expected Date'!A:B, 2, FALSE) + DATE(RIGHT(C190,2),MID(C190,4,2),LEFT(C190,2)), "dd/mm/yy"), ""), "")</f>
        <v>29/04/23</v>
      </c>
      <c r="L190" t="s">
        <v>38</v>
      </c>
      <c r="M190" t="s">
        <v>39</v>
      </c>
      <c r="N190" t="s">
        <v>109</v>
      </c>
      <c r="O190" t="s">
        <v>41</v>
      </c>
      <c r="P190">
        <v>23190125</v>
      </c>
      <c r="Q190" t="s">
        <v>92</v>
      </c>
      <c r="R190" t="s">
        <v>93</v>
      </c>
      <c r="S190">
        <v>2050</v>
      </c>
      <c r="T190">
        <v>33.799999999999997</v>
      </c>
      <c r="U190">
        <v>69290</v>
      </c>
      <c r="V190" t="str">
        <f t="shared" si="49"/>
        <v>Accepted</v>
      </c>
      <c r="W190">
        <f>IFERROR(VLOOKUP(N190, Payment_Terms!A:B, 2, FALSE), "Payment term not found!")</f>
        <v>0</v>
      </c>
      <c r="X190" t="str">
        <f>IFERROR(VLOOKUP(R190, Item_Category!A:B, 2, FALSE), "Uncategorized")</f>
        <v>Bags</v>
      </c>
      <c r="Y190" s="5">
        <f t="shared" si="36"/>
        <v>0</v>
      </c>
      <c r="Z190">
        <f t="shared" si="37"/>
        <v>5</v>
      </c>
      <c r="AA190">
        <f t="shared" si="38"/>
        <v>0</v>
      </c>
      <c r="AB190">
        <f t="shared" si="39"/>
        <v>5</v>
      </c>
      <c r="AC190" s="10">
        <f t="shared" si="40"/>
        <v>10</v>
      </c>
      <c r="AD190" s="5">
        <f t="shared" si="41"/>
        <v>1</v>
      </c>
      <c r="AE190" s="5">
        <f t="shared" si="42"/>
        <v>1</v>
      </c>
      <c r="AF190" s="5">
        <f t="shared" si="43"/>
        <v>0</v>
      </c>
      <c r="AG190">
        <f>IF(B190&lt;&gt;"", COUNTIFS($B$2:B190, B190), "")</f>
        <v>13</v>
      </c>
      <c r="AH190">
        <f t="shared" si="44"/>
        <v>5</v>
      </c>
      <c r="AI190" t="str">
        <f>VLOOKUP(B190, Currency!A:B, 2, FALSE)</f>
        <v>INR</v>
      </c>
      <c r="AJ190">
        <f t="shared" si="45"/>
        <v>5</v>
      </c>
      <c r="AK190">
        <f t="shared" si="46"/>
        <v>4</v>
      </c>
      <c r="AL190" t="str">
        <f t="shared" si="47"/>
        <v>April</v>
      </c>
      <c r="AM190">
        <f t="shared" si="50"/>
        <v>2023</v>
      </c>
      <c r="AN190" t="str">
        <f t="shared" si="48"/>
        <v>0KAPILA INDUSTRIES</v>
      </c>
      <c r="AO190">
        <f>IF(COUNTIF($AN$2:AN190, AN190)=1, 1, 0)</f>
        <v>0</v>
      </c>
      <c r="AP190" t="str">
        <f t="shared" si="51"/>
        <v>&gt;3</v>
      </c>
      <c r="AQ190" t="str">
        <f t="shared" si="52"/>
        <v>&gt;3</v>
      </c>
      <c r="AR190" t="str">
        <f t="shared" si="53"/>
        <v>&gt;3</v>
      </c>
    </row>
    <row r="191" spans="1:44" x14ac:dyDescent="0.3">
      <c r="A191" t="s">
        <v>33</v>
      </c>
      <c r="B191" t="s">
        <v>107</v>
      </c>
      <c r="C191" t="s">
        <v>65</v>
      </c>
      <c r="D191">
        <v>1389</v>
      </c>
      <c r="E191">
        <v>23110050</v>
      </c>
      <c r="F191" t="s">
        <v>92</v>
      </c>
      <c r="G191" t="s">
        <v>93</v>
      </c>
      <c r="H191">
        <v>12000</v>
      </c>
      <c r="I191">
        <v>33.799999999999997</v>
      </c>
      <c r="J191">
        <v>405600</v>
      </c>
      <c r="K191" s="7" t="str">
        <f>IFERROR(IF(B191&lt;&gt;"", TEXT(VLOOKUP(B191, 'Expected Date'!A:B, 2, FALSE) + DATE(RIGHT(C191,2),MID(C191,4,2),LEFT(C191,2)), "dd/mm/yy"), ""), "")</f>
        <v>29/04/23</v>
      </c>
      <c r="L191" t="s">
        <v>38</v>
      </c>
      <c r="M191" t="s">
        <v>39</v>
      </c>
      <c r="N191" t="s">
        <v>109</v>
      </c>
      <c r="O191" t="s">
        <v>300</v>
      </c>
      <c r="P191">
        <v>23190237</v>
      </c>
      <c r="Q191" t="s">
        <v>92</v>
      </c>
      <c r="R191" t="s">
        <v>93</v>
      </c>
      <c r="S191">
        <v>4983</v>
      </c>
      <c r="T191">
        <v>33.799999999999997</v>
      </c>
      <c r="U191">
        <v>168425.4</v>
      </c>
      <c r="V191" t="str">
        <f t="shared" si="49"/>
        <v>Accepted</v>
      </c>
      <c r="W191">
        <f>IFERROR(VLOOKUP(N191, Payment_Terms!A:B, 2, FALSE), "Payment term not found!")</f>
        <v>0</v>
      </c>
      <c r="X191" t="str">
        <f>IFERROR(VLOOKUP(R191, Item_Category!A:B, 2, FALSE), "Uncategorized")</f>
        <v>Bags</v>
      </c>
      <c r="Y191" s="5">
        <f t="shared" si="36"/>
        <v>0</v>
      </c>
      <c r="Z191">
        <f t="shared" si="37"/>
        <v>5</v>
      </c>
      <c r="AA191">
        <f t="shared" si="38"/>
        <v>13</v>
      </c>
      <c r="AB191">
        <f t="shared" si="39"/>
        <v>1</v>
      </c>
      <c r="AC191" s="10">
        <f t="shared" si="40"/>
        <v>23</v>
      </c>
      <c r="AD191" s="5">
        <f t="shared" si="41"/>
        <v>1</v>
      </c>
      <c r="AE191" s="5">
        <f t="shared" si="42"/>
        <v>1</v>
      </c>
      <c r="AF191" s="5">
        <f t="shared" si="43"/>
        <v>0</v>
      </c>
      <c r="AG191">
        <f>IF(B191&lt;&gt;"", COUNTIFS($B$2:B191, B191), "")</f>
        <v>14</v>
      </c>
      <c r="AH191">
        <f t="shared" si="44"/>
        <v>5</v>
      </c>
      <c r="AI191" t="str">
        <f>VLOOKUP(B191, Currency!A:B, 2, FALSE)</f>
        <v>INR</v>
      </c>
      <c r="AJ191">
        <f t="shared" si="45"/>
        <v>4</v>
      </c>
      <c r="AK191">
        <f t="shared" si="46"/>
        <v>4</v>
      </c>
      <c r="AL191" t="str">
        <f t="shared" si="47"/>
        <v>April</v>
      </c>
      <c r="AM191">
        <f t="shared" si="50"/>
        <v>2023</v>
      </c>
      <c r="AN191" t="str">
        <f t="shared" si="48"/>
        <v>0KAPILA INDUSTRIES</v>
      </c>
      <c r="AO191">
        <f>IF(COUNTIF($AN$2:AN191, AN191)=1, 1, 0)</f>
        <v>0</v>
      </c>
      <c r="AP191" t="str">
        <f t="shared" si="51"/>
        <v>&gt;3</v>
      </c>
      <c r="AQ191" t="str">
        <f t="shared" si="52"/>
        <v>&gt;3</v>
      </c>
      <c r="AR191" t="str">
        <f t="shared" si="53"/>
        <v>&lt;=3</v>
      </c>
    </row>
    <row r="192" spans="1:44" x14ac:dyDescent="0.3">
      <c r="A192" t="s">
        <v>33</v>
      </c>
      <c r="B192" t="s">
        <v>301</v>
      </c>
      <c r="C192" t="s">
        <v>225</v>
      </c>
      <c r="D192">
        <v>1838</v>
      </c>
      <c r="E192">
        <v>23120024</v>
      </c>
      <c r="F192" t="s">
        <v>302</v>
      </c>
      <c r="G192" t="s">
        <v>303</v>
      </c>
      <c r="H192">
        <v>3000</v>
      </c>
      <c r="I192">
        <v>229</v>
      </c>
      <c r="J192">
        <v>687000</v>
      </c>
      <c r="K192" s="7" t="str">
        <f>IFERROR(IF(B192&lt;&gt;"", TEXT(VLOOKUP(B192, 'Expected Date'!A:B, 2, FALSE) + DATE(RIGHT(C192,2),MID(C192,4,2),LEFT(C192,2)), "dd/mm/yy"), ""), "")</f>
        <v>21/05/23</v>
      </c>
      <c r="L192" t="s">
        <v>38</v>
      </c>
      <c r="M192" t="s">
        <v>48</v>
      </c>
      <c r="N192" t="s">
        <v>123</v>
      </c>
      <c r="O192" t="s">
        <v>210</v>
      </c>
      <c r="P192">
        <v>23190245</v>
      </c>
      <c r="Q192" t="s">
        <v>302</v>
      </c>
      <c r="R192" t="s">
        <v>303</v>
      </c>
      <c r="S192">
        <v>3000</v>
      </c>
      <c r="T192">
        <v>229</v>
      </c>
      <c r="U192">
        <v>687000</v>
      </c>
      <c r="V192" t="str">
        <f t="shared" si="49"/>
        <v>Accepted</v>
      </c>
      <c r="W192">
        <f>IFERROR(VLOOKUP(N192, Payment_Terms!A:B, 2, FALSE), "Payment term not found!")</f>
        <v>0</v>
      </c>
      <c r="X192" t="str">
        <f>IFERROR(VLOOKUP(R192, Item_Category!A:B, 2, FALSE), "Uncategorized")</f>
        <v>Coal Additive</v>
      </c>
      <c r="Y192" s="5">
        <f t="shared" si="36"/>
        <v>0</v>
      </c>
      <c r="Z192">
        <f t="shared" si="37"/>
        <v>5</v>
      </c>
      <c r="AA192">
        <f t="shared" si="38"/>
        <v>-8</v>
      </c>
      <c r="AB192">
        <f t="shared" si="39"/>
        <v>5</v>
      </c>
      <c r="AC192" s="10">
        <f t="shared" si="40"/>
        <v>2</v>
      </c>
      <c r="AD192" s="5">
        <f t="shared" si="41"/>
        <v>1</v>
      </c>
      <c r="AE192" s="5">
        <f t="shared" si="42"/>
        <v>1</v>
      </c>
      <c r="AF192" s="5">
        <f t="shared" si="43"/>
        <v>0</v>
      </c>
      <c r="AG192">
        <f>IF(B192&lt;&gt;"", COUNTIFS($B$2:B192, B192), "")</f>
        <v>1</v>
      </c>
      <c r="AH192">
        <f t="shared" si="44"/>
        <v>5</v>
      </c>
      <c r="AI192" t="str">
        <f>VLOOKUP(B192, Currency!A:B, 2, FALSE)</f>
        <v>INR</v>
      </c>
      <c r="AJ192">
        <f t="shared" si="45"/>
        <v>5</v>
      </c>
      <c r="AK192">
        <f t="shared" si="46"/>
        <v>5</v>
      </c>
      <c r="AL192" t="str">
        <f t="shared" si="47"/>
        <v>May</v>
      </c>
      <c r="AM192">
        <f t="shared" si="50"/>
        <v>2023</v>
      </c>
      <c r="AN192" t="str">
        <f t="shared" si="48"/>
        <v>0Uttej Polymers &amp; Chemicals</v>
      </c>
      <c r="AO192">
        <f>IF(COUNTIF($AN$2:AN192, AN192)=1, 1, 0)</f>
        <v>1</v>
      </c>
      <c r="AP192" t="str">
        <f t="shared" si="51"/>
        <v>&gt;3</v>
      </c>
      <c r="AQ192" t="str">
        <f t="shared" si="52"/>
        <v>&gt;3</v>
      </c>
      <c r="AR192" t="str">
        <f t="shared" si="53"/>
        <v>&gt;3</v>
      </c>
    </row>
    <row r="193" spans="1:44" x14ac:dyDescent="0.3">
      <c r="A193" t="s">
        <v>33</v>
      </c>
      <c r="B193" t="s">
        <v>304</v>
      </c>
      <c r="C193" t="s">
        <v>225</v>
      </c>
      <c r="D193">
        <v>1850</v>
      </c>
      <c r="E193">
        <v>23110126</v>
      </c>
      <c r="F193" t="s">
        <v>305</v>
      </c>
      <c r="G193" t="s">
        <v>306</v>
      </c>
      <c r="H193">
        <v>300</v>
      </c>
      <c r="I193">
        <v>36</v>
      </c>
      <c r="J193">
        <v>10800</v>
      </c>
      <c r="K193" s="7" t="str">
        <f>IFERROR(IF(B193&lt;&gt;"", TEXT(VLOOKUP(B193, 'Expected Date'!A:B, 2, FALSE) + DATE(RIGHT(C193,2),MID(C193,4,2),LEFT(C193,2)), "dd/mm/yy"), ""), "")</f>
        <v>21/05/23</v>
      </c>
      <c r="L193" t="s">
        <v>38</v>
      </c>
      <c r="M193" t="s">
        <v>48</v>
      </c>
      <c r="N193" t="s">
        <v>307</v>
      </c>
      <c r="O193" t="s">
        <v>308</v>
      </c>
      <c r="P193">
        <v>23190410</v>
      </c>
      <c r="Q193" t="s">
        <v>305</v>
      </c>
      <c r="R193" t="s">
        <v>306</v>
      </c>
      <c r="S193">
        <v>300</v>
      </c>
      <c r="T193">
        <v>36</v>
      </c>
      <c r="U193">
        <v>10800</v>
      </c>
      <c r="V193" t="str">
        <f t="shared" si="49"/>
        <v>Accepted</v>
      </c>
      <c r="W193">
        <f>IFERROR(VLOOKUP(N193, Payment_Terms!A:B, 2, FALSE), "Payment term not found!")</f>
        <v>0</v>
      </c>
      <c r="X193" t="str">
        <f>IFERROR(VLOOKUP(R193, Item_Category!A:B, 2, FALSE), "Uncategorized")</f>
        <v>Peroxide</v>
      </c>
      <c r="Y193" s="5">
        <f t="shared" si="36"/>
        <v>0</v>
      </c>
      <c r="Z193">
        <f t="shared" si="37"/>
        <v>5</v>
      </c>
      <c r="AA193">
        <f t="shared" si="38"/>
        <v>20</v>
      </c>
      <c r="AB193">
        <f t="shared" si="39"/>
        <v>1</v>
      </c>
      <c r="AC193" s="10">
        <f t="shared" si="40"/>
        <v>30</v>
      </c>
      <c r="AD193" s="5">
        <f t="shared" si="41"/>
        <v>1</v>
      </c>
      <c r="AE193" s="5">
        <f t="shared" si="42"/>
        <v>1</v>
      </c>
      <c r="AF193" s="5">
        <f t="shared" si="43"/>
        <v>0</v>
      </c>
      <c r="AG193">
        <f>IF(B193&lt;&gt;"", COUNTIFS($B$2:B193, B193), "")</f>
        <v>1</v>
      </c>
      <c r="AH193">
        <f t="shared" si="44"/>
        <v>5</v>
      </c>
      <c r="AI193" t="str">
        <f>VLOOKUP(B193, Currency!A:B, 2, FALSE)</f>
        <v>INR</v>
      </c>
      <c r="AJ193">
        <f t="shared" si="45"/>
        <v>4</v>
      </c>
      <c r="AK193">
        <f t="shared" si="46"/>
        <v>5</v>
      </c>
      <c r="AL193" t="str">
        <f t="shared" si="47"/>
        <v>May</v>
      </c>
      <c r="AM193">
        <f t="shared" si="50"/>
        <v>2023</v>
      </c>
      <c r="AN193" t="str">
        <f t="shared" si="48"/>
        <v>0Ramya Group</v>
      </c>
      <c r="AO193">
        <f>IF(COUNTIF($AN$2:AN193, AN193)=1, 1, 0)</f>
        <v>1</v>
      </c>
      <c r="AP193" t="str">
        <f t="shared" si="51"/>
        <v>&gt;3</v>
      </c>
      <c r="AQ193" t="str">
        <f t="shared" si="52"/>
        <v>&gt;3</v>
      </c>
      <c r="AR193" t="str">
        <f t="shared" si="53"/>
        <v>&lt;=3</v>
      </c>
    </row>
    <row r="194" spans="1:44" x14ac:dyDescent="0.3">
      <c r="A194" t="str">
        <f>A183</f>
        <v>Woodpulp</v>
      </c>
      <c r="B194" t="s">
        <v>289</v>
      </c>
      <c r="C194" t="s">
        <v>133</v>
      </c>
      <c r="D194">
        <v>2300</v>
      </c>
      <c r="E194">
        <v>23110171</v>
      </c>
      <c r="F194" t="s">
        <v>290</v>
      </c>
      <c r="G194" t="s">
        <v>291</v>
      </c>
      <c r="H194">
        <v>100</v>
      </c>
      <c r="I194">
        <v>56000</v>
      </c>
      <c r="J194">
        <v>5600000</v>
      </c>
      <c r="K194" s="7" t="str">
        <f>IFERROR(IF(B194&lt;&gt;"", TEXT(VLOOKUP(B194, 'Expected Date'!A:B, 2, FALSE) + DATE(RIGHT(C194,2),MID(C194,4,2),LEFT(C194,2)), "dd/mm/yy"), ""), "")</f>
        <v>06/07/23</v>
      </c>
      <c r="L194" t="s">
        <v>38</v>
      </c>
      <c r="M194" t="str">
        <f>M149</f>
        <v>MT</v>
      </c>
      <c r="N194" t="s">
        <v>292</v>
      </c>
      <c r="O194" t="s">
        <v>271</v>
      </c>
      <c r="P194">
        <v>23190412</v>
      </c>
      <c r="Q194" t="s">
        <v>290</v>
      </c>
      <c r="R194" t="s">
        <v>291</v>
      </c>
      <c r="S194">
        <v>30.27</v>
      </c>
      <c r="T194">
        <v>56000</v>
      </c>
      <c r="U194">
        <v>1695120</v>
      </c>
      <c r="V194" t="str">
        <f t="shared" si="49"/>
        <v>Accepted</v>
      </c>
      <c r="W194">
        <f>IFERROR(VLOOKUP(N194, Payment_Terms!A:B, 2, FALSE), "Payment term not found!")</f>
        <v>0</v>
      </c>
      <c r="X194" t="str">
        <f>IFERROR(VLOOKUP(R194, Item_Category!A:B, 2, FALSE), "Uncategorized")</f>
        <v>Wood pulp</v>
      </c>
      <c r="Y194" s="5">
        <f t="shared" ref="Y194:Y257" si="54">IFERROR(IF(AND(E194&lt;&gt;"", G194&lt;&gt;""), MAX(0, (H194-SUMIFS(S:S, E:E, E194, G:G, G194))/H194), ""), (H194-S194)/H194)</f>
        <v>0</v>
      </c>
      <c r="Z194">
        <f t="shared" ref="Z194:Z257" si="55">IF(Y194&lt;=0%,5,(IF(AND(Y194&gt;0%,Y194&lt;=2%),4,IF(AND(Y194&gt;2%,Y194&lt;=5%),3,IF(AND(Y194&gt;5%,Y194&lt;10%),2,1)))))</f>
        <v>5</v>
      </c>
      <c r="AA194">
        <f t="shared" ref="AA194:AA257" si="56">DATE(RIGHT(O194,2),MID(O194,4,2),LEFT(O194,2)) - DATE(RIGHT(K194,2),MID(K194,4,2),LEFT(K194,2))</f>
        <v>-25</v>
      </c>
      <c r="AB194">
        <f t="shared" ref="AB194:AB257" si="57">IF(AA194 &lt;= 2, 5, IF(AA194 &lt;= 4, 4, IF(AA194 &lt;= 7, 3, IF(AA194&lt;=10,2,1))))</f>
        <v>5</v>
      </c>
      <c r="AC194" s="10">
        <f t="shared" ref="AC194:AC257" si="58">ABS(DATE(RIGHT(O194,2),MID(O194,4,2),LEFT(O194,2)) - DATE(RIGHT(C194,2),MID(C194,4,2),LEFT(C194,2)))</f>
        <v>5</v>
      </c>
      <c r="AD194" s="5">
        <f t="shared" ref="AD194:AD257" si="59">IF(V194="Accepted",1,0)</f>
        <v>1</v>
      </c>
      <c r="AE194" s="5">
        <f t="shared" ref="AE194:AE257" si="60">ROUNDUP((SUMIFS(S:S, B:B, B194, V:V, "Accepted")/SUMIF(B:B,B194,S:S)),2)</f>
        <v>1</v>
      </c>
      <c r="AF194" s="5">
        <f t="shared" ref="AF194:AF257" si="61">ROUNDUP(ABS(100%-AE194),2)</f>
        <v>0</v>
      </c>
      <c r="AG194">
        <f>IF(B194&lt;&gt;"", COUNTIFS($B$2:B194, B194), "")</f>
        <v>5</v>
      </c>
      <c r="AH194">
        <f t="shared" ref="AH194:AH257" si="62">IF(AF194=0%,5,IF(AND(AF194&gt;0%,AF194&lt;=2%),4,IF(AND(AF194&gt;2%,AF194&lt;=5%),3,IF(AND(AF194&gt;5%,AF194&lt;10%),2,1))))</f>
        <v>5</v>
      </c>
      <c r="AI194" t="str">
        <f>VLOOKUP(B194, Currency!A:B, 2, FALSE)</f>
        <v>INR</v>
      </c>
      <c r="AJ194">
        <f t="shared" ref="AJ194:AJ257" si="63">_xlfn.CEILING.MATH(((0.4*AH194)+(0.3*Z194)+(0.3*AB194)),1)</f>
        <v>5</v>
      </c>
      <c r="AK194">
        <f t="shared" ref="AK194:AK257" si="64">MONTH(DATE(RIGHT(C194,2),MID(C194,4,2),LEFT(C194,2)))</f>
        <v>6</v>
      </c>
      <c r="AL194" t="str">
        <f t="shared" ref="AL194:AL257" si="65">TEXT(DATE(RIGHT(C194,2),MID(C194,4,2),LEFT(C194,2)),"mmmm")</f>
        <v>June</v>
      </c>
      <c r="AM194">
        <f t="shared" si="50"/>
        <v>2023</v>
      </c>
      <c r="AN194" t="str">
        <f t="shared" ref="AN194:AN257" si="66">W194&amp;B194</f>
        <v>0N.E. IMPEX PRIVATE LIMITED</v>
      </c>
      <c r="AO194">
        <f>IF(COUNTIF($AN$2:AN194, AN194)=1, 1, 0)</f>
        <v>0</v>
      </c>
      <c r="AP194" t="str">
        <f t="shared" si="51"/>
        <v>&gt;3</v>
      </c>
      <c r="AQ194" t="str">
        <f t="shared" si="52"/>
        <v>&gt;3</v>
      </c>
      <c r="AR194" t="str">
        <f t="shared" si="53"/>
        <v>&gt;3</v>
      </c>
    </row>
    <row r="195" spans="1:44" x14ac:dyDescent="0.3">
      <c r="A195" t="str">
        <f>A183</f>
        <v>Woodpulp</v>
      </c>
      <c r="B195" t="s">
        <v>289</v>
      </c>
      <c r="C195" t="s">
        <v>133</v>
      </c>
      <c r="D195">
        <v>2300</v>
      </c>
      <c r="E195">
        <v>23110171</v>
      </c>
      <c r="F195" t="s">
        <v>290</v>
      </c>
      <c r="G195" t="s">
        <v>291</v>
      </c>
      <c r="H195">
        <v>100</v>
      </c>
      <c r="I195">
        <v>56000</v>
      </c>
      <c r="J195">
        <v>5600000</v>
      </c>
      <c r="K195" s="7" t="str">
        <f>IFERROR(IF(B195&lt;&gt;"", TEXT(VLOOKUP(B195, 'Expected Date'!A:B, 2, FALSE) + DATE(RIGHT(C195,2),MID(C195,4,2),LEFT(C195,2)), "dd/mm/yy"), ""), "")</f>
        <v>06/07/23</v>
      </c>
      <c r="L195" t="s">
        <v>38</v>
      </c>
      <c r="M195" t="str">
        <f>M149</f>
        <v>MT</v>
      </c>
      <c r="N195" t="s">
        <v>292</v>
      </c>
      <c r="O195" t="s">
        <v>275</v>
      </c>
      <c r="P195">
        <v>23190413</v>
      </c>
      <c r="Q195" t="s">
        <v>290</v>
      </c>
      <c r="R195" t="s">
        <v>291</v>
      </c>
      <c r="S195">
        <v>30.268999999999998</v>
      </c>
      <c r="T195">
        <v>56000</v>
      </c>
      <c r="U195">
        <v>1695064</v>
      </c>
      <c r="V195" t="str">
        <f t="shared" ref="V195:V258" si="67">V194</f>
        <v>Accepted</v>
      </c>
      <c r="W195">
        <f>IFERROR(VLOOKUP(N195, Payment_Terms!A:B, 2, FALSE), "Payment term not found!")</f>
        <v>0</v>
      </c>
      <c r="X195" t="str">
        <f>IFERROR(VLOOKUP(R195, Item_Category!A:B, 2, FALSE), "Uncategorized")</f>
        <v>Wood pulp</v>
      </c>
      <c r="Y195" s="5">
        <f t="shared" si="54"/>
        <v>0</v>
      </c>
      <c r="Z195">
        <f t="shared" si="55"/>
        <v>5</v>
      </c>
      <c r="AA195">
        <f t="shared" si="56"/>
        <v>-24</v>
      </c>
      <c r="AB195">
        <f t="shared" si="57"/>
        <v>5</v>
      </c>
      <c r="AC195" s="10">
        <f t="shared" si="58"/>
        <v>6</v>
      </c>
      <c r="AD195" s="5">
        <f t="shared" si="59"/>
        <v>1</v>
      </c>
      <c r="AE195" s="5">
        <f t="shared" si="60"/>
        <v>1</v>
      </c>
      <c r="AF195" s="5">
        <f t="shared" si="61"/>
        <v>0</v>
      </c>
      <c r="AG195">
        <f>IF(B195&lt;&gt;"", COUNTIFS($B$2:B195, B195), "")</f>
        <v>6</v>
      </c>
      <c r="AH195">
        <f t="shared" si="62"/>
        <v>5</v>
      </c>
      <c r="AI195" t="str">
        <f>VLOOKUP(B195, Currency!A:B, 2, FALSE)</f>
        <v>INR</v>
      </c>
      <c r="AJ195">
        <f t="shared" si="63"/>
        <v>5</v>
      </c>
      <c r="AK195">
        <f t="shared" si="64"/>
        <v>6</v>
      </c>
      <c r="AL195" t="str">
        <f t="shared" si="65"/>
        <v>June</v>
      </c>
      <c r="AM195">
        <f t="shared" ref="AM195:AM258" si="68">YEAR(DATE(VALUE(MID(C195,7,2))+2000, MID(C195,4,2), MID(C195,1,2)))</f>
        <v>2023</v>
      </c>
      <c r="AN195" t="str">
        <f t="shared" si="66"/>
        <v>0N.E. IMPEX PRIVATE LIMITED</v>
      </c>
      <c r="AO195">
        <f>IF(COUNTIF($AN$2:AN195, AN195)=1, 1, 0)</f>
        <v>0</v>
      </c>
      <c r="AP195" t="str">
        <f t="shared" ref="AP195:AP258" si="69">IF(AH195&lt;=3,"&lt;=3","&gt;3")</f>
        <v>&gt;3</v>
      </c>
      <c r="AQ195" t="str">
        <f t="shared" ref="AQ195:AQ258" si="70">IF(Z195&lt;=3,"&lt;=3","&gt;3")</f>
        <v>&gt;3</v>
      </c>
      <c r="AR195" t="str">
        <f t="shared" ref="AR195:AR258" si="71">IF(AB195&lt;=3,"&lt;=3","&gt;3")</f>
        <v>&gt;3</v>
      </c>
    </row>
    <row r="196" spans="1:44" x14ac:dyDescent="0.3">
      <c r="A196" t="str">
        <f>A195</f>
        <v>Woodpulp</v>
      </c>
      <c r="B196" t="s">
        <v>289</v>
      </c>
      <c r="C196" t="s">
        <v>133</v>
      </c>
      <c r="D196">
        <v>2300</v>
      </c>
      <c r="E196">
        <v>23110171</v>
      </c>
      <c r="F196" t="s">
        <v>290</v>
      </c>
      <c r="G196" t="s">
        <v>291</v>
      </c>
      <c r="H196">
        <v>100</v>
      </c>
      <c r="I196">
        <v>56000</v>
      </c>
      <c r="J196">
        <v>5600000</v>
      </c>
      <c r="K196" s="7" t="str">
        <f>IFERROR(IF(B196&lt;&gt;"", TEXT(VLOOKUP(B196, 'Expected Date'!A:B, 2, FALSE) + DATE(RIGHT(C196,2),MID(C196,4,2),LEFT(C196,2)), "dd/mm/yy"), ""), "")</f>
        <v>06/07/23</v>
      </c>
      <c r="L196" t="s">
        <v>38</v>
      </c>
      <c r="M196" t="str">
        <f>M149</f>
        <v>MT</v>
      </c>
      <c r="N196" t="s">
        <v>292</v>
      </c>
      <c r="O196" t="s">
        <v>182</v>
      </c>
      <c r="P196">
        <v>23190418</v>
      </c>
      <c r="Q196" t="s">
        <v>290</v>
      </c>
      <c r="R196" t="s">
        <v>291</v>
      </c>
      <c r="S196">
        <v>30.27</v>
      </c>
      <c r="T196">
        <v>56000</v>
      </c>
      <c r="U196">
        <v>1695120</v>
      </c>
      <c r="V196" t="str">
        <f t="shared" si="67"/>
        <v>Accepted</v>
      </c>
      <c r="W196">
        <f>IFERROR(VLOOKUP(N196, Payment_Terms!A:B, 2, FALSE), "Payment term not found!")</f>
        <v>0</v>
      </c>
      <c r="X196" t="str">
        <f>IFERROR(VLOOKUP(R196, Item_Category!A:B, 2, FALSE), "Uncategorized")</f>
        <v>Wood pulp</v>
      </c>
      <c r="Y196" s="5">
        <f t="shared" si="54"/>
        <v>0</v>
      </c>
      <c r="Z196">
        <f t="shared" si="55"/>
        <v>5</v>
      </c>
      <c r="AA196">
        <f t="shared" si="56"/>
        <v>-23</v>
      </c>
      <c r="AB196">
        <f t="shared" si="57"/>
        <v>5</v>
      </c>
      <c r="AC196" s="10">
        <f t="shared" si="58"/>
        <v>7</v>
      </c>
      <c r="AD196" s="5">
        <f t="shared" si="59"/>
        <v>1</v>
      </c>
      <c r="AE196" s="5">
        <f t="shared" si="60"/>
        <v>1</v>
      </c>
      <c r="AF196" s="5">
        <f t="shared" si="61"/>
        <v>0</v>
      </c>
      <c r="AG196">
        <f>IF(B196&lt;&gt;"", COUNTIFS($B$2:B196, B196), "")</f>
        <v>7</v>
      </c>
      <c r="AH196">
        <f t="shared" si="62"/>
        <v>5</v>
      </c>
      <c r="AI196" t="str">
        <f>VLOOKUP(B196, Currency!A:B, 2, FALSE)</f>
        <v>INR</v>
      </c>
      <c r="AJ196">
        <f t="shared" si="63"/>
        <v>5</v>
      </c>
      <c r="AK196">
        <f t="shared" si="64"/>
        <v>6</v>
      </c>
      <c r="AL196" t="str">
        <f t="shared" si="65"/>
        <v>June</v>
      </c>
      <c r="AM196">
        <f t="shared" si="68"/>
        <v>2023</v>
      </c>
      <c r="AN196" t="str">
        <f t="shared" si="66"/>
        <v>0N.E. IMPEX PRIVATE LIMITED</v>
      </c>
      <c r="AO196">
        <f>IF(COUNTIF($AN$2:AN196, AN196)=1, 1, 0)</f>
        <v>0</v>
      </c>
      <c r="AP196" t="str">
        <f t="shared" si="69"/>
        <v>&gt;3</v>
      </c>
      <c r="AQ196" t="str">
        <f t="shared" si="70"/>
        <v>&gt;3</v>
      </c>
      <c r="AR196" t="str">
        <f t="shared" si="71"/>
        <v>&gt;3</v>
      </c>
    </row>
    <row r="197" spans="1:44" x14ac:dyDescent="0.3">
      <c r="A197" t="str">
        <f>A196</f>
        <v>Woodpulp</v>
      </c>
      <c r="B197" t="s">
        <v>289</v>
      </c>
      <c r="C197" t="s">
        <v>133</v>
      </c>
      <c r="D197">
        <v>2300</v>
      </c>
      <c r="E197">
        <v>23110171</v>
      </c>
      <c r="F197" t="s">
        <v>290</v>
      </c>
      <c r="G197" t="s">
        <v>291</v>
      </c>
      <c r="H197">
        <v>100</v>
      </c>
      <c r="I197">
        <v>56000</v>
      </c>
      <c r="J197">
        <v>5600000</v>
      </c>
      <c r="K197" s="7" t="str">
        <f>IFERROR(IF(B197&lt;&gt;"", TEXT(VLOOKUP(B197, 'Expected Date'!A:B, 2, FALSE) + DATE(RIGHT(C197,2),MID(C197,4,2),LEFT(C197,2)), "dd/mm/yy"), ""), "")</f>
        <v>06/07/23</v>
      </c>
      <c r="L197" t="s">
        <v>38</v>
      </c>
      <c r="M197" t="str">
        <f>M149</f>
        <v>MT</v>
      </c>
      <c r="N197" t="s">
        <v>292</v>
      </c>
      <c r="O197" t="s">
        <v>182</v>
      </c>
      <c r="P197">
        <v>23190419</v>
      </c>
      <c r="Q197" t="s">
        <v>290</v>
      </c>
      <c r="R197" t="s">
        <v>291</v>
      </c>
      <c r="S197">
        <v>30.268999999999998</v>
      </c>
      <c r="T197">
        <v>56000</v>
      </c>
      <c r="U197">
        <v>1695064</v>
      </c>
      <c r="V197" t="str">
        <f t="shared" si="67"/>
        <v>Accepted</v>
      </c>
      <c r="W197">
        <f>IFERROR(VLOOKUP(N197, Payment_Terms!A:B, 2, FALSE), "Payment term not found!")</f>
        <v>0</v>
      </c>
      <c r="X197" t="str">
        <f>IFERROR(VLOOKUP(R197, Item_Category!A:B, 2, FALSE), "Uncategorized")</f>
        <v>Wood pulp</v>
      </c>
      <c r="Y197" s="5">
        <f t="shared" si="54"/>
        <v>0</v>
      </c>
      <c r="Z197">
        <f t="shared" si="55"/>
        <v>5</v>
      </c>
      <c r="AA197">
        <f t="shared" si="56"/>
        <v>-23</v>
      </c>
      <c r="AB197">
        <f t="shared" si="57"/>
        <v>5</v>
      </c>
      <c r="AC197" s="10">
        <f t="shared" si="58"/>
        <v>7</v>
      </c>
      <c r="AD197" s="5">
        <f t="shared" si="59"/>
        <v>1</v>
      </c>
      <c r="AE197" s="5">
        <f t="shared" si="60"/>
        <v>1</v>
      </c>
      <c r="AF197" s="5">
        <f t="shared" si="61"/>
        <v>0</v>
      </c>
      <c r="AG197">
        <f>IF(B197&lt;&gt;"", COUNTIFS($B$2:B197, B197), "")</f>
        <v>8</v>
      </c>
      <c r="AH197">
        <f t="shared" si="62"/>
        <v>5</v>
      </c>
      <c r="AI197" t="str">
        <f>VLOOKUP(B197, Currency!A:B, 2, FALSE)</f>
        <v>INR</v>
      </c>
      <c r="AJ197">
        <f t="shared" si="63"/>
        <v>5</v>
      </c>
      <c r="AK197">
        <f t="shared" si="64"/>
        <v>6</v>
      </c>
      <c r="AL197" t="str">
        <f t="shared" si="65"/>
        <v>June</v>
      </c>
      <c r="AM197">
        <f t="shared" si="68"/>
        <v>2023</v>
      </c>
      <c r="AN197" t="str">
        <f t="shared" si="66"/>
        <v>0N.E. IMPEX PRIVATE LIMITED</v>
      </c>
      <c r="AO197">
        <f>IF(COUNTIF($AN$2:AN197, AN197)=1, 1, 0)</f>
        <v>0</v>
      </c>
      <c r="AP197" t="str">
        <f t="shared" si="69"/>
        <v>&gt;3</v>
      </c>
      <c r="AQ197" t="str">
        <f t="shared" si="70"/>
        <v>&gt;3</v>
      </c>
      <c r="AR197" t="str">
        <f t="shared" si="71"/>
        <v>&gt;3</v>
      </c>
    </row>
    <row r="198" spans="1:44" x14ac:dyDescent="0.3">
      <c r="A198" t="s">
        <v>111</v>
      </c>
      <c r="B198" t="s">
        <v>309</v>
      </c>
      <c r="C198" t="s">
        <v>174</v>
      </c>
      <c r="D198">
        <v>1886</v>
      </c>
      <c r="E198">
        <v>23120028</v>
      </c>
      <c r="F198" t="s">
        <v>310</v>
      </c>
      <c r="G198" t="s">
        <v>311</v>
      </c>
      <c r="H198">
        <v>4000</v>
      </c>
      <c r="I198">
        <v>310</v>
      </c>
      <c r="J198">
        <v>1240000</v>
      </c>
      <c r="K198" s="7" t="str">
        <f>IFERROR(IF(B198&lt;&gt;"", TEXT(VLOOKUP(B198, 'Expected Date'!A:B, 2, FALSE) + DATE(RIGHT(C198,2),MID(C198,4,2),LEFT(C198,2)), "dd/mm/yy"), ""), "")</f>
        <v>26/05/23</v>
      </c>
      <c r="L198" t="s">
        <v>38</v>
      </c>
      <c r="M198" t="s">
        <v>48</v>
      </c>
      <c r="N198" t="s">
        <v>312</v>
      </c>
      <c r="O198" t="s">
        <v>179</v>
      </c>
      <c r="P198">
        <v>23190320</v>
      </c>
      <c r="Q198" t="s">
        <v>310</v>
      </c>
      <c r="R198" t="s">
        <v>311</v>
      </c>
      <c r="S198">
        <v>4000</v>
      </c>
      <c r="T198">
        <v>310</v>
      </c>
      <c r="U198">
        <v>1240000</v>
      </c>
      <c r="V198" t="str">
        <f t="shared" si="67"/>
        <v>Accepted</v>
      </c>
      <c r="W198">
        <f>IFERROR(VLOOKUP(N198, Payment_Terms!A:B, 2, FALSE), "Payment term not found!")</f>
        <v>30</v>
      </c>
      <c r="X198" t="str">
        <f>IFERROR(VLOOKUP(R198, Item_Category!A:B, 2, FALSE), "Uncategorized")</f>
        <v>CROSSCARMELLOSE SODIUM</v>
      </c>
      <c r="Y198" s="5">
        <f t="shared" si="54"/>
        <v>0</v>
      </c>
      <c r="Z198">
        <f t="shared" si="55"/>
        <v>5</v>
      </c>
      <c r="AA198">
        <f t="shared" si="56"/>
        <v>-3</v>
      </c>
      <c r="AB198">
        <f t="shared" si="57"/>
        <v>5</v>
      </c>
      <c r="AC198" s="10">
        <f t="shared" si="58"/>
        <v>7</v>
      </c>
      <c r="AD198" s="5">
        <f t="shared" si="59"/>
        <v>1</v>
      </c>
      <c r="AE198" s="5">
        <f t="shared" si="60"/>
        <v>1</v>
      </c>
      <c r="AF198" s="5">
        <f t="shared" si="61"/>
        <v>0</v>
      </c>
      <c r="AG198">
        <f>IF(B198&lt;&gt;"", COUNTIFS($B$2:B198, B198), "")</f>
        <v>1</v>
      </c>
      <c r="AH198">
        <f t="shared" si="62"/>
        <v>5</v>
      </c>
      <c r="AI198" t="str">
        <f>VLOOKUP(B198, Currency!A:B, 2, FALSE)</f>
        <v>INR</v>
      </c>
      <c r="AJ198">
        <f t="shared" si="63"/>
        <v>5</v>
      </c>
      <c r="AK198">
        <f t="shared" si="64"/>
        <v>5</v>
      </c>
      <c r="AL198" t="str">
        <f t="shared" si="65"/>
        <v>May</v>
      </c>
      <c r="AM198">
        <f t="shared" si="68"/>
        <v>2023</v>
      </c>
      <c r="AN198" t="str">
        <f t="shared" si="66"/>
        <v>30Prachin Chemicals_Vendor</v>
      </c>
      <c r="AO198">
        <f>IF(COUNTIF($AN$2:AN198, AN198)=1, 1, 0)</f>
        <v>1</v>
      </c>
      <c r="AP198" t="str">
        <f t="shared" si="69"/>
        <v>&gt;3</v>
      </c>
      <c r="AQ198" t="str">
        <f t="shared" si="70"/>
        <v>&gt;3</v>
      </c>
      <c r="AR198" t="str">
        <f t="shared" si="71"/>
        <v>&gt;3</v>
      </c>
    </row>
    <row r="199" spans="1:44" x14ac:dyDescent="0.3">
      <c r="A199" t="str">
        <f>A62</f>
        <v>Woodpulp</v>
      </c>
      <c r="B199" t="s">
        <v>173</v>
      </c>
      <c r="C199" t="s">
        <v>174</v>
      </c>
      <c r="D199">
        <v>1893</v>
      </c>
      <c r="E199">
        <v>23120030</v>
      </c>
      <c r="F199" t="s">
        <v>175</v>
      </c>
      <c r="G199" t="s">
        <v>176</v>
      </c>
      <c r="H199">
        <v>50</v>
      </c>
      <c r="I199">
        <v>700</v>
      </c>
      <c r="J199">
        <v>2829750</v>
      </c>
      <c r="K199" s="7" t="str">
        <f>IFERROR(IF(B199&lt;&gt;"", TEXT(VLOOKUP(B199, 'Expected Date'!A:B, 2, FALSE) + DATE(RIGHT(C199,2),MID(C199,4,2),LEFT(C199,2)), "dd/mm/yy"), ""), "")</f>
        <v>20/07/23</v>
      </c>
      <c r="L199" t="s">
        <v>38</v>
      </c>
      <c r="M199" t="str">
        <f>M149</f>
        <v>MT</v>
      </c>
      <c r="N199" t="s">
        <v>177</v>
      </c>
      <c r="O199" t="s">
        <v>286</v>
      </c>
      <c r="P199">
        <v>23190995</v>
      </c>
      <c r="Q199" t="s">
        <v>175</v>
      </c>
      <c r="R199" t="s">
        <v>176</v>
      </c>
      <c r="S199">
        <v>51.328000000000003</v>
      </c>
      <c r="T199">
        <v>700</v>
      </c>
      <c r="U199">
        <v>2953413.12</v>
      </c>
      <c r="V199" t="str">
        <f t="shared" si="67"/>
        <v>Accepted</v>
      </c>
      <c r="W199">
        <f>IFERROR(VLOOKUP(N199, Payment_Terms!A:B, 2, FALSE), "Payment term not found!")</f>
        <v>0</v>
      </c>
      <c r="X199" t="str">
        <f>IFERROR(VLOOKUP(R199, Item_Category!A:B, 2, FALSE), "Uncategorized")</f>
        <v>Wood pulp</v>
      </c>
      <c r="Y199" s="5">
        <f t="shared" si="54"/>
        <v>0</v>
      </c>
      <c r="Z199">
        <f t="shared" si="55"/>
        <v>5</v>
      </c>
      <c r="AA199">
        <f t="shared" si="56"/>
        <v>42</v>
      </c>
      <c r="AB199">
        <f t="shared" si="57"/>
        <v>1</v>
      </c>
      <c r="AC199" s="10">
        <f t="shared" si="58"/>
        <v>107</v>
      </c>
      <c r="AD199" s="5">
        <f t="shared" si="59"/>
        <v>1</v>
      </c>
      <c r="AE199" s="5">
        <f t="shared" si="60"/>
        <v>1</v>
      </c>
      <c r="AF199" s="5">
        <f t="shared" si="61"/>
        <v>0</v>
      </c>
      <c r="AG199">
        <f>IF(B199&lt;&gt;"", COUNTIFS($B$2:B199, B199), "")</f>
        <v>2</v>
      </c>
      <c r="AH199">
        <f t="shared" si="62"/>
        <v>5</v>
      </c>
      <c r="AI199" t="str">
        <f>VLOOKUP(B199, Currency!A:B, 2, FALSE)</f>
        <v>USD</v>
      </c>
      <c r="AJ199">
        <f t="shared" si="63"/>
        <v>4</v>
      </c>
      <c r="AK199">
        <f t="shared" si="64"/>
        <v>5</v>
      </c>
      <c r="AL199" t="str">
        <f t="shared" si="65"/>
        <v>May</v>
      </c>
      <c r="AM199">
        <f t="shared" si="68"/>
        <v>2023</v>
      </c>
      <c r="AN199" t="str">
        <f t="shared" si="66"/>
        <v>0Billerud AB</v>
      </c>
      <c r="AO199">
        <f>IF(COUNTIF($AN$2:AN199, AN199)=1, 1, 0)</f>
        <v>0</v>
      </c>
      <c r="AP199" t="str">
        <f t="shared" si="69"/>
        <v>&gt;3</v>
      </c>
      <c r="AQ199" t="str">
        <f t="shared" si="70"/>
        <v>&gt;3</v>
      </c>
      <c r="AR199" t="str">
        <f t="shared" si="71"/>
        <v>&lt;=3</v>
      </c>
    </row>
    <row r="200" spans="1:44" x14ac:dyDescent="0.3">
      <c r="A200" t="s">
        <v>33</v>
      </c>
      <c r="B200" t="s">
        <v>51</v>
      </c>
      <c r="C200" t="s">
        <v>286</v>
      </c>
      <c r="D200">
        <v>4139</v>
      </c>
      <c r="E200">
        <v>23110393</v>
      </c>
      <c r="F200" t="s">
        <v>61</v>
      </c>
      <c r="G200" t="s">
        <v>62</v>
      </c>
      <c r="H200">
        <v>21</v>
      </c>
      <c r="I200">
        <v>6288.5</v>
      </c>
      <c r="J200">
        <v>132058.5</v>
      </c>
      <c r="K200" s="7" t="str">
        <f>IFERROR(IF(B200&lt;&gt;"", TEXT(VLOOKUP(B200, 'Expected Date'!A:B, 2, FALSE) + DATE(RIGHT(C200,2),MID(C200,4,2),LEFT(C200,2)), "dd/mm/yy"), ""), "")</f>
        <v>20/09/23</v>
      </c>
      <c r="L200" t="s">
        <v>38</v>
      </c>
      <c r="M200" t="s">
        <v>48</v>
      </c>
      <c r="N200" t="s">
        <v>55</v>
      </c>
      <c r="O200" t="s">
        <v>163</v>
      </c>
      <c r="P200">
        <v>23191004</v>
      </c>
      <c r="Q200" t="s">
        <v>61</v>
      </c>
      <c r="R200" t="s">
        <v>62</v>
      </c>
      <c r="S200">
        <v>21</v>
      </c>
      <c r="T200">
        <v>6288.5</v>
      </c>
      <c r="U200">
        <v>132058.5</v>
      </c>
      <c r="V200" t="str">
        <f t="shared" si="67"/>
        <v>Accepted</v>
      </c>
      <c r="W200">
        <f>IFERROR(VLOOKUP(N200, Payment_Terms!A:B, 2, FALSE), "Payment term not found!")</f>
        <v>0</v>
      </c>
      <c r="X200" t="str">
        <f>IFERROR(VLOOKUP(R200, Item_Category!A:B, 2, FALSE), "Uncategorized")</f>
        <v>Coal materials</v>
      </c>
      <c r="Y200" s="5">
        <f t="shared" si="54"/>
        <v>0</v>
      </c>
      <c r="Z200">
        <f t="shared" si="55"/>
        <v>5</v>
      </c>
      <c r="AA200">
        <f t="shared" si="56"/>
        <v>-21</v>
      </c>
      <c r="AB200">
        <f t="shared" si="57"/>
        <v>5</v>
      </c>
      <c r="AC200" s="10">
        <f t="shared" si="58"/>
        <v>1</v>
      </c>
      <c r="AD200" s="5">
        <f t="shared" si="59"/>
        <v>1</v>
      </c>
      <c r="AE200" s="5">
        <f t="shared" si="60"/>
        <v>1</v>
      </c>
      <c r="AF200" s="5">
        <f t="shared" si="61"/>
        <v>0</v>
      </c>
      <c r="AG200">
        <f>IF(B200&lt;&gt;"", COUNTIFS($B$2:B200, B200), "")</f>
        <v>55</v>
      </c>
      <c r="AH200">
        <f t="shared" si="62"/>
        <v>5</v>
      </c>
      <c r="AI200" t="str">
        <f>VLOOKUP(B200, Currency!A:B, 2, FALSE)</f>
        <v>INR</v>
      </c>
      <c r="AJ200">
        <f t="shared" si="63"/>
        <v>5</v>
      </c>
      <c r="AK200">
        <f t="shared" si="64"/>
        <v>8</v>
      </c>
      <c r="AL200" t="str">
        <f t="shared" si="65"/>
        <v>August</v>
      </c>
      <c r="AM200">
        <f t="shared" si="68"/>
        <v>2023</v>
      </c>
      <c r="AN200" t="str">
        <f t="shared" si="66"/>
        <v>0The Singareni Collieries Company Ltd</v>
      </c>
      <c r="AO200">
        <f>IF(COUNTIF($AN$2:AN200, AN200)=1, 1, 0)</f>
        <v>0</v>
      </c>
      <c r="AP200" t="str">
        <f t="shared" si="69"/>
        <v>&gt;3</v>
      </c>
      <c r="AQ200" t="str">
        <f t="shared" si="70"/>
        <v>&gt;3</v>
      </c>
      <c r="AR200" t="str">
        <f t="shared" si="71"/>
        <v>&gt;3</v>
      </c>
    </row>
    <row r="201" spans="1:44" x14ac:dyDescent="0.3">
      <c r="A201" t="str">
        <f>A180</f>
        <v>Woodpulp</v>
      </c>
      <c r="B201" t="s">
        <v>96</v>
      </c>
      <c r="C201" t="s">
        <v>71</v>
      </c>
      <c r="D201">
        <v>2698</v>
      </c>
      <c r="E201">
        <v>23120065</v>
      </c>
      <c r="F201" t="s">
        <v>98</v>
      </c>
      <c r="G201" t="s">
        <v>99</v>
      </c>
      <c r="H201">
        <v>78</v>
      </c>
      <c r="I201">
        <v>670</v>
      </c>
      <c r="J201">
        <v>4269642</v>
      </c>
      <c r="K201" s="7" t="str">
        <f>IFERROR(IF(B201&lt;&gt;"", TEXT(VLOOKUP(B201, 'Expected Date'!A:B, 2, FALSE) + DATE(RIGHT(C201,2),MID(C201,4,2),LEFT(C201,2)), "dd/mm/yy"), ""), "")</f>
        <v>21/08/23</v>
      </c>
      <c r="L201" t="s">
        <v>68</v>
      </c>
      <c r="M201" t="str">
        <f>M149</f>
        <v>MT</v>
      </c>
      <c r="N201" t="s">
        <v>102</v>
      </c>
      <c r="O201" t="s">
        <v>313</v>
      </c>
      <c r="P201">
        <v>23191334</v>
      </c>
      <c r="Q201" t="s">
        <v>98</v>
      </c>
      <c r="R201" t="s">
        <v>99</v>
      </c>
      <c r="S201">
        <v>52.213999999999999</v>
      </c>
      <c r="T201">
        <v>670</v>
      </c>
      <c r="U201">
        <v>2879132.17</v>
      </c>
      <c r="V201" t="str">
        <f t="shared" si="67"/>
        <v>Accepted</v>
      </c>
      <c r="W201">
        <f>IFERROR(VLOOKUP(N201, Payment_Terms!A:B, 2, FALSE), "Payment term not found!")</f>
        <v>60</v>
      </c>
      <c r="X201" t="str">
        <f>IFERROR(VLOOKUP(R201, Item_Category!A:B, 2, FALSE), "Uncategorized")</f>
        <v>Wood pulp</v>
      </c>
      <c r="Y201" s="5">
        <f t="shared" si="54"/>
        <v>0.33058974358974363</v>
      </c>
      <c r="Z201">
        <f t="shared" si="55"/>
        <v>1</v>
      </c>
      <c r="AA201">
        <f t="shared" si="56"/>
        <v>55</v>
      </c>
      <c r="AB201">
        <f t="shared" si="57"/>
        <v>1</v>
      </c>
      <c r="AC201" s="10">
        <f t="shared" si="58"/>
        <v>115</v>
      </c>
      <c r="AD201" s="5">
        <f t="shared" si="59"/>
        <v>1</v>
      </c>
      <c r="AE201" s="5">
        <f t="shared" si="60"/>
        <v>1</v>
      </c>
      <c r="AF201" s="5">
        <f t="shared" si="61"/>
        <v>0</v>
      </c>
      <c r="AG201">
        <f>IF(B201&lt;&gt;"", COUNTIFS($B$2:B201, B201), "")</f>
        <v>4</v>
      </c>
      <c r="AH201">
        <f t="shared" si="62"/>
        <v>5</v>
      </c>
      <c r="AI201" t="str">
        <f>VLOOKUP(B201, Currency!A:B, 2, FALSE)</f>
        <v>USD</v>
      </c>
      <c r="AJ201">
        <f t="shared" si="63"/>
        <v>3</v>
      </c>
      <c r="AK201">
        <f t="shared" si="64"/>
        <v>6</v>
      </c>
      <c r="AL201" t="str">
        <f t="shared" si="65"/>
        <v>June</v>
      </c>
      <c r="AM201">
        <f t="shared" si="68"/>
        <v>2023</v>
      </c>
      <c r="AN201" t="str">
        <f t="shared" si="66"/>
        <v>60G P Cellulose GMBH</v>
      </c>
      <c r="AO201">
        <f>IF(COUNTIF($AN$2:AN201, AN201)=1, 1, 0)</f>
        <v>0</v>
      </c>
      <c r="AP201" t="str">
        <f t="shared" si="69"/>
        <v>&gt;3</v>
      </c>
      <c r="AQ201" t="str">
        <f t="shared" si="70"/>
        <v>&lt;=3</v>
      </c>
      <c r="AR201" t="str">
        <f t="shared" si="71"/>
        <v>&lt;=3</v>
      </c>
    </row>
    <row r="202" spans="1:44" x14ac:dyDescent="0.3">
      <c r="A202" t="str">
        <f>A162</f>
        <v>Woodpulp</v>
      </c>
      <c r="B202" t="s">
        <v>140</v>
      </c>
      <c r="C202" t="s">
        <v>65</v>
      </c>
      <c r="D202">
        <v>1398</v>
      </c>
      <c r="E202">
        <v>23120008</v>
      </c>
      <c r="F202" t="s">
        <v>142</v>
      </c>
      <c r="G202" t="s">
        <v>360</v>
      </c>
      <c r="H202">
        <v>100</v>
      </c>
      <c r="I202">
        <v>830</v>
      </c>
      <c r="J202">
        <v>6731300</v>
      </c>
      <c r="K202" s="7" t="str">
        <f>IFERROR(IF(B202&lt;&gt;"", TEXT(VLOOKUP(B202, 'Expected Date'!A:B, 2, FALSE) + DATE(RIGHT(C202,2),MID(C202,4,2),LEFT(C202,2)), "dd/mm/yy"), ""), "")</f>
        <v>03/06/23</v>
      </c>
      <c r="L202" t="s">
        <v>68</v>
      </c>
      <c r="M202" t="str">
        <f>M149</f>
        <v>MT</v>
      </c>
      <c r="N202" t="s">
        <v>144</v>
      </c>
      <c r="O202" t="s">
        <v>41</v>
      </c>
      <c r="P202">
        <v>23190122</v>
      </c>
      <c r="Q202" t="s">
        <v>142</v>
      </c>
      <c r="R202" t="s">
        <v>143</v>
      </c>
      <c r="S202">
        <v>98.745999999999995</v>
      </c>
      <c r="T202">
        <v>830</v>
      </c>
      <c r="U202">
        <v>6671477.25</v>
      </c>
      <c r="V202" t="str">
        <f t="shared" si="67"/>
        <v>Accepted</v>
      </c>
      <c r="W202">
        <f>IFERROR(VLOOKUP(N202, Payment_Terms!A:B, 2, FALSE), "Payment term not found!")</f>
        <v>30</v>
      </c>
      <c r="X202" t="str">
        <f>IFERROR(VLOOKUP(R202, Item_Category!A:B, 2, FALSE), "Uncategorized")</f>
        <v>Wood pulp</v>
      </c>
      <c r="Y202" s="5">
        <f t="shared" si="54"/>
        <v>1.2540000000000049E-2</v>
      </c>
      <c r="Z202">
        <f t="shared" si="55"/>
        <v>4</v>
      </c>
      <c r="AA202">
        <f t="shared" si="56"/>
        <v>-35</v>
      </c>
      <c r="AB202">
        <f t="shared" si="57"/>
        <v>5</v>
      </c>
      <c r="AC202" s="10">
        <f t="shared" si="58"/>
        <v>10</v>
      </c>
      <c r="AD202" s="5">
        <f t="shared" si="59"/>
        <v>1</v>
      </c>
      <c r="AE202" s="5">
        <f t="shared" si="60"/>
        <v>1</v>
      </c>
      <c r="AF202" s="5">
        <f t="shared" si="61"/>
        <v>0</v>
      </c>
      <c r="AG202">
        <f>IF(B202&lt;&gt;"", COUNTIFS($B$2:B202, B202), "")</f>
        <v>14</v>
      </c>
      <c r="AH202">
        <f t="shared" si="62"/>
        <v>5</v>
      </c>
      <c r="AI202" t="str">
        <f>VLOOKUP(B202, Currency!A:B, 2, FALSE)</f>
        <v>USD</v>
      </c>
      <c r="AJ202">
        <f t="shared" si="63"/>
        <v>5</v>
      </c>
      <c r="AK202">
        <f t="shared" si="64"/>
        <v>4</v>
      </c>
      <c r="AL202" t="str">
        <f t="shared" si="65"/>
        <v>April</v>
      </c>
      <c r="AM202">
        <f t="shared" si="68"/>
        <v>2023</v>
      </c>
      <c r="AN202" t="str">
        <f t="shared" si="66"/>
        <v>30Sappi Paper Holdings GMBH</v>
      </c>
      <c r="AO202">
        <f>IF(COUNTIF($AN$2:AN202, AN202)=1, 1, 0)</f>
        <v>0</v>
      </c>
      <c r="AP202" t="str">
        <f t="shared" si="69"/>
        <v>&gt;3</v>
      </c>
      <c r="AQ202" t="str">
        <f t="shared" si="70"/>
        <v>&gt;3</v>
      </c>
      <c r="AR202" t="str">
        <f t="shared" si="71"/>
        <v>&gt;3</v>
      </c>
    </row>
    <row r="203" spans="1:44" x14ac:dyDescent="0.3">
      <c r="A203" t="s">
        <v>33</v>
      </c>
      <c r="B203" t="s">
        <v>107</v>
      </c>
      <c r="C203" t="s">
        <v>65</v>
      </c>
      <c r="D203">
        <v>1389</v>
      </c>
      <c r="E203">
        <v>23110050</v>
      </c>
      <c r="F203" t="s">
        <v>216</v>
      </c>
      <c r="G203" t="s">
        <v>217</v>
      </c>
      <c r="H203">
        <v>2000</v>
      </c>
      <c r="I203">
        <v>33.799999999999997</v>
      </c>
      <c r="J203">
        <v>67600</v>
      </c>
      <c r="K203" s="7" t="str">
        <f>IFERROR(IF(B203&lt;&gt;"", TEXT(VLOOKUP(B203, 'Expected Date'!A:B, 2, FALSE) + DATE(RIGHT(C203,2),MID(C203,4,2),LEFT(C203,2)), "dd/mm/yy"), ""), "")</f>
        <v>29/04/23</v>
      </c>
      <c r="L203" t="s">
        <v>38</v>
      </c>
      <c r="M203" t="s">
        <v>48</v>
      </c>
      <c r="N203" t="s">
        <v>109</v>
      </c>
      <c r="O203" t="s">
        <v>300</v>
      </c>
      <c r="P203">
        <v>23190237</v>
      </c>
      <c r="Q203" t="s">
        <v>216</v>
      </c>
      <c r="R203" t="s">
        <v>217</v>
      </c>
      <c r="S203">
        <v>2320</v>
      </c>
      <c r="T203">
        <v>33.799999999999997</v>
      </c>
      <c r="U203">
        <v>78416</v>
      </c>
      <c r="V203" t="str">
        <f t="shared" si="67"/>
        <v>Accepted</v>
      </c>
      <c r="W203">
        <f>IFERROR(VLOOKUP(N203, Payment_Terms!A:B, 2, FALSE), "Payment term not found!")</f>
        <v>0</v>
      </c>
      <c r="X203" t="str">
        <f>IFERROR(VLOOKUP(R203, Item_Category!A:B, 2, FALSE), "Uncategorized")</f>
        <v>Bags</v>
      </c>
      <c r="Y203" s="5">
        <f t="shared" si="54"/>
        <v>0</v>
      </c>
      <c r="Z203">
        <f t="shared" si="55"/>
        <v>5</v>
      </c>
      <c r="AA203">
        <f t="shared" si="56"/>
        <v>13</v>
      </c>
      <c r="AB203">
        <f t="shared" si="57"/>
        <v>1</v>
      </c>
      <c r="AC203" s="10">
        <f t="shared" si="58"/>
        <v>23</v>
      </c>
      <c r="AD203" s="5">
        <f t="shared" si="59"/>
        <v>1</v>
      </c>
      <c r="AE203" s="5">
        <f t="shared" si="60"/>
        <v>1</v>
      </c>
      <c r="AF203" s="5">
        <f t="shared" si="61"/>
        <v>0</v>
      </c>
      <c r="AG203">
        <f>IF(B203&lt;&gt;"", COUNTIFS($B$2:B203, B203), "")</f>
        <v>15</v>
      </c>
      <c r="AH203">
        <f t="shared" si="62"/>
        <v>5</v>
      </c>
      <c r="AI203" t="str">
        <f>VLOOKUP(B203, Currency!A:B, 2, FALSE)</f>
        <v>INR</v>
      </c>
      <c r="AJ203">
        <f t="shared" si="63"/>
        <v>4</v>
      </c>
      <c r="AK203">
        <f t="shared" si="64"/>
        <v>4</v>
      </c>
      <c r="AL203" t="str">
        <f t="shared" si="65"/>
        <v>April</v>
      </c>
      <c r="AM203">
        <f t="shared" si="68"/>
        <v>2023</v>
      </c>
      <c r="AN203" t="str">
        <f t="shared" si="66"/>
        <v>0KAPILA INDUSTRIES</v>
      </c>
      <c r="AO203">
        <f>IF(COUNTIF($AN$2:AN203, AN203)=1, 1, 0)</f>
        <v>0</v>
      </c>
      <c r="AP203" t="str">
        <f t="shared" si="69"/>
        <v>&gt;3</v>
      </c>
      <c r="AQ203" t="str">
        <f t="shared" si="70"/>
        <v>&gt;3</v>
      </c>
      <c r="AR203" t="str">
        <f t="shared" si="71"/>
        <v>&lt;=3</v>
      </c>
    </row>
    <row r="204" spans="1:44" x14ac:dyDescent="0.3">
      <c r="A204" t="s">
        <v>33</v>
      </c>
      <c r="B204" t="s">
        <v>107</v>
      </c>
      <c r="C204" t="s">
        <v>65</v>
      </c>
      <c r="D204">
        <v>1389</v>
      </c>
      <c r="E204">
        <v>23110050</v>
      </c>
      <c r="F204" t="s">
        <v>255</v>
      </c>
      <c r="G204" t="s">
        <v>256</v>
      </c>
      <c r="H204">
        <v>2000</v>
      </c>
      <c r="I204">
        <v>33.799999999999997</v>
      </c>
      <c r="J204">
        <v>67600</v>
      </c>
      <c r="K204" s="7" t="str">
        <f>IFERROR(IF(B204&lt;&gt;"", TEXT(VLOOKUP(B204, 'Expected Date'!A:B, 2, FALSE) + DATE(RIGHT(C204,2),MID(C204,4,2),LEFT(C204,2)), "dd/mm/yy"), ""), "")</f>
        <v>29/04/23</v>
      </c>
      <c r="L204" t="s">
        <v>38</v>
      </c>
      <c r="M204" t="s">
        <v>39</v>
      </c>
      <c r="N204" t="s">
        <v>109</v>
      </c>
      <c r="O204" t="s">
        <v>300</v>
      </c>
      <c r="P204">
        <v>23190237</v>
      </c>
      <c r="Q204" t="s">
        <v>255</v>
      </c>
      <c r="R204" t="s">
        <v>256</v>
      </c>
      <c r="S204">
        <v>2091</v>
      </c>
      <c r="T204">
        <v>33.799999999999997</v>
      </c>
      <c r="U204">
        <v>70675.8</v>
      </c>
      <c r="V204" t="str">
        <f t="shared" si="67"/>
        <v>Accepted</v>
      </c>
      <c r="W204">
        <f>IFERROR(VLOOKUP(N204, Payment_Terms!A:B, 2, FALSE), "Payment term not found!")</f>
        <v>0</v>
      </c>
      <c r="X204" t="str">
        <f>IFERROR(VLOOKUP(R204, Item_Category!A:B, 2, FALSE), "Uncategorized")</f>
        <v>Bags</v>
      </c>
      <c r="Y204" s="5">
        <f t="shared" si="54"/>
        <v>0</v>
      </c>
      <c r="Z204">
        <f t="shared" si="55"/>
        <v>5</v>
      </c>
      <c r="AA204">
        <f t="shared" si="56"/>
        <v>13</v>
      </c>
      <c r="AB204">
        <f t="shared" si="57"/>
        <v>1</v>
      </c>
      <c r="AC204" s="10">
        <f t="shared" si="58"/>
        <v>23</v>
      </c>
      <c r="AD204" s="5">
        <f t="shared" si="59"/>
        <v>1</v>
      </c>
      <c r="AE204" s="5">
        <f t="shared" si="60"/>
        <v>1</v>
      </c>
      <c r="AF204" s="5">
        <f t="shared" si="61"/>
        <v>0</v>
      </c>
      <c r="AG204">
        <f>IF(B204&lt;&gt;"", COUNTIFS($B$2:B204, B204), "")</f>
        <v>16</v>
      </c>
      <c r="AH204">
        <f t="shared" si="62"/>
        <v>5</v>
      </c>
      <c r="AI204" t="str">
        <f>VLOOKUP(B204, Currency!A:B, 2, FALSE)</f>
        <v>INR</v>
      </c>
      <c r="AJ204">
        <f t="shared" si="63"/>
        <v>4</v>
      </c>
      <c r="AK204">
        <f t="shared" si="64"/>
        <v>4</v>
      </c>
      <c r="AL204" t="str">
        <f t="shared" si="65"/>
        <v>April</v>
      </c>
      <c r="AM204">
        <f t="shared" si="68"/>
        <v>2023</v>
      </c>
      <c r="AN204" t="str">
        <f t="shared" si="66"/>
        <v>0KAPILA INDUSTRIES</v>
      </c>
      <c r="AO204">
        <f>IF(COUNTIF($AN$2:AN204, AN204)=1, 1, 0)</f>
        <v>0</v>
      </c>
      <c r="AP204" t="str">
        <f t="shared" si="69"/>
        <v>&gt;3</v>
      </c>
      <c r="AQ204" t="str">
        <f t="shared" si="70"/>
        <v>&gt;3</v>
      </c>
      <c r="AR204" t="str">
        <f t="shared" si="71"/>
        <v>&lt;=3</v>
      </c>
    </row>
    <row r="205" spans="1:44" x14ac:dyDescent="0.3">
      <c r="A205" t="s">
        <v>33</v>
      </c>
      <c r="B205" t="s">
        <v>304</v>
      </c>
      <c r="C205" t="s">
        <v>225</v>
      </c>
      <c r="D205">
        <v>1850</v>
      </c>
      <c r="E205">
        <v>23110126</v>
      </c>
      <c r="F205" t="s">
        <v>314</v>
      </c>
      <c r="G205" t="s">
        <v>315</v>
      </c>
      <c r="H205">
        <v>2700</v>
      </c>
      <c r="I205">
        <v>47</v>
      </c>
      <c r="J205">
        <v>126900</v>
      </c>
      <c r="K205" s="7" t="str">
        <f>IFERROR(IF(B205&lt;&gt;"", TEXT(VLOOKUP(B205, 'Expected Date'!A:B, 2, FALSE) + DATE(RIGHT(C205,2),MID(C205,4,2),LEFT(C205,2)), "dd/mm/yy"), ""), "")</f>
        <v>21/05/23</v>
      </c>
      <c r="L205" t="s">
        <v>38</v>
      </c>
      <c r="M205" t="s">
        <v>48</v>
      </c>
      <c r="N205" t="s">
        <v>307</v>
      </c>
      <c r="O205" t="s">
        <v>308</v>
      </c>
      <c r="P205">
        <v>23190410</v>
      </c>
      <c r="Q205" t="s">
        <v>314</v>
      </c>
      <c r="R205" t="s">
        <v>315</v>
      </c>
      <c r="S205">
        <v>2700</v>
      </c>
      <c r="T205">
        <v>47</v>
      </c>
      <c r="U205">
        <v>126900</v>
      </c>
      <c r="V205" t="str">
        <f t="shared" si="67"/>
        <v>Accepted</v>
      </c>
      <c r="W205">
        <f>IFERROR(VLOOKUP(N205, Payment_Terms!A:B, 2, FALSE), "Payment term not found!")</f>
        <v>0</v>
      </c>
      <c r="X205" t="str">
        <f>IFERROR(VLOOKUP(R205, Item_Category!A:B, 2, FALSE), "Uncategorized")</f>
        <v>Caustic Soda Flakes</v>
      </c>
      <c r="Y205" s="5">
        <f t="shared" si="54"/>
        <v>0</v>
      </c>
      <c r="Z205">
        <f t="shared" si="55"/>
        <v>5</v>
      </c>
      <c r="AA205">
        <f t="shared" si="56"/>
        <v>20</v>
      </c>
      <c r="AB205">
        <f t="shared" si="57"/>
        <v>1</v>
      </c>
      <c r="AC205" s="10">
        <f t="shared" si="58"/>
        <v>30</v>
      </c>
      <c r="AD205" s="5">
        <f t="shared" si="59"/>
        <v>1</v>
      </c>
      <c r="AE205" s="5">
        <f t="shared" si="60"/>
        <v>1</v>
      </c>
      <c r="AF205" s="5">
        <f t="shared" si="61"/>
        <v>0</v>
      </c>
      <c r="AG205">
        <f>IF(B205&lt;&gt;"", COUNTIFS($B$2:B205, B205), "")</f>
        <v>2</v>
      </c>
      <c r="AH205">
        <f t="shared" si="62"/>
        <v>5</v>
      </c>
      <c r="AI205" t="str">
        <f>VLOOKUP(B205, Currency!A:B, 2, FALSE)</f>
        <v>INR</v>
      </c>
      <c r="AJ205">
        <f t="shared" si="63"/>
        <v>4</v>
      </c>
      <c r="AK205">
        <f t="shared" si="64"/>
        <v>5</v>
      </c>
      <c r="AL205" t="str">
        <f t="shared" si="65"/>
        <v>May</v>
      </c>
      <c r="AM205">
        <f t="shared" si="68"/>
        <v>2023</v>
      </c>
      <c r="AN205" t="str">
        <f t="shared" si="66"/>
        <v>0Ramya Group</v>
      </c>
      <c r="AO205">
        <f>IF(COUNTIF($AN$2:AN205, AN205)=1, 1, 0)</f>
        <v>0</v>
      </c>
      <c r="AP205" t="str">
        <f t="shared" si="69"/>
        <v>&gt;3</v>
      </c>
      <c r="AQ205" t="str">
        <f t="shared" si="70"/>
        <v>&gt;3</v>
      </c>
      <c r="AR205" t="str">
        <f t="shared" si="71"/>
        <v>&lt;=3</v>
      </c>
    </row>
    <row r="206" spans="1:44" x14ac:dyDescent="0.3">
      <c r="A206" t="s">
        <v>33</v>
      </c>
      <c r="B206" t="s">
        <v>51</v>
      </c>
      <c r="C206" t="s">
        <v>35</v>
      </c>
      <c r="D206">
        <v>1549</v>
      </c>
      <c r="E206">
        <v>23120010</v>
      </c>
      <c r="F206" t="s">
        <v>214</v>
      </c>
      <c r="G206" t="s">
        <v>215</v>
      </c>
      <c r="H206">
        <v>229.46</v>
      </c>
      <c r="I206">
        <v>7277.35</v>
      </c>
      <c r="J206">
        <v>1669860.73</v>
      </c>
      <c r="K206" s="7" t="str">
        <f>IFERROR(IF(B206&lt;&gt;"", TEXT(VLOOKUP(B206, 'Expected Date'!A:B, 2, FALSE) + DATE(RIGHT(C206,2),MID(C206,4,2),LEFT(C206,2)), "dd/mm/yy"), ""), "")</f>
        <v>17/05/23</v>
      </c>
      <c r="L206" t="s">
        <v>38</v>
      </c>
      <c r="M206" t="s">
        <v>48</v>
      </c>
      <c r="N206" t="s">
        <v>55</v>
      </c>
      <c r="O206" t="s">
        <v>41</v>
      </c>
      <c r="P206">
        <v>23190126</v>
      </c>
      <c r="Q206" t="s">
        <v>214</v>
      </c>
      <c r="R206" t="s">
        <v>215</v>
      </c>
      <c r="S206">
        <v>25.56</v>
      </c>
      <c r="T206">
        <v>7277.35</v>
      </c>
      <c r="U206">
        <v>186009.07</v>
      </c>
      <c r="V206" t="str">
        <f t="shared" si="67"/>
        <v>Accepted</v>
      </c>
      <c r="W206">
        <f>IFERROR(VLOOKUP(N206, Payment_Terms!A:B, 2, FALSE), "Payment term not found!")</f>
        <v>0</v>
      </c>
      <c r="X206" t="str">
        <f>IFERROR(VLOOKUP(R206, Item_Category!A:B, 2, FALSE), "Uncategorized")</f>
        <v>Coal materials</v>
      </c>
      <c r="Y206" s="5">
        <f t="shared" si="54"/>
        <v>0</v>
      </c>
      <c r="Z206">
        <f t="shared" si="55"/>
        <v>5</v>
      </c>
      <c r="AA206">
        <f t="shared" si="56"/>
        <v>-18</v>
      </c>
      <c r="AB206">
        <f t="shared" si="57"/>
        <v>5</v>
      </c>
      <c r="AC206" s="10">
        <f t="shared" si="58"/>
        <v>2</v>
      </c>
      <c r="AD206" s="5">
        <f t="shared" si="59"/>
        <v>1</v>
      </c>
      <c r="AE206" s="5">
        <f t="shared" si="60"/>
        <v>1</v>
      </c>
      <c r="AF206" s="5">
        <f t="shared" si="61"/>
        <v>0</v>
      </c>
      <c r="AG206">
        <f>IF(B206&lt;&gt;"", COUNTIFS($B$2:B206, B206), "")</f>
        <v>56</v>
      </c>
      <c r="AH206">
        <f t="shared" si="62"/>
        <v>5</v>
      </c>
      <c r="AI206" t="str">
        <f>VLOOKUP(B206, Currency!A:B, 2, FALSE)</f>
        <v>INR</v>
      </c>
      <c r="AJ206">
        <f t="shared" si="63"/>
        <v>5</v>
      </c>
      <c r="AK206">
        <f t="shared" si="64"/>
        <v>4</v>
      </c>
      <c r="AL206" t="str">
        <f t="shared" si="65"/>
        <v>April</v>
      </c>
      <c r="AM206">
        <f t="shared" si="68"/>
        <v>2023</v>
      </c>
      <c r="AN206" t="str">
        <f t="shared" si="66"/>
        <v>0The Singareni Collieries Company Ltd</v>
      </c>
      <c r="AO206">
        <f>IF(COUNTIF($AN$2:AN206, AN206)=1, 1, 0)</f>
        <v>0</v>
      </c>
      <c r="AP206" t="str">
        <f t="shared" si="69"/>
        <v>&gt;3</v>
      </c>
      <c r="AQ206" t="str">
        <f t="shared" si="70"/>
        <v>&gt;3</v>
      </c>
      <c r="AR206" t="str">
        <f t="shared" si="71"/>
        <v>&gt;3</v>
      </c>
    </row>
    <row r="207" spans="1:44" x14ac:dyDescent="0.3">
      <c r="A207" t="s">
        <v>33</v>
      </c>
      <c r="B207" t="s">
        <v>51</v>
      </c>
      <c r="C207" t="s">
        <v>35</v>
      </c>
      <c r="D207">
        <v>1549</v>
      </c>
      <c r="E207">
        <v>23120010</v>
      </c>
      <c r="F207" t="s">
        <v>214</v>
      </c>
      <c r="G207" t="s">
        <v>215</v>
      </c>
      <c r="H207">
        <v>229.46</v>
      </c>
      <c r="I207">
        <v>7277.35</v>
      </c>
      <c r="J207">
        <v>1669860.73</v>
      </c>
      <c r="K207" s="7" t="str">
        <f>IFERROR(IF(B207&lt;&gt;"", TEXT(VLOOKUP(B207, 'Expected Date'!A:B, 2, FALSE) + DATE(RIGHT(C207,2),MID(C207,4,2),LEFT(C207,2)), "dd/mm/yy"), ""), "")</f>
        <v>17/05/23</v>
      </c>
      <c r="L207" t="s">
        <v>38</v>
      </c>
      <c r="M207" t="s">
        <v>48</v>
      </c>
      <c r="N207" t="s">
        <v>55</v>
      </c>
      <c r="O207" t="s">
        <v>41</v>
      </c>
      <c r="P207">
        <v>23190128</v>
      </c>
      <c r="Q207" t="s">
        <v>214</v>
      </c>
      <c r="R207" t="s">
        <v>215</v>
      </c>
      <c r="S207">
        <v>24.98</v>
      </c>
      <c r="T207">
        <v>7277.35</v>
      </c>
      <c r="U207">
        <v>181788.2</v>
      </c>
      <c r="V207" t="str">
        <f t="shared" si="67"/>
        <v>Accepted</v>
      </c>
      <c r="W207">
        <f>IFERROR(VLOOKUP(N207, Payment_Terms!A:B, 2, FALSE), "Payment term not found!")</f>
        <v>0</v>
      </c>
      <c r="X207" t="str">
        <f>IFERROR(VLOOKUP(R207, Item_Category!A:B, 2, FALSE), "Uncategorized")</f>
        <v>Coal materials</v>
      </c>
      <c r="Y207" s="5">
        <f t="shared" si="54"/>
        <v>0</v>
      </c>
      <c r="Z207">
        <f t="shared" si="55"/>
        <v>5</v>
      </c>
      <c r="AA207">
        <f t="shared" si="56"/>
        <v>-18</v>
      </c>
      <c r="AB207">
        <f t="shared" si="57"/>
        <v>5</v>
      </c>
      <c r="AC207" s="10">
        <f t="shared" si="58"/>
        <v>2</v>
      </c>
      <c r="AD207" s="5">
        <f t="shared" si="59"/>
        <v>1</v>
      </c>
      <c r="AE207" s="5">
        <f t="shared" si="60"/>
        <v>1</v>
      </c>
      <c r="AF207" s="5">
        <f t="shared" si="61"/>
        <v>0</v>
      </c>
      <c r="AG207">
        <f>IF(B207&lt;&gt;"", COUNTIFS($B$2:B207, B207), "")</f>
        <v>57</v>
      </c>
      <c r="AH207">
        <f t="shared" si="62"/>
        <v>5</v>
      </c>
      <c r="AI207" t="str">
        <f>VLOOKUP(B207, Currency!A:B, 2, FALSE)</f>
        <v>INR</v>
      </c>
      <c r="AJ207">
        <f t="shared" si="63"/>
        <v>5</v>
      </c>
      <c r="AK207">
        <f t="shared" si="64"/>
        <v>4</v>
      </c>
      <c r="AL207" t="str">
        <f t="shared" si="65"/>
        <v>April</v>
      </c>
      <c r="AM207">
        <f t="shared" si="68"/>
        <v>2023</v>
      </c>
      <c r="AN207" t="str">
        <f t="shared" si="66"/>
        <v>0The Singareni Collieries Company Ltd</v>
      </c>
      <c r="AO207">
        <f>IF(COUNTIF($AN$2:AN207, AN207)=1, 1, 0)</f>
        <v>0</v>
      </c>
      <c r="AP207" t="str">
        <f t="shared" si="69"/>
        <v>&gt;3</v>
      </c>
      <c r="AQ207" t="str">
        <f t="shared" si="70"/>
        <v>&gt;3</v>
      </c>
      <c r="AR207" t="str">
        <f t="shared" si="71"/>
        <v>&gt;3</v>
      </c>
    </row>
    <row r="208" spans="1:44" x14ac:dyDescent="0.3">
      <c r="A208" t="s">
        <v>33</v>
      </c>
      <c r="B208" t="s">
        <v>51</v>
      </c>
      <c r="C208" t="s">
        <v>35</v>
      </c>
      <c r="D208">
        <v>1549</v>
      </c>
      <c r="E208">
        <v>23120010</v>
      </c>
      <c r="F208" t="s">
        <v>214</v>
      </c>
      <c r="G208" t="s">
        <v>215</v>
      </c>
      <c r="H208">
        <v>229.46</v>
      </c>
      <c r="I208">
        <v>7277.35</v>
      </c>
      <c r="J208">
        <v>1669860.73</v>
      </c>
      <c r="K208" s="7" t="str">
        <f>IFERROR(IF(B208&lt;&gt;"", TEXT(VLOOKUP(B208, 'Expected Date'!A:B, 2, FALSE) + DATE(RIGHT(C208,2),MID(C208,4,2),LEFT(C208,2)), "dd/mm/yy"), ""), "")</f>
        <v>17/05/23</v>
      </c>
      <c r="L208" t="s">
        <v>38</v>
      </c>
      <c r="M208" t="s">
        <v>48</v>
      </c>
      <c r="N208" t="s">
        <v>55</v>
      </c>
      <c r="O208" t="s">
        <v>41</v>
      </c>
      <c r="P208">
        <v>23190129</v>
      </c>
      <c r="Q208" t="s">
        <v>214</v>
      </c>
      <c r="R208" t="s">
        <v>215</v>
      </c>
      <c r="S208">
        <v>25</v>
      </c>
      <c r="T208">
        <v>7277.35</v>
      </c>
      <c r="U208">
        <v>181933.75</v>
      </c>
      <c r="V208" t="str">
        <f t="shared" si="67"/>
        <v>Accepted</v>
      </c>
      <c r="W208">
        <f>IFERROR(VLOOKUP(N208, Payment_Terms!A:B, 2, FALSE), "Payment term not found!")</f>
        <v>0</v>
      </c>
      <c r="X208" t="str">
        <f>IFERROR(VLOOKUP(R208, Item_Category!A:B, 2, FALSE), "Uncategorized")</f>
        <v>Coal materials</v>
      </c>
      <c r="Y208" s="5">
        <f t="shared" si="54"/>
        <v>0</v>
      </c>
      <c r="Z208">
        <f t="shared" si="55"/>
        <v>5</v>
      </c>
      <c r="AA208">
        <f t="shared" si="56"/>
        <v>-18</v>
      </c>
      <c r="AB208">
        <f t="shared" si="57"/>
        <v>5</v>
      </c>
      <c r="AC208" s="10">
        <f t="shared" si="58"/>
        <v>2</v>
      </c>
      <c r="AD208" s="5">
        <f t="shared" si="59"/>
        <v>1</v>
      </c>
      <c r="AE208" s="5">
        <f t="shared" si="60"/>
        <v>1</v>
      </c>
      <c r="AF208" s="5">
        <f t="shared" si="61"/>
        <v>0</v>
      </c>
      <c r="AG208">
        <f>IF(B208&lt;&gt;"", COUNTIFS($B$2:B208, B208), "")</f>
        <v>58</v>
      </c>
      <c r="AH208">
        <f t="shared" si="62"/>
        <v>5</v>
      </c>
      <c r="AI208" t="str">
        <f>VLOOKUP(B208, Currency!A:B, 2, FALSE)</f>
        <v>INR</v>
      </c>
      <c r="AJ208">
        <f t="shared" si="63"/>
        <v>5</v>
      </c>
      <c r="AK208">
        <f t="shared" si="64"/>
        <v>4</v>
      </c>
      <c r="AL208" t="str">
        <f t="shared" si="65"/>
        <v>April</v>
      </c>
      <c r="AM208">
        <f t="shared" si="68"/>
        <v>2023</v>
      </c>
      <c r="AN208" t="str">
        <f t="shared" si="66"/>
        <v>0The Singareni Collieries Company Ltd</v>
      </c>
      <c r="AO208">
        <f>IF(COUNTIF($AN$2:AN208, AN208)=1, 1, 0)</f>
        <v>0</v>
      </c>
      <c r="AP208" t="str">
        <f t="shared" si="69"/>
        <v>&gt;3</v>
      </c>
      <c r="AQ208" t="str">
        <f t="shared" si="70"/>
        <v>&gt;3</v>
      </c>
      <c r="AR208" t="str">
        <f t="shared" si="71"/>
        <v>&gt;3</v>
      </c>
    </row>
    <row r="209" spans="1:44" x14ac:dyDescent="0.3">
      <c r="A209" t="s">
        <v>33</v>
      </c>
      <c r="B209" t="s">
        <v>51</v>
      </c>
      <c r="C209" t="s">
        <v>35</v>
      </c>
      <c r="D209">
        <v>1549</v>
      </c>
      <c r="E209">
        <v>23120010</v>
      </c>
      <c r="F209" t="s">
        <v>214</v>
      </c>
      <c r="G209" t="s">
        <v>215</v>
      </c>
      <c r="H209">
        <v>229.46</v>
      </c>
      <c r="I209">
        <v>7277.35</v>
      </c>
      <c r="J209">
        <v>1669860.73</v>
      </c>
      <c r="K209" s="7" t="str">
        <f>IFERROR(IF(B209&lt;&gt;"", TEXT(VLOOKUP(B209, 'Expected Date'!A:B, 2, FALSE) + DATE(RIGHT(C209,2),MID(C209,4,2),LEFT(C209,2)), "dd/mm/yy"), ""), "")</f>
        <v>17/05/23</v>
      </c>
      <c r="L209" t="s">
        <v>38</v>
      </c>
      <c r="M209" t="s">
        <v>48</v>
      </c>
      <c r="N209" t="s">
        <v>55</v>
      </c>
      <c r="O209" t="s">
        <v>41</v>
      </c>
      <c r="P209">
        <v>23190130</v>
      </c>
      <c r="Q209" t="s">
        <v>214</v>
      </c>
      <c r="R209" t="s">
        <v>215</v>
      </c>
      <c r="S209">
        <v>24.98</v>
      </c>
      <c r="T209">
        <v>7277.35</v>
      </c>
      <c r="U209">
        <v>181788.2</v>
      </c>
      <c r="V209" t="str">
        <f t="shared" si="67"/>
        <v>Accepted</v>
      </c>
      <c r="W209">
        <f>IFERROR(VLOOKUP(N209, Payment_Terms!A:B, 2, FALSE), "Payment term not found!")</f>
        <v>0</v>
      </c>
      <c r="X209" t="str">
        <f>IFERROR(VLOOKUP(R209, Item_Category!A:B, 2, FALSE), "Uncategorized")</f>
        <v>Coal materials</v>
      </c>
      <c r="Y209" s="5">
        <f t="shared" si="54"/>
        <v>0</v>
      </c>
      <c r="Z209">
        <f t="shared" si="55"/>
        <v>5</v>
      </c>
      <c r="AA209">
        <f t="shared" si="56"/>
        <v>-18</v>
      </c>
      <c r="AB209">
        <f t="shared" si="57"/>
        <v>5</v>
      </c>
      <c r="AC209" s="10">
        <f t="shared" si="58"/>
        <v>2</v>
      </c>
      <c r="AD209" s="5">
        <f t="shared" si="59"/>
        <v>1</v>
      </c>
      <c r="AE209" s="5">
        <f t="shared" si="60"/>
        <v>1</v>
      </c>
      <c r="AF209" s="5">
        <f t="shared" si="61"/>
        <v>0</v>
      </c>
      <c r="AG209">
        <f>IF(B209&lt;&gt;"", COUNTIFS($B$2:B209, B209), "")</f>
        <v>59</v>
      </c>
      <c r="AH209">
        <f t="shared" si="62"/>
        <v>5</v>
      </c>
      <c r="AI209" t="str">
        <f>VLOOKUP(B209, Currency!A:B, 2, FALSE)</f>
        <v>INR</v>
      </c>
      <c r="AJ209">
        <f t="shared" si="63"/>
        <v>5</v>
      </c>
      <c r="AK209">
        <f t="shared" si="64"/>
        <v>4</v>
      </c>
      <c r="AL209" t="str">
        <f t="shared" si="65"/>
        <v>April</v>
      </c>
      <c r="AM209">
        <f t="shared" si="68"/>
        <v>2023</v>
      </c>
      <c r="AN209" t="str">
        <f t="shared" si="66"/>
        <v>0The Singareni Collieries Company Ltd</v>
      </c>
      <c r="AO209">
        <f>IF(COUNTIF($AN$2:AN209, AN209)=1, 1, 0)</f>
        <v>0</v>
      </c>
      <c r="AP209" t="str">
        <f t="shared" si="69"/>
        <v>&gt;3</v>
      </c>
      <c r="AQ209" t="str">
        <f t="shared" si="70"/>
        <v>&gt;3</v>
      </c>
      <c r="AR209" t="str">
        <f t="shared" si="71"/>
        <v>&gt;3</v>
      </c>
    </row>
    <row r="210" spans="1:44" x14ac:dyDescent="0.3">
      <c r="A210" t="s">
        <v>33</v>
      </c>
      <c r="B210" t="s">
        <v>51</v>
      </c>
      <c r="C210" t="s">
        <v>35</v>
      </c>
      <c r="D210">
        <v>1549</v>
      </c>
      <c r="E210">
        <v>23120010</v>
      </c>
      <c r="F210" t="s">
        <v>214</v>
      </c>
      <c r="G210" t="s">
        <v>215</v>
      </c>
      <c r="H210">
        <v>229.46</v>
      </c>
      <c r="I210">
        <v>7277.35</v>
      </c>
      <c r="J210">
        <v>1669860.73</v>
      </c>
      <c r="K210" s="7" t="str">
        <f>IFERROR(IF(B210&lt;&gt;"", TEXT(VLOOKUP(B210, 'Expected Date'!A:B, 2, FALSE) + DATE(RIGHT(C210,2),MID(C210,4,2),LEFT(C210,2)), "dd/mm/yy"), ""), "")</f>
        <v>17/05/23</v>
      </c>
      <c r="L210" t="s">
        <v>38</v>
      </c>
      <c r="M210" t="s">
        <v>48</v>
      </c>
      <c r="N210" t="s">
        <v>55</v>
      </c>
      <c r="O210" t="s">
        <v>41</v>
      </c>
      <c r="P210">
        <v>23190131</v>
      </c>
      <c r="Q210" t="s">
        <v>214</v>
      </c>
      <c r="R210" t="s">
        <v>215</v>
      </c>
      <c r="S210">
        <v>25.06</v>
      </c>
      <c r="T210">
        <v>7277.35</v>
      </c>
      <c r="U210">
        <v>182370.39</v>
      </c>
      <c r="V210" t="str">
        <f t="shared" si="67"/>
        <v>Accepted</v>
      </c>
      <c r="W210">
        <f>IFERROR(VLOOKUP(N210, Payment_Terms!A:B, 2, FALSE), "Payment term not found!")</f>
        <v>0</v>
      </c>
      <c r="X210" t="str">
        <f>IFERROR(VLOOKUP(R210, Item_Category!A:B, 2, FALSE), "Uncategorized")</f>
        <v>Coal materials</v>
      </c>
      <c r="Y210" s="5">
        <f t="shared" si="54"/>
        <v>0</v>
      </c>
      <c r="Z210">
        <f t="shared" si="55"/>
        <v>5</v>
      </c>
      <c r="AA210">
        <f t="shared" si="56"/>
        <v>-18</v>
      </c>
      <c r="AB210">
        <f t="shared" si="57"/>
        <v>5</v>
      </c>
      <c r="AC210" s="10">
        <f t="shared" si="58"/>
        <v>2</v>
      </c>
      <c r="AD210" s="5">
        <f t="shared" si="59"/>
        <v>1</v>
      </c>
      <c r="AE210" s="5">
        <f t="shared" si="60"/>
        <v>1</v>
      </c>
      <c r="AF210" s="5">
        <f t="shared" si="61"/>
        <v>0</v>
      </c>
      <c r="AG210">
        <f>IF(B210&lt;&gt;"", COUNTIFS($B$2:B210, B210), "")</f>
        <v>60</v>
      </c>
      <c r="AH210">
        <f t="shared" si="62"/>
        <v>5</v>
      </c>
      <c r="AI210" t="str">
        <f>VLOOKUP(B210, Currency!A:B, 2, FALSE)</f>
        <v>INR</v>
      </c>
      <c r="AJ210">
        <f t="shared" si="63"/>
        <v>5</v>
      </c>
      <c r="AK210">
        <f t="shared" si="64"/>
        <v>4</v>
      </c>
      <c r="AL210" t="str">
        <f t="shared" si="65"/>
        <v>April</v>
      </c>
      <c r="AM210">
        <f t="shared" si="68"/>
        <v>2023</v>
      </c>
      <c r="AN210" t="str">
        <f t="shared" si="66"/>
        <v>0The Singareni Collieries Company Ltd</v>
      </c>
      <c r="AO210">
        <f>IF(COUNTIF($AN$2:AN210, AN210)=1, 1, 0)</f>
        <v>0</v>
      </c>
      <c r="AP210" t="str">
        <f t="shared" si="69"/>
        <v>&gt;3</v>
      </c>
      <c r="AQ210" t="str">
        <f t="shared" si="70"/>
        <v>&gt;3</v>
      </c>
      <c r="AR210" t="str">
        <f t="shared" si="71"/>
        <v>&gt;3</v>
      </c>
    </row>
    <row r="211" spans="1:44" x14ac:dyDescent="0.3">
      <c r="A211" t="s">
        <v>33</v>
      </c>
      <c r="B211" t="s">
        <v>51</v>
      </c>
      <c r="C211" t="s">
        <v>35</v>
      </c>
      <c r="D211">
        <v>1549</v>
      </c>
      <c r="E211">
        <v>23120010</v>
      </c>
      <c r="F211" t="s">
        <v>214</v>
      </c>
      <c r="G211" t="s">
        <v>215</v>
      </c>
      <c r="H211">
        <v>229.46</v>
      </c>
      <c r="I211">
        <v>7277.35</v>
      </c>
      <c r="J211">
        <v>1669860.73</v>
      </c>
      <c r="K211" s="7" t="str">
        <f>IFERROR(IF(B211&lt;&gt;"", TEXT(VLOOKUP(B211, 'Expected Date'!A:B, 2, FALSE) + DATE(RIGHT(C211,2),MID(C211,4,2),LEFT(C211,2)), "dd/mm/yy"), ""), "")</f>
        <v>17/05/23</v>
      </c>
      <c r="L211" t="s">
        <v>38</v>
      </c>
      <c r="M211" t="s">
        <v>48</v>
      </c>
      <c r="N211" t="s">
        <v>55</v>
      </c>
      <c r="O211" t="s">
        <v>41</v>
      </c>
      <c r="P211">
        <v>23190132</v>
      </c>
      <c r="Q211" t="s">
        <v>214</v>
      </c>
      <c r="R211" t="s">
        <v>215</v>
      </c>
      <c r="S211">
        <v>24.5</v>
      </c>
      <c r="T211">
        <v>7277.35</v>
      </c>
      <c r="U211">
        <v>178295.08</v>
      </c>
      <c r="V211" t="str">
        <f t="shared" si="67"/>
        <v>Accepted</v>
      </c>
      <c r="W211">
        <f>IFERROR(VLOOKUP(N211, Payment_Terms!A:B, 2, FALSE), "Payment term not found!")</f>
        <v>0</v>
      </c>
      <c r="X211" t="str">
        <f>IFERROR(VLOOKUP(R211, Item_Category!A:B, 2, FALSE), "Uncategorized")</f>
        <v>Coal materials</v>
      </c>
      <c r="Y211" s="5">
        <f t="shared" si="54"/>
        <v>0</v>
      </c>
      <c r="Z211">
        <f t="shared" si="55"/>
        <v>5</v>
      </c>
      <c r="AA211">
        <f t="shared" si="56"/>
        <v>-18</v>
      </c>
      <c r="AB211">
        <f t="shared" si="57"/>
        <v>5</v>
      </c>
      <c r="AC211" s="10">
        <f t="shared" si="58"/>
        <v>2</v>
      </c>
      <c r="AD211" s="5">
        <f t="shared" si="59"/>
        <v>1</v>
      </c>
      <c r="AE211" s="5">
        <f t="shared" si="60"/>
        <v>1</v>
      </c>
      <c r="AF211" s="5">
        <f t="shared" si="61"/>
        <v>0</v>
      </c>
      <c r="AG211">
        <f>IF(B211&lt;&gt;"", COUNTIFS($B$2:B211, B211), "")</f>
        <v>61</v>
      </c>
      <c r="AH211">
        <f t="shared" si="62"/>
        <v>5</v>
      </c>
      <c r="AI211" t="str">
        <f>VLOOKUP(B211, Currency!A:B, 2, FALSE)</f>
        <v>INR</v>
      </c>
      <c r="AJ211">
        <f t="shared" si="63"/>
        <v>5</v>
      </c>
      <c r="AK211">
        <f t="shared" si="64"/>
        <v>4</v>
      </c>
      <c r="AL211" t="str">
        <f t="shared" si="65"/>
        <v>April</v>
      </c>
      <c r="AM211">
        <f t="shared" si="68"/>
        <v>2023</v>
      </c>
      <c r="AN211" t="str">
        <f t="shared" si="66"/>
        <v>0The Singareni Collieries Company Ltd</v>
      </c>
      <c r="AO211">
        <f>IF(COUNTIF($AN$2:AN211, AN211)=1, 1, 0)</f>
        <v>0</v>
      </c>
      <c r="AP211" t="str">
        <f t="shared" si="69"/>
        <v>&gt;3</v>
      </c>
      <c r="AQ211" t="str">
        <f t="shared" si="70"/>
        <v>&gt;3</v>
      </c>
      <c r="AR211" t="str">
        <f t="shared" si="71"/>
        <v>&gt;3</v>
      </c>
    </row>
    <row r="212" spans="1:44" x14ac:dyDescent="0.3">
      <c r="A212" t="s">
        <v>33</v>
      </c>
      <c r="B212" t="s">
        <v>107</v>
      </c>
      <c r="C212" t="s">
        <v>65</v>
      </c>
      <c r="D212">
        <v>1389</v>
      </c>
      <c r="E212">
        <v>23110050</v>
      </c>
      <c r="F212" t="s">
        <v>316</v>
      </c>
      <c r="G212" t="s">
        <v>317</v>
      </c>
      <c r="H212">
        <v>2000</v>
      </c>
      <c r="I212">
        <v>33.799999999999997</v>
      </c>
      <c r="J212">
        <v>67600</v>
      </c>
      <c r="K212" s="7" t="str">
        <f>IFERROR(IF(B212&lt;&gt;"", TEXT(VLOOKUP(B212, 'Expected Date'!A:B, 2, FALSE) + DATE(RIGHT(C212,2),MID(C212,4,2),LEFT(C212,2)), "dd/mm/yy"), ""), "")</f>
        <v>29/04/23</v>
      </c>
      <c r="L212" t="s">
        <v>38</v>
      </c>
      <c r="M212" t="s">
        <v>39</v>
      </c>
      <c r="N212" t="s">
        <v>109</v>
      </c>
      <c r="O212" t="s">
        <v>300</v>
      </c>
      <c r="P212">
        <v>23190237</v>
      </c>
      <c r="Q212" t="s">
        <v>316</v>
      </c>
      <c r="R212" t="s">
        <v>317</v>
      </c>
      <c r="S212">
        <v>1892</v>
      </c>
      <c r="T212">
        <v>33.799999999999997</v>
      </c>
      <c r="U212">
        <v>63949.599999999999</v>
      </c>
      <c r="V212" t="str">
        <f t="shared" si="67"/>
        <v>Accepted</v>
      </c>
      <c r="W212">
        <f>IFERROR(VLOOKUP(N212, Payment_Terms!A:B, 2, FALSE), "Payment term not found!")</f>
        <v>0</v>
      </c>
      <c r="X212" t="str">
        <f>IFERROR(VLOOKUP(R212, Item_Category!A:B, 2, FALSE), "Uncategorized")</f>
        <v>Bags</v>
      </c>
      <c r="Y212" s="5">
        <f t="shared" si="54"/>
        <v>0</v>
      </c>
      <c r="Z212">
        <f t="shared" si="55"/>
        <v>5</v>
      </c>
      <c r="AA212">
        <f t="shared" si="56"/>
        <v>13</v>
      </c>
      <c r="AB212">
        <f t="shared" si="57"/>
        <v>1</v>
      </c>
      <c r="AC212" s="10">
        <f t="shared" si="58"/>
        <v>23</v>
      </c>
      <c r="AD212" s="5">
        <f t="shared" si="59"/>
        <v>1</v>
      </c>
      <c r="AE212" s="5">
        <f t="shared" si="60"/>
        <v>1</v>
      </c>
      <c r="AF212" s="5">
        <f t="shared" si="61"/>
        <v>0</v>
      </c>
      <c r="AG212">
        <f>IF(B212&lt;&gt;"", COUNTIFS($B$2:B212, B212), "")</f>
        <v>17</v>
      </c>
      <c r="AH212">
        <f t="shared" si="62"/>
        <v>5</v>
      </c>
      <c r="AI212" t="str">
        <f>VLOOKUP(B212, Currency!A:B, 2, FALSE)</f>
        <v>INR</v>
      </c>
      <c r="AJ212">
        <f t="shared" si="63"/>
        <v>4</v>
      </c>
      <c r="AK212">
        <f t="shared" si="64"/>
        <v>4</v>
      </c>
      <c r="AL212" t="str">
        <f t="shared" si="65"/>
        <v>April</v>
      </c>
      <c r="AM212">
        <f t="shared" si="68"/>
        <v>2023</v>
      </c>
      <c r="AN212" t="str">
        <f t="shared" si="66"/>
        <v>0KAPILA INDUSTRIES</v>
      </c>
      <c r="AO212">
        <f>IF(COUNTIF($AN$2:AN212, AN212)=1, 1, 0)</f>
        <v>0</v>
      </c>
      <c r="AP212" t="str">
        <f t="shared" si="69"/>
        <v>&gt;3</v>
      </c>
      <c r="AQ212" t="str">
        <f t="shared" si="70"/>
        <v>&gt;3</v>
      </c>
      <c r="AR212" t="str">
        <f t="shared" si="71"/>
        <v>&lt;=3</v>
      </c>
    </row>
    <row r="213" spans="1:44" x14ac:dyDescent="0.3">
      <c r="A213" t="s">
        <v>33</v>
      </c>
      <c r="B213" t="s">
        <v>107</v>
      </c>
      <c r="C213" t="s">
        <v>65</v>
      </c>
      <c r="D213">
        <v>1389</v>
      </c>
      <c r="E213">
        <v>23110050</v>
      </c>
      <c r="F213" t="s">
        <v>316</v>
      </c>
      <c r="G213" t="s">
        <v>317</v>
      </c>
      <c r="H213">
        <v>2000</v>
      </c>
      <c r="I213">
        <v>33.799999999999997</v>
      </c>
      <c r="J213">
        <v>67600</v>
      </c>
      <c r="K213" s="7" t="str">
        <f>IFERROR(IF(B213&lt;&gt;"", TEXT(VLOOKUP(B213, 'Expected Date'!A:B, 2, FALSE) + DATE(RIGHT(C213,2),MID(C213,4,2),LEFT(C213,2)), "dd/mm/yy"), ""), "")</f>
        <v>29/04/23</v>
      </c>
      <c r="L213" t="s">
        <v>38</v>
      </c>
      <c r="M213" t="s">
        <v>39</v>
      </c>
      <c r="N213" t="s">
        <v>109</v>
      </c>
      <c r="O213" t="s">
        <v>300</v>
      </c>
      <c r="P213">
        <v>23190238</v>
      </c>
      <c r="Q213" t="s">
        <v>316</v>
      </c>
      <c r="R213" t="s">
        <v>317</v>
      </c>
      <c r="S213">
        <v>300</v>
      </c>
      <c r="T213">
        <v>33.799999999999997</v>
      </c>
      <c r="U213">
        <v>10140</v>
      </c>
      <c r="V213" t="str">
        <f t="shared" si="67"/>
        <v>Accepted</v>
      </c>
      <c r="W213">
        <f>IFERROR(VLOOKUP(N213, Payment_Terms!A:B, 2, FALSE), "Payment term not found!")</f>
        <v>0</v>
      </c>
      <c r="X213" t="str">
        <f>IFERROR(VLOOKUP(R213, Item_Category!A:B, 2, FALSE), "Uncategorized")</f>
        <v>Bags</v>
      </c>
      <c r="Y213" s="5">
        <f t="shared" si="54"/>
        <v>0</v>
      </c>
      <c r="Z213">
        <f t="shared" si="55"/>
        <v>5</v>
      </c>
      <c r="AA213">
        <f t="shared" si="56"/>
        <v>13</v>
      </c>
      <c r="AB213">
        <f t="shared" si="57"/>
        <v>1</v>
      </c>
      <c r="AC213" s="10">
        <f t="shared" si="58"/>
        <v>23</v>
      </c>
      <c r="AD213" s="5">
        <f t="shared" si="59"/>
        <v>1</v>
      </c>
      <c r="AE213" s="5">
        <f t="shared" si="60"/>
        <v>1</v>
      </c>
      <c r="AF213" s="5">
        <f t="shared" si="61"/>
        <v>0</v>
      </c>
      <c r="AG213">
        <f>IF(B213&lt;&gt;"", COUNTIFS($B$2:B213, B213), "")</f>
        <v>18</v>
      </c>
      <c r="AH213">
        <f t="shared" si="62"/>
        <v>5</v>
      </c>
      <c r="AI213" t="str">
        <f>VLOOKUP(B213, Currency!A:B, 2, FALSE)</f>
        <v>INR</v>
      </c>
      <c r="AJ213">
        <f t="shared" si="63"/>
        <v>4</v>
      </c>
      <c r="AK213">
        <f t="shared" si="64"/>
        <v>4</v>
      </c>
      <c r="AL213" t="str">
        <f t="shared" si="65"/>
        <v>April</v>
      </c>
      <c r="AM213">
        <f t="shared" si="68"/>
        <v>2023</v>
      </c>
      <c r="AN213" t="str">
        <f t="shared" si="66"/>
        <v>0KAPILA INDUSTRIES</v>
      </c>
      <c r="AO213">
        <f>IF(COUNTIF($AN$2:AN213, AN213)=1, 1, 0)</f>
        <v>0</v>
      </c>
      <c r="AP213" t="str">
        <f t="shared" si="69"/>
        <v>&gt;3</v>
      </c>
      <c r="AQ213" t="str">
        <f t="shared" si="70"/>
        <v>&gt;3</v>
      </c>
      <c r="AR213" t="str">
        <f t="shared" si="71"/>
        <v>&lt;=3</v>
      </c>
    </row>
    <row r="214" spans="1:44" x14ac:dyDescent="0.3">
      <c r="A214" t="s">
        <v>111</v>
      </c>
      <c r="B214" t="s">
        <v>309</v>
      </c>
      <c r="C214" t="s">
        <v>134</v>
      </c>
      <c r="D214">
        <v>2367</v>
      </c>
      <c r="E214">
        <v>23120041</v>
      </c>
      <c r="F214" t="s">
        <v>310</v>
      </c>
      <c r="G214" t="s">
        <v>311</v>
      </c>
      <c r="H214">
        <v>2000</v>
      </c>
      <c r="I214">
        <v>310</v>
      </c>
      <c r="J214">
        <v>620000</v>
      </c>
      <c r="K214" s="7" t="str">
        <f>IFERROR(IF(B214&lt;&gt;"", TEXT(VLOOKUP(B214, 'Expected Date'!A:B, 2, FALSE) + DATE(RIGHT(C214,2),MID(C214,4,2),LEFT(C214,2)), "dd/mm/yy"), ""), "")</f>
        <v>18/06/23</v>
      </c>
      <c r="L214" t="s">
        <v>38</v>
      </c>
      <c r="M214" t="s">
        <v>48</v>
      </c>
      <c r="N214" t="s">
        <v>318</v>
      </c>
      <c r="O214" t="s">
        <v>319</v>
      </c>
      <c r="P214">
        <v>23190465</v>
      </c>
      <c r="Q214" t="s">
        <v>310</v>
      </c>
      <c r="R214" t="s">
        <v>311</v>
      </c>
      <c r="S214">
        <v>2000</v>
      </c>
      <c r="T214">
        <v>310</v>
      </c>
      <c r="U214">
        <v>620000</v>
      </c>
      <c r="V214" t="str">
        <f t="shared" si="67"/>
        <v>Accepted</v>
      </c>
      <c r="W214">
        <f>IFERROR(VLOOKUP(N214, Payment_Terms!A:B, 2, FALSE), "Payment term not found!")</f>
        <v>30</v>
      </c>
      <c r="X214" t="str">
        <f>IFERROR(VLOOKUP(R214, Item_Category!A:B, 2, FALSE), "Uncategorized")</f>
        <v>CROSSCARMELLOSE SODIUM</v>
      </c>
      <c r="Y214" s="5">
        <f t="shared" si="54"/>
        <v>0</v>
      </c>
      <c r="Z214">
        <f t="shared" si="55"/>
        <v>5</v>
      </c>
      <c r="AA214">
        <f t="shared" si="56"/>
        <v>1</v>
      </c>
      <c r="AB214">
        <f t="shared" si="57"/>
        <v>5</v>
      </c>
      <c r="AC214" s="10">
        <f t="shared" si="58"/>
        <v>11</v>
      </c>
      <c r="AD214" s="5">
        <f t="shared" si="59"/>
        <v>1</v>
      </c>
      <c r="AE214" s="5">
        <f t="shared" si="60"/>
        <v>1</v>
      </c>
      <c r="AF214" s="5">
        <f t="shared" si="61"/>
        <v>0</v>
      </c>
      <c r="AG214">
        <f>IF(B214&lt;&gt;"", COUNTIFS($B$2:B214, B214), "")</f>
        <v>2</v>
      </c>
      <c r="AH214">
        <f t="shared" si="62"/>
        <v>5</v>
      </c>
      <c r="AI214" t="str">
        <f>VLOOKUP(B214, Currency!A:B, 2, FALSE)</f>
        <v>INR</v>
      </c>
      <c r="AJ214">
        <f t="shared" si="63"/>
        <v>5</v>
      </c>
      <c r="AK214">
        <f t="shared" si="64"/>
        <v>6</v>
      </c>
      <c r="AL214" t="str">
        <f t="shared" si="65"/>
        <v>June</v>
      </c>
      <c r="AM214">
        <f t="shared" si="68"/>
        <v>2023</v>
      </c>
      <c r="AN214" t="str">
        <f t="shared" si="66"/>
        <v>30Prachin Chemicals_Vendor</v>
      </c>
      <c r="AO214">
        <f>IF(COUNTIF($AN$2:AN214, AN214)=1, 1, 0)</f>
        <v>0</v>
      </c>
      <c r="AP214" t="str">
        <f t="shared" si="69"/>
        <v>&gt;3</v>
      </c>
      <c r="AQ214" t="str">
        <f t="shared" si="70"/>
        <v>&gt;3</v>
      </c>
      <c r="AR214" t="str">
        <f t="shared" si="71"/>
        <v>&gt;3</v>
      </c>
    </row>
    <row r="215" spans="1:44" x14ac:dyDescent="0.3">
      <c r="A215" t="s">
        <v>33</v>
      </c>
      <c r="B215" t="s">
        <v>51</v>
      </c>
      <c r="C215" t="s">
        <v>320</v>
      </c>
      <c r="D215">
        <v>4682</v>
      </c>
      <c r="E215">
        <v>23120138</v>
      </c>
      <c r="F215" t="s">
        <v>61</v>
      </c>
      <c r="G215" t="s">
        <v>62</v>
      </c>
      <c r="H215">
        <v>41</v>
      </c>
      <c r="I215">
        <v>6288.5</v>
      </c>
      <c r="J215">
        <v>257828.5</v>
      </c>
      <c r="K215" s="7" t="str">
        <f>IFERROR(IF(B215&lt;&gt;"", TEXT(VLOOKUP(B215, 'Expected Date'!A:B, 2, FALSE) + DATE(RIGHT(C215,2),MID(C215,4,2),LEFT(C215,2)), "dd/mm/yy"), ""), "")</f>
        <v>18/10/23</v>
      </c>
      <c r="L215" t="s">
        <v>38</v>
      </c>
      <c r="M215" t="s">
        <v>48</v>
      </c>
      <c r="N215" t="s">
        <v>55</v>
      </c>
      <c r="O215" t="s">
        <v>151</v>
      </c>
      <c r="P215">
        <v>23191187</v>
      </c>
      <c r="Q215" t="s">
        <v>61</v>
      </c>
      <c r="R215" t="s">
        <v>62</v>
      </c>
      <c r="S215">
        <v>20</v>
      </c>
      <c r="T215">
        <v>6288.5</v>
      </c>
      <c r="U215">
        <v>125770</v>
      </c>
      <c r="V215" t="str">
        <f t="shared" si="67"/>
        <v>Accepted</v>
      </c>
      <c r="W215">
        <f>IFERROR(VLOOKUP(N215, Payment_Terms!A:B, 2, FALSE), "Payment term not found!")</f>
        <v>0</v>
      </c>
      <c r="X215" t="str">
        <f>IFERROR(VLOOKUP(R215, Item_Category!A:B, 2, FALSE), "Uncategorized")</f>
        <v>Coal materials</v>
      </c>
      <c r="Y215" s="5">
        <f t="shared" si="54"/>
        <v>0</v>
      </c>
      <c r="Z215">
        <f t="shared" si="55"/>
        <v>5</v>
      </c>
      <c r="AA215">
        <f t="shared" si="56"/>
        <v>-34</v>
      </c>
      <c r="AB215">
        <f t="shared" si="57"/>
        <v>5</v>
      </c>
      <c r="AC215" s="10">
        <f t="shared" si="58"/>
        <v>14</v>
      </c>
      <c r="AD215" s="5">
        <f t="shared" si="59"/>
        <v>1</v>
      </c>
      <c r="AE215" s="5">
        <f t="shared" si="60"/>
        <v>1</v>
      </c>
      <c r="AF215" s="5">
        <f t="shared" si="61"/>
        <v>0</v>
      </c>
      <c r="AG215">
        <f>IF(B215&lt;&gt;"", COUNTIFS($B$2:B215, B215), "")</f>
        <v>62</v>
      </c>
      <c r="AH215">
        <f t="shared" si="62"/>
        <v>5</v>
      </c>
      <c r="AI215" t="str">
        <f>VLOOKUP(B215, Currency!A:B, 2, FALSE)</f>
        <v>INR</v>
      </c>
      <c r="AJ215">
        <f t="shared" si="63"/>
        <v>5</v>
      </c>
      <c r="AK215">
        <f t="shared" si="64"/>
        <v>9</v>
      </c>
      <c r="AL215" t="str">
        <f t="shared" si="65"/>
        <v>September</v>
      </c>
      <c r="AM215">
        <f t="shared" si="68"/>
        <v>2023</v>
      </c>
      <c r="AN215" t="str">
        <f t="shared" si="66"/>
        <v>0The Singareni Collieries Company Ltd</v>
      </c>
      <c r="AO215">
        <f>IF(COUNTIF($AN$2:AN215, AN215)=1, 1, 0)</f>
        <v>0</v>
      </c>
      <c r="AP215" t="str">
        <f t="shared" si="69"/>
        <v>&gt;3</v>
      </c>
      <c r="AQ215" t="str">
        <f t="shared" si="70"/>
        <v>&gt;3</v>
      </c>
      <c r="AR215" t="str">
        <f t="shared" si="71"/>
        <v>&gt;3</v>
      </c>
    </row>
    <row r="216" spans="1:44" x14ac:dyDescent="0.3">
      <c r="A216" t="s">
        <v>33</v>
      </c>
      <c r="B216" t="s">
        <v>51</v>
      </c>
      <c r="C216" t="s">
        <v>320</v>
      </c>
      <c r="D216">
        <v>4682</v>
      </c>
      <c r="E216">
        <v>23120138</v>
      </c>
      <c r="F216" t="s">
        <v>61</v>
      </c>
      <c r="G216" t="s">
        <v>62</v>
      </c>
      <c r="H216">
        <v>41</v>
      </c>
      <c r="I216">
        <v>6288.5</v>
      </c>
      <c r="J216">
        <v>257828.5</v>
      </c>
      <c r="K216" s="7" t="str">
        <f>IFERROR(IF(B216&lt;&gt;"", TEXT(VLOOKUP(B216, 'Expected Date'!A:B, 2, FALSE) + DATE(RIGHT(C216,2),MID(C216,4,2),LEFT(C216,2)), "dd/mm/yy"), ""), "")</f>
        <v>18/10/23</v>
      </c>
      <c r="L216" t="s">
        <v>38</v>
      </c>
      <c r="M216" t="s">
        <v>48</v>
      </c>
      <c r="N216" t="s">
        <v>55</v>
      </c>
      <c r="O216" t="s">
        <v>206</v>
      </c>
      <c r="P216">
        <v>23191188</v>
      </c>
      <c r="Q216" t="s">
        <v>61</v>
      </c>
      <c r="R216" t="s">
        <v>62</v>
      </c>
      <c r="S216">
        <v>21</v>
      </c>
      <c r="T216">
        <v>6288.5</v>
      </c>
      <c r="U216">
        <v>132058.5</v>
      </c>
      <c r="V216" t="str">
        <f t="shared" si="67"/>
        <v>Accepted</v>
      </c>
      <c r="W216">
        <f>IFERROR(VLOOKUP(N216, Payment_Terms!A:B, 2, FALSE), "Payment term not found!")</f>
        <v>0</v>
      </c>
      <c r="X216" t="str">
        <f>IFERROR(VLOOKUP(R216, Item_Category!A:B, 2, FALSE), "Uncategorized")</f>
        <v>Coal materials</v>
      </c>
      <c r="Y216" s="5">
        <f t="shared" si="54"/>
        <v>0</v>
      </c>
      <c r="Z216">
        <f t="shared" si="55"/>
        <v>5</v>
      </c>
      <c r="AA216">
        <f t="shared" si="56"/>
        <v>-35</v>
      </c>
      <c r="AB216">
        <f t="shared" si="57"/>
        <v>5</v>
      </c>
      <c r="AC216" s="10">
        <f t="shared" si="58"/>
        <v>15</v>
      </c>
      <c r="AD216" s="5">
        <f t="shared" si="59"/>
        <v>1</v>
      </c>
      <c r="AE216" s="5">
        <f t="shared" si="60"/>
        <v>1</v>
      </c>
      <c r="AF216" s="5">
        <f t="shared" si="61"/>
        <v>0</v>
      </c>
      <c r="AG216">
        <f>IF(B216&lt;&gt;"", COUNTIFS($B$2:B216, B216), "")</f>
        <v>63</v>
      </c>
      <c r="AH216">
        <f t="shared" si="62"/>
        <v>5</v>
      </c>
      <c r="AI216" t="str">
        <f>VLOOKUP(B216, Currency!A:B, 2, FALSE)</f>
        <v>INR</v>
      </c>
      <c r="AJ216">
        <f t="shared" si="63"/>
        <v>5</v>
      </c>
      <c r="AK216">
        <f t="shared" si="64"/>
        <v>9</v>
      </c>
      <c r="AL216" t="str">
        <f t="shared" si="65"/>
        <v>September</v>
      </c>
      <c r="AM216">
        <f t="shared" si="68"/>
        <v>2023</v>
      </c>
      <c r="AN216" t="str">
        <f t="shared" si="66"/>
        <v>0The Singareni Collieries Company Ltd</v>
      </c>
      <c r="AO216">
        <f>IF(COUNTIF($AN$2:AN216, AN216)=1, 1, 0)</f>
        <v>0</v>
      </c>
      <c r="AP216" t="str">
        <f t="shared" si="69"/>
        <v>&gt;3</v>
      </c>
      <c r="AQ216" t="str">
        <f t="shared" si="70"/>
        <v>&gt;3</v>
      </c>
      <c r="AR216" t="str">
        <f t="shared" si="71"/>
        <v>&gt;3</v>
      </c>
    </row>
    <row r="217" spans="1:44" x14ac:dyDescent="0.3">
      <c r="A217" t="s">
        <v>33</v>
      </c>
      <c r="B217" t="s">
        <v>287</v>
      </c>
      <c r="C217" t="s">
        <v>281</v>
      </c>
      <c r="D217">
        <v>4180</v>
      </c>
      <c r="E217">
        <v>23110399</v>
      </c>
      <c r="F217" t="s">
        <v>321</v>
      </c>
      <c r="G217" t="s">
        <v>322</v>
      </c>
      <c r="H217">
        <v>242</v>
      </c>
      <c r="I217">
        <v>22.727</v>
      </c>
      <c r="J217">
        <v>5499.93</v>
      </c>
      <c r="K217" s="7" t="str">
        <f>IFERROR(IF(B217&lt;&gt;"", TEXT(VLOOKUP(B217, 'Expected Date'!A:B, 2, FALSE) + DATE(RIGHT(C217,2),MID(C217,4,2),LEFT(C217,2)), "dd/mm/yy"), ""), "")</f>
        <v>15/09/23</v>
      </c>
      <c r="L217" t="s">
        <v>38</v>
      </c>
      <c r="M217" t="s">
        <v>48</v>
      </c>
      <c r="N217" t="s">
        <v>77</v>
      </c>
      <c r="O217" t="s">
        <v>286</v>
      </c>
      <c r="P217">
        <v>23191014</v>
      </c>
      <c r="Q217" t="s">
        <v>321</v>
      </c>
      <c r="R217" t="s">
        <v>322</v>
      </c>
      <c r="S217">
        <v>242</v>
      </c>
      <c r="T217">
        <v>22.727</v>
      </c>
      <c r="U217">
        <v>5499.93</v>
      </c>
      <c r="V217" t="str">
        <f t="shared" si="67"/>
        <v>Accepted</v>
      </c>
      <c r="W217">
        <f>IFERROR(VLOOKUP(N217, Payment_Terms!A:B, 2, FALSE), "Payment term not found!")</f>
        <v>0</v>
      </c>
      <c r="X217" t="str">
        <f>IFERROR(VLOOKUP(R217, Item_Category!A:B, 2, FALSE), "Uncategorized")</f>
        <v>BO Water</v>
      </c>
      <c r="Y217" s="5">
        <f t="shared" si="54"/>
        <v>0</v>
      </c>
      <c r="Z217">
        <f t="shared" si="55"/>
        <v>5</v>
      </c>
      <c r="AA217">
        <f t="shared" si="56"/>
        <v>-15</v>
      </c>
      <c r="AB217">
        <f t="shared" si="57"/>
        <v>5</v>
      </c>
      <c r="AC217" s="10">
        <f t="shared" si="58"/>
        <v>5</v>
      </c>
      <c r="AD217" s="5">
        <f t="shared" si="59"/>
        <v>1</v>
      </c>
      <c r="AE217" s="5">
        <f t="shared" si="60"/>
        <v>1</v>
      </c>
      <c r="AF217" s="5">
        <f t="shared" si="61"/>
        <v>0</v>
      </c>
      <c r="AG217">
        <f>IF(B217&lt;&gt;"", COUNTIFS($B$2:B217, B217), "")</f>
        <v>2</v>
      </c>
      <c r="AH217">
        <f t="shared" si="62"/>
        <v>5</v>
      </c>
      <c r="AI217" t="str">
        <f>VLOOKUP(B217, Currency!A:B, 2, FALSE)</f>
        <v>INR</v>
      </c>
      <c r="AJ217">
        <f t="shared" si="63"/>
        <v>5</v>
      </c>
      <c r="AK217">
        <f t="shared" si="64"/>
        <v>9</v>
      </c>
      <c r="AL217" t="str">
        <f t="shared" si="65"/>
        <v>September</v>
      </c>
      <c r="AM217">
        <f t="shared" si="68"/>
        <v>2023</v>
      </c>
      <c r="AN217" t="str">
        <f t="shared" si="66"/>
        <v>0Sri Venkateshwara Enterprises</v>
      </c>
      <c r="AO217">
        <f>IF(COUNTIF($AN$2:AN217, AN217)=1, 1, 0)</f>
        <v>0</v>
      </c>
      <c r="AP217" t="str">
        <f t="shared" si="69"/>
        <v>&gt;3</v>
      </c>
      <c r="AQ217" t="str">
        <f t="shared" si="70"/>
        <v>&gt;3</v>
      </c>
      <c r="AR217" t="str">
        <f t="shared" si="71"/>
        <v>&gt;3</v>
      </c>
    </row>
    <row r="218" spans="1:44" x14ac:dyDescent="0.3">
      <c r="A218" t="s">
        <v>33</v>
      </c>
      <c r="B218" t="s">
        <v>128</v>
      </c>
      <c r="C218" t="s">
        <v>181</v>
      </c>
      <c r="D218">
        <v>4518</v>
      </c>
      <c r="E218">
        <v>23120124</v>
      </c>
      <c r="F218" t="s">
        <v>129</v>
      </c>
      <c r="G218" t="s">
        <v>431</v>
      </c>
      <c r="H218">
        <v>20000</v>
      </c>
      <c r="I218">
        <v>8.4</v>
      </c>
      <c r="J218">
        <v>168000</v>
      </c>
      <c r="K218" s="7" t="str">
        <f>IFERROR(IF(B218&lt;&gt;"", TEXT(VLOOKUP(B218, 'Expected Date'!A:B, 2, FALSE) + DATE(RIGHT(C218,2),MID(C218,4,2),LEFT(C218,2)), "dd/mm/yy"), ""), "")</f>
        <v>01/10/23</v>
      </c>
      <c r="L218" t="s">
        <v>38</v>
      </c>
      <c r="M218" t="s">
        <v>48</v>
      </c>
      <c r="N218" t="s">
        <v>132</v>
      </c>
      <c r="O218" t="s">
        <v>194</v>
      </c>
      <c r="P218">
        <v>23191184</v>
      </c>
      <c r="Q218" t="s">
        <v>129</v>
      </c>
      <c r="R218" t="s">
        <v>130</v>
      </c>
      <c r="S218">
        <v>20000</v>
      </c>
      <c r="T218">
        <v>8.4</v>
      </c>
      <c r="U218">
        <v>168000</v>
      </c>
      <c r="V218" t="str">
        <f t="shared" si="67"/>
        <v>Accepted</v>
      </c>
      <c r="W218">
        <f>IFERROR(VLOOKUP(N218, Payment_Terms!A:B, 2, FALSE), "Payment term not found!")</f>
        <v>0</v>
      </c>
      <c r="X218" t="str">
        <f>IFERROR(VLOOKUP(R218, Item_Category!A:B, 2, FALSE), "Uncategorized")</f>
        <v>Lime</v>
      </c>
      <c r="Y218" s="5">
        <f t="shared" si="54"/>
        <v>0</v>
      </c>
      <c r="Z218">
        <f t="shared" si="55"/>
        <v>5</v>
      </c>
      <c r="AA218">
        <f t="shared" si="56"/>
        <v>-5</v>
      </c>
      <c r="AB218">
        <f t="shared" si="57"/>
        <v>5</v>
      </c>
      <c r="AC218" s="10">
        <f t="shared" si="58"/>
        <v>5</v>
      </c>
      <c r="AD218" s="5">
        <f t="shared" si="59"/>
        <v>1</v>
      </c>
      <c r="AE218" s="5">
        <f t="shared" si="60"/>
        <v>1</v>
      </c>
      <c r="AF218" s="5">
        <f t="shared" si="61"/>
        <v>0</v>
      </c>
      <c r="AG218">
        <f>IF(B218&lt;&gt;"", COUNTIFS($B$2:B218, B218), "")</f>
        <v>2</v>
      </c>
      <c r="AH218">
        <f t="shared" si="62"/>
        <v>5</v>
      </c>
      <c r="AI218" t="str">
        <f>VLOOKUP(B218, Currency!A:B, 2, FALSE)</f>
        <v>INR</v>
      </c>
      <c r="AJ218">
        <f t="shared" si="63"/>
        <v>5</v>
      </c>
      <c r="AK218">
        <f t="shared" si="64"/>
        <v>9</v>
      </c>
      <c r="AL218" t="str">
        <f t="shared" si="65"/>
        <v>September</v>
      </c>
      <c r="AM218">
        <f t="shared" si="68"/>
        <v>2023</v>
      </c>
      <c r="AN218" t="str">
        <f t="shared" si="66"/>
        <v>0Shree Chemicals</v>
      </c>
      <c r="AO218">
        <f>IF(COUNTIF($AN$2:AN218, AN218)=1, 1, 0)</f>
        <v>0</v>
      </c>
      <c r="AP218" t="str">
        <f t="shared" si="69"/>
        <v>&gt;3</v>
      </c>
      <c r="AQ218" t="str">
        <f t="shared" si="70"/>
        <v>&gt;3</v>
      </c>
      <c r="AR218" t="str">
        <f t="shared" si="71"/>
        <v>&gt;3</v>
      </c>
    </row>
    <row r="219" spans="1:44" x14ac:dyDescent="0.3">
      <c r="A219" t="str">
        <f>A201</f>
        <v>Woodpulp</v>
      </c>
      <c r="B219" t="s">
        <v>96</v>
      </c>
      <c r="C219" t="s">
        <v>71</v>
      </c>
      <c r="D219">
        <v>2695</v>
      </c>
      <c r="E219">
        <v>23120062</v>
      </c>
      <c r="F219" t="s">
        <v>98</v>
      </c>
      <c r="G219" t="s">
        <v>99</v>
      </c>
      <c r="H219">
        <v>78</v>
      </c>
      <c r="I219">
        <v>670</v>
      </c>
      <c r="J219">
        <v>4269642</v>
      </c>
      <c r="K219" s="7" t="str">
        <f>IFERROR(IF(B219&lt;&gt;"", TEXT(VLOOKUP(B219, 'Expected Date'!A:B, 2, FALSE) + DATE(RIGHT(C219,2),MID(C219,4,2),LEFT(C219,2)), "dd/mm/yy"), ""), "")</f>
        <v>21/08/23</v>
      </c>
      <c r="L219" t="s">
        <v>38</v>
      </c>
      <c r="M219" t="str">
        <f>M149</f>
        <v>MT</v>
      </c>
      <c r="N219" t="s">
        <v>102</v>
      </c>
      <c r="O219" t="s">
        <v>189</v>
      </c>
      <c r="P219">
        <v>23191112</v>
      </c>
      <c r="Q219" t="s">
        <v>98</v>
      </c>
      <c r="R219" t="s">
        <v>99</v>
      </c>
      <c r="S219">
        <v>79.174999999999997</v>
      </c>
      <c r="T219">
        <v>670</v>
      </c>
      <c r="U219">
        <v>4360483.95</v>
      </c>
      <c r="V219" t="str">
        <f t="shared" si="67"/>
        <v>Accepted</v>
      </c>
      <c r="W219">
        <f>IFERROR(VLOOKUP(N219, Payment_Terms!A:B, 2, FALSE), "Payment term not found!")</f>
        <v>60</v>
      </c>
      <c r="X219" t="str">
        <f>IFERROR(VLOOKUP(R219, Item_Category!A:B, 2, FALSE), "Uncategorized")</f>
        <v>Wood pulp</v>
      </c>
      <c r="Y219" s="5">
        <f t="shared" si="54"/>
        <v>0</v>
      </c>
      <c r="Z219">
        <f t="shared" si="55"/>
        <v>5</v>
      </c>
      <c r="AA219">
        <f t="shared" si="56"/>
        <v>27</v>
      </c>
      <c r="AB219">
        <f t="shared" si="57"/>
        <v>1</v>
      </c>
      <c r="AC219" s="10">
        <f t="shared" si="58"/>
        <v>87</v>
      </c>
      <c r="AD219" s="5">
        <f t="shared" si="59"/>
        <v>1</v>
      </c>
      <c r="AE219" s="5">
        <f t="shared" si="60"/>
        <v>1</v>
      </c>
      <c r="AF219" s="5">
        <f t="shared" si="61"/>
        <v>0</v>
      </c>
      <c r="AG219">
        <f>IF(B219&lt;&gt;"", COUNTIFS($B$2:B219, B219), "")</f>
        <v>5</v>
      </c>
      <c r="AH219">
        <f t="shared" si="62"/>
        <v>5</v>
      </c>
      <c r="AI219" t="str">
        <f>VLOOKUP(B219, Currency!A:B, 2, FALSE)</f>
        <v>USD</v>
      </c>
      <c r="AJ219">
        <f t="shared" si="63"/>
        <v>4</v>
      </c>
      <c r="AK219">
        <f t="shared" si="64"/>
        <v>6</v>
      </c>
      <c r="AL219" t="str">
        <f t="shared" si="65"/>
        <v>June</v>
      </c>
      <c r="AM219">
        <f t="shared" si="68"/>
        <v>2023</v>
      </c>
      <c r="AN219" t="str">
        <f t="shared" si="66"/>
        <v>60G P Cellulose GMBH</v>
      </c>
      <c r="AO219">
        <f>IF(COUNTIF($AN$2:AN219, AN219)=1, 1, 0)</f>
        <v>0</v>
      </c>
      <c r="AP219" t="str">
        <f t="shared" si="69"/>
        <v>&gt;3</v>
      </c>
      <c r="AQ219" t="str">
        <f t="shared" si="70"/>
        <v>&gt;3</v>
      </c>
      <c r="AR219" t="str">
        <f t="shared" si="71"/>
        <v>&lt;=3</v>
      </c>
    </row>
    <row r="220" spans="1:44" x14ac:dyDescent="0.3">
      <c r="A220" t="s">
        <v>33</v>
      </c>
      <c r="B220" t="s">
        <v>51</v>
      </c>
      <c r="C220" t="s">
        <v>35</v>
      </c>
      <c r="D220">
        <v>1549</v>
      </c>
      <c r="E220">
        <v>23120010</v>
      </c>
      <c r="F220" t="s">
        <v>214</v>
      </c>
      <c r="G220" t="s">
        <v>215</v>
      </c>
      <c r="H220">
        <v>23.95</v>
      </c>
      <c r="I220">
        <v>6442.3</v>
      </c>
      <c r="J220">
        <v>154293.09</v>
      </c>
      <c r="K220" s="7" t="str">
        <f>IFERROR(IF(B220&lt;&gt;"", TEXT(VLOOKUP(B220, 'Expected Date'!A:B, 2, FALSE) + DATE(RIGHT(C220,2),MID(C220,4,2),LEFT(C220,2)), "dd/mm/yy"), ""), "")</f>
        <v>17/05/23</v>
      </c>
      <c r="L220" t="s">
        <v>38</v>
      </c>
      <c r="M220" t="s">
        <v>48</v>
      </c>
      <c r="N220" t="s">
        <v>55</v>
      </c>
      <c r="O220" t="s">
        <v>41</v>
      </c>
      <c r="P220">
        <v>23190127</v>
      </c>
      <c r="Q220" t="s">
        <v>214</v>
      </c>
      <c r="R220" t="s">
        <v>215</v>
      </c>
      <c r="S220">
        <v>23.95</v>
      </c>
      <c r="T220">
        <v>6442.3</v>
      </c>
      <c r="U220">
        <v>154293.09</v>
      </c>
      <c r="V220" t="str">
        <f t="shared" si="67"/>
        <v>Accepted</v>
      </c>
      <c r="W220">
        <f>IFERROR(VLOOKUP(N220, Payment_Terms!A:B, 2, FALSE), "Payment term not found!")</f>
        <v>0</v>
      </c>
      <c r="X220" t="str">
        <f>IFERROR(VLOOKUP(R220, Item_Category!A:B, 2, FALSE), "Uncategorized")</f>
        <v>Coal materials</v>
      </c>
      <c r="Y220" s="5">
        <f t="shared" si="54"/>
        <v>0</v>
      </c>
      <c r="Z220">
        <f t="shared" si="55"/>
        <v>5</v>
      </c>
      <c r="AA220">
        <f t="shared" si="56"/>
        <v>-18</v>
      </c>
      <c r="AB220">
        <f t="shared" si="57"/>
        <v>5</v>
      </c>
      <c r="AC220" s="10">
        <f t="shared" si="58"/>
        <v>2</v>
      </c>
      <c r="AD220" s="5">
        <f t="shared" si="59"/>
        <v>1</v>
      </c>
      <c r="AE220" s="5">
        <f t="shared" si="60"/>
        <v>1</v>
      </c>
      <c r="AF220" s="5">
        <f t="shared" si="61"/>
        <v>0</v>
      </c>
      <c r="AG220">
        <f>IF(B220&lt;&gt;"", COUNTIFS($B$2:B220, B220), "")</f>
        <v>64</v>
      </c>
      <c r="AH220">
        <f t="shared" si="62"/>
        <v>5</v>
      </c>
      <c r="AI220" t="str">
        <f>VLOOKUP(B220, Currency!A:B, 2, FALSE)</f>
        <v>INR</v>
      </c>
      <c r="AJ220">
        <f t="shared" si="63"/>
        <v>5</v>
      </c>
      <c r="AK220">
        <f t="shared" si="64"/>
        <v>4</v>
      </c>
      <c r="AL220" t="str">
        <f t="shared" si="65"/>
        <v>April</v>
      </c>
      <c r="AM220">
        <f t="shared" si="68"/>
        <v>2023</v>
      </c>
      <c r="AN220" t="str">
        <f t="shared" si="66"/>
        <v>0The Singareni Collieries Company Ltd</v>
      </c>
      <c r="AO220">
        <f>IF(COUNTIF($AN$2:AN220, AN220)=1, 1, 0)</f>
        <v>0</v>
      </c>
      <c r="AP220" t="str">
        <f t="shared" si="69"/>
        <v>&gt;3</v>
      </c>
      <c r="AQ220" t="str">
        <f t="shared" si="70"/>
        <v>&gt;3</v>
      </c>
      <c r="AR220" t="str">
        <f t="shared" si="71"/>
        <v>&gt;3</v>
      </c>
    </row>
    <row r="221" spans="1:44" x14ac:dyDescent="0.3">
      <c r="A221" t="s">
        <v>33</v>
      </c>
      <c r="B221" t="s">
        <v>73</v>
      </c>
      <c r="C221" t="s">
        <v>108</v>
      </c>
      <c r="D221">
        <v>1808</v>
      </c>
      <c r="E221">
        <v>23120022</v>
      </c>
      <c r="F221" t="s">
        <v>75</v>
      </c>
      <c r="G221" t="s">
        <v>76</v>
      </c>
      <c r="H221">
        <v>1600</v>
      </c>
      <c r="I221">
        <v>900</v>
      </c>
      <c r="J221">
        <v>1440000</v>
      </c>
      <c r="K221" s="7" t="str">
        <f>IFERROR(IF(B221&lt;&gt;"", TEXT(VLOOKUP(B221, 'Expected Date'!A:B, 2, FALSE) + DATE(RIGHT(C221,2),MID(C221,4,2),LEFT(C221,2)), "dd/mm/yy"), ""), "")</f>
        <v>30/05/23</v>
      </c>
      <c r="L221" t="s">
        <v>38</v>
      </c>
      <c r="M221" t="s">
        <v>39</v>
      </c>
      <c r="N221" t="s">
        <v>77</v>
      </c>
      <c r="O221" t="s">
        <v>198</v>
      </c>
      <c r="P221">
        <v>23190748</v>
      </c>
      <c r="Q221" t="s">
        <v>75</v>
      </c>
      <c r="R221" t="s">
        <v>76</v>
      </c>
      <c r="S221">
        <v>400</v>
      </c>
      <c r="T221">
        <v>900</v>
      </c>
      <c r="U221">
        <v>360000</v>
      </c>
      <c r="V221" t="str">
        <f t="shared" si="67"/>
        <v>Accepted</v>
      </c>
      <c r="W221">
        <f>IFERROR(VLOOKUP(N221, Payment_Terms!A:B, 2, FALSE), "Payment term not found!")</f>
        <v>0</v>
      </c>
      <c r="X221" t="str">
        <f>IFERROR(VLOOKUP(R221, Item_Category!A:B, 2, FALSE), "Uncategorized")</f>
        <v>Pallets</v>
      </c>
      <c r="Y221" s="5">
        <f t="shared" si="54"/>
        <v>0</v>
      </c>
      <c r="Z221">
        <f t="shared" si="55"/>
        <v>5</v>
      </c>
      <c r="AA221">
        <f t="shared" si="56"/>
        <v>62</v>
      </c>
      <c r="AB221">
        <f t="shared" si="57"/>
        <v>1</v>
      </c>
      <c r="AC221" s="10">
        <f t="shared" si="58"/>
        <v>82</v>
      </c>
      <c r="AD221" s="5">
        <f t="shared" si="59"/>
        <v>1</v>
      </c>
      <c r="AE221" s="5">
        <f t="shared" si="60"/>
        <v>1</v>
      </c>
      <c r="AF221" s="5">
        <f t="shared" si="61"/>
        <v>0</v>
      </c>
      <c r="AG221">
        <f>IF(B221&lt;&gt;"", COUNTIFS($B$2:B221, B221), "")</f>
        <v>14</v>
      </c>
      <c r="AH221">
        <f t="shared" si="62"/>
        <v>5</v>
      </c>
      <c r="AI221" t="str">
        <f>VLOOKUP(B221, Currency!A:B, 2, FALSE)</f>
        <v>INR</v>
      </c>
      <c r="AJ221">
        <f t="shared" si="63"/>
        <v>4</v>
      </c>
      <c r="AK221">
        <f t="shared" si="64"/>
        <v>5</v>
      </c>
      <c r="AL221" t="str">
        <f t="shared" si="65"/>
        <v>May</v>
      </c>
      <c r="AM221">
        <f t="shared" si="68"/>
        <v>2023</v>
      </c>
      <c r="AN221" t="str">
        <f t="shared" si="66"/>
        <v>0Nilkamal Limited</v>
      </c>
      <c r="AO221">
        <f>IF(COUNTIF($AN$2:AN221, AN221)=1, 1, 0)</f>
        <v>0</v>
      </c>
      <c r="AP221" t="str">
        <f t="shared" si="69"/>
        <v>&gt;3</v>
      </c>
      <c r="AQ221" t="str">
        <f t="shared" si="70"/>
        <v>&gt;3</v>
      </c>
      <c r="AR221" t="str">
        <f t="shared" si="71"/>
        <v>&lt;=3</v>
      </c>
    </row>
    <row r="222" spans="1:44" x14ac:dyDescent="0.3">
      <c r="A222" t="s">
        <v>33</v>
      </c>
      <c r="B222" t="s">
        <v>128</v>
      </c>
      <c r="C222" t="s">
        <v>225</v>
      </c>
      <c r="D222">
        <v>1840</v>
      </c>
      <c r="E222">
        <v>23120025</v>
      </c>
      <c r="F222" t="s">
        <v>129</v>
      </c>
      <c r="G222" t="s">
        <v>431</v>
      </c>
      <c r="H222">
        <v>20000</v>
      </c>
      <c r="I222">
        <v>8.4</v>
      </c>
      <c r="J222">
        <v>168000</v>
      </c>
      <c r="K222" s="7" t="str">
        <f>IFERROR(IF(B222&lt;&gt;"", TEXT(VLOOKUP(B222, 'Expected Date'!A:B, 2, FALSE) + DATE(RIGHT(C222,2),MID(C222,4,2),LEFT(C222,2)), "dd/mm/yy"), ""), "")</f>
        <v>21/05/23</v>
      </c>
      <c r="L222" t="s">
        <v>38</v>
      </c>
      <c r="M222" t="s">
        <v>48</v>
      </c>
      <c r="N222" t="s">
        <v>132</v>
      </c>
      <c r="O222" t="s">
        <v>134</v>
      </c>
      <c r="P222">
        <v>23190408</v>
      </c>
      <c r="Q222" t="s">
        <v>129</v>
      </c>
      <c r="R222" t="s">
        <v>130</v>
      </c>
      <c r="S222">
        <v>20000</v>
      </c>
      <c r="T222">
        <v>8.4</v>
      </c>
      <c r="U222">
        <v>168000</v>
      </c>
      <c r="V222" t="str">
        <f t="shared" si="67"/>
        <v>Accepted</v>
      </c>
      <c r="W222">
        <f>IFERROR(VLOOKUP(N222, Payment_Terms!A:B, 2, FALSE), "Payment term not found!")</f>
        <v>0</v>
      </c>
      <c r="X222" t="str">
        <f>IFERROR(VLOOKUP(R222, Item_Category!A:B, 2, FALSE), "Uncategorized")</f>
        <v>Lime</v>
      </c>
      <c r="Y222" s="5">
        <f t="shared" si="54"/>
        <v>0</v>
      </c>
      <c r="Z222">
        <f t="shared" si="55"/>
        <v>5</v>
      </c>
      <c r="AA222">
        <f t="shared" si="56"/>
        <v>18</v>
      </c>
      <c r="AB222">
        <f t="shared" si="57"/>
        <v>1</v>
      </c>
      <c r="AC222" s="10">
        <f t="shared" si="58"/>
        <v>28</v>
      </c>
      <c r="AD222" s="5">
        <f t="shared" si="59"/>
        <v>1</v>
      </c>
      <c r="AE222" s="5">
        <f t="shared" si="60"/>
        <v>1</v>
      </c>
      <c r="AF222" s="5">
        <f t="shared" si="61"/>
        <v>0</v>
      </c>
      <c r="AG222">
        <f>IF(B222&lt;&gt;"", COUNTIFS($B$2:B222, B222), "")</f>
        <v>3</v>
      </c>
      <c r="AH222">
        <f t="shared" si="62"/>
        <v>5</v>
      </c>
      <c r="AI222" t="str">
        <f>VLOOKUP(B222, Currency!A:B, 2, FALSE)</f>
        <v>INR</v>
      </c>
      <c r="AJ222">
        <f t="shared" si="63"/>
        <v>4</v>
      </c>
      <c r="AK222">
        <f t="shared" si="64"/>
        <v>5</v>
      </c>
      <c r="AL222" t="str">
        <f t="shared" si="65"/>
        <v>May</v>
      </c>
      <c r="AM222">
        <f t="shared" si="68"/>
        <v>2023</v>
      </c>
      <c r="AN222" t="str">
        <f t="shared" si="66"/>
        <v>0Shree Chemicals</v>
      </c>
      <c r="AO222">
        <f>IF(COUNTIF($AN$2:AN222, AN222)=1, 1, 0)</f>
        <v>0</v>
      </c>
      <c r="AP222" t="str">
        <f t="shared" si="69"/>
        <v>&gt;3</v>
      </c>
      <c r="AQ222" t="str">
        <f t="shared" si="70"/>
        <v>&gt;3</v>
      </c>
      <c r="AR222" t="str">
        <f t="shared" si="71"/>
        <v>&lt;=3</v>
      </c>
    </row>
    <row r="223" spans="1:44" x14ac:dyDescent="0.3">
      <c r="A223" t="s">
        <v>33</v>
      </c>
      <c r="B223" t="s">
        <v>150</v>
      </c>
      <c r="C223" t="s">
        <v>89</v>
      </c>
      <c r="D223">
        <v>2865</v>
      </c>
      <c r="E223">
        <v>23120081</v>
      </c>
      <c r="F223" t="s">
        <v>196</v>
      </c>
      <c r="G223" t="s">
        <v>197</v>
      </c>
      <c r="H223">
        <v>100</v>
      </c>
      <c r="I223">
        <v>5600</v>
      </c>
      <c r="J223">
        <v>560000</v>
      </c>
      <c r="K223" s="7" t="str">
        <f>IFERROR(IF(B223&lt;&gt;"", TEXT(VLOOKUP(B223, 'Expected Date'!A:B, 2, FALSE) + DATE(RIGHT(C223,2),MID(C223,4,2),LEFT(C223,2)), "dd/mm/yy"), ""), "")</f>
        <v>15/07/23</v>
      </c>
      <c r="L223" t="s">
        <v>68</v>
      </c>
      <c r="M223" t="s">
        <v>48</v>
      </c>
      <c r="N223" t="s">
        <v>183</v>
      </c>
      <c r="O223" t="s">
        <v>50</v>
      </c>
      <c r="P223">
        <v>23190614</v>
      </c>
      <c r="Q223" t="s">
        <v>196</v>
      </c>
      <c r="R223" t="s">
        <v>197</v>
      </c>
      <c r="S223">
        <v>20</v>
      </c>
      <c r="T223">
        <v>5600</v>
      </c>
      <c r="U223">
        <v>112000</v>
      </c>
      <c r="V223" t="str">
        <f t="shared" si="67"/>
        <v>Accepted</v>
      </c>
      <c r="W223">
        <f>IFERROR(VLOOKUP(N223, Payment_Terms!A:B, 2, FALSE), "Payment term not found!")</f>
        <v>30</v>
      </c>
      <c r="X223" t="str">
        <f>IFERROR(VLOOKUP(R223, Item_Category!A:B, 2, FALSE), "Uncategorized")</f>
        <v>Coal materials</v>
      </c>
      <c r="Y223" s="5">
        <f t="shared" si="54"/>
        <v>0.54689999999999994</v>
      </c>
      <c r="Z223">
        <f t="shared" si="55"/>
        <v>1</v>
      </c>
      <c r="AA223">
        <f t="shared" si="56"/>
        <v>-4</v>
      </c>
      <c r="AB223">
        <f t="shared" si="57"/>
        <v>5</v>
      </c>
      <c r="AC223" s="10">
        <f t="shared" si="58"/>
        <v>6</v>
      </c>
      <c r="AD223" s="5">
        <f t="shared" si="59"/>
        <v>1</v>
      </c>
      <c r="AE223" s="5">
        <f t="shared" si="60"/>
        <v>1</v>
      </c>
      <c r="AF223" s="5">
        <f t="shared" si="61"/>
        <v>0</v>
      </c>
      <c r="AG223">
        <f>IF(B223&lt;&gt;"", COUNTIFS($B$2:B223, B223), "")</f>
        <v>10</v>
      </c>
      <c r="AH223">
        <f t="shared" si="62"/>
        <v>5</v>
      </c>
      <c r="AI223" t="str">
        <f>VLOOKUP(B223, Currency!A:B, 2, FALSE)</f>
        <v>INR</v>
      </c>
      <c r="AJ223">
        <f t="shared" si="63"/>
        <v>4</v>
      </c>
      <c r="AK223">
        <f t="shared" si="64"/>
        <v>7</v>
      </c>
      <c r="AL223" t="str">
        <f t="shared" si="65"/>
        <v>July</v>
      </c>
      <c r="AM223">
        <f t="shared" si="68"/>
        <v>2023</v>
      </c>
      <c r="AN223" t="str">
        <f t="shared" si="66"/>
        <v>30Venkatadurga Enterprises</v>
      </c>
      <c r="AO223">
        <f>IF(COUNTIF($AN$2:AN223, AN223)=1, 1, 0)</f>
        <v>0</v>
      </c>
      <c r="AP223" t="str">
        <f t="shared" si="69"/>
        <v>&gt;3</v>
      </c>
      <c r="AQ223" t="str">
        <f t="shared" si="70"/>
        <v>&lt;=3</v>
      </c>
      <c r="AR223" t="str">
        <f t="shared" si="71"/>
        <v>&gt;3</v>
      </c>
    </row>
    <row r="224" spans="1:44" x14ac:dyDescent="0.3">
      <c r="A224" t="s">
        <v>111</v>
      </c>
      <c r="B224" t="s">
        <v>296</v>
      </c>
      <c r="C224" t="s">
        <v>88</v>
      </c>
      <c r="D224">
        <v>2817</v>
      </c>
      <c r="E224">
        <v>23120078</v>
      </c>
      <c r="F224" t="s">
        <v>310</v>
      </c>
      <c r="G224" t="s">
        <v>311</v>
      </c>
      <c r="H224">
        <v>2000</v>
      </c>
      <c r="I224">
        <v>413</v>
      </c>
      <c r="J224">
        <v>826000</v>
      </c>
      <c r="K224" s="7" t="str">
        <f>IFERROR(IF(B224&lt;&gt;"", TEXT(VLOOKUP(B224, 'Expected Date'!A:B, 2, FALSE) + DATE(RIGHT(C224,2),MID(C224,4,2),LEFT(C224,2)), "dd/mm/yy"), ""), "")</f>
        <v>19/07/23</v>
      </c>
      <c r="L224" t="s">
        <v>38</v>
      </c>
      <c r="M224" t="s">
        <v>48</v>
      </c>
      <c r="N224" t="s">
        <v>299</v>
      </c>
      <c r="O224" t="s">
        <v>100</v>
      </c>
      <c r="P224">
        <v>23190747</v>
      </c>
      <c r="Q224" t="s">
        <v>310</v>
      </c>
      <c r="R224" t="s">
        <v>311</v>
      </c>
      <c r="S224">
        <v>2000</v>
      </c>
      <c r="T224">
        <v>413</v>
      </c>
      <c r="U224">
        <v>826000</v>
      </c>
      <c r="V224" t="str">
        <f t="shared" si="67"/>
        <v>Accepted</v>
      </c>
      <c r="W224">
        <f>IFERROR(VLOOKUP(N224, Payment_Terms!A:B, 2, FALSE), "Payment term not found!")</f>
        <v>60</v>
      </c>
      <c r="X224" t="str">
        <f>IFERROR(VLOOKUP(R224, Item_Category!A:B, 2, FALSE), "Uncategorized")</f>
        <v>CROSSCARMELLOSE SODIUM</v>
      </c>
      <c r="Y224" s="5">
        <f t="shared" si="54"/>
        <v>0</v>
      </c>
      <c r="Z224">
        <f t="shared" si="55"/>
        <v>5</v>
      </c>
      <c r="AA224">
        <f t="shared" si="56"/>
        <v>11</v>
      </c>
      <c r="AB224">
        <f t="shared" si="57"/>
        <v>1</v>
      </c>
      <c r="AC224" s="10">
        <f t="shared" si="58"/>
        <v>26</v>
      </c>
      <c r="AD224" s="5">
        <f t="shared" si="59"/>
        <v>1</v>
      </c>
      <c r="AE224" s="5">
        <f t="shared" si="60"/>
        <v>1</v>
      </c>
      <c r="AF224" s="5">
        <f t="shared" si="61"/>
        <v>0</v>
      </c>
      <c r="AG224">
        <f>IF(B224&lt;&gt;"", COUNTIFS($B$2:B224, B224), "")</f>
        <v>2</v>
      </c>
      <c r="AH224">
        <f t="shared" si="62"/>
        <v>5</v>
      </c>
      <c r="AI224" t="str">
        <f>VLOOKUP(B224, Currency!A:B, 2, FALSE)</f>
        <v>INR</v>
      </c>
      <c r="AJ224">
        <f t="shared" si="63"/>
        <v>4</v>
      </c>
      <c r="AK224">
        <f t="shared" si="64"/>
        <v>7</v>
      </c>
      <c r="AL224" t="str">
        <f t="shared" si="65"/>
        <v>July</v>
      </c>
      <c r="AM224">
        <f t="shared" si="68"/>
        <v>2023</v>
      </c>
      <c r="AN224" t="str">
        <f t="shared" si="66"/>
        <v>60Ascot Pharmachem Pvt Ltd</v>
      </c>
      <c r="AO224">
        <f>IF(COUNTIF($AN$2:AN224, AN224)=1, 1, 0)</f>
        <v>0</v>
      </c>
      <c r="AP224" t="str">
        <f t="shared" si="69"/>
        <v>&gt;3</v>
      </c>
      <c r="AQ224" t="str">
        <f t="shared" si="70"/>
        <v>&gt;3</v>
      </c>
      <c r="AR224" t="str">
        <f t="shared" si="71"/>
        <v>&lt;=3</v>
      </c>
    </row>
    <row r="225" spans="1:44" x14ac:dyDescent="0.3">
      <c r="A225" t="s">
        <v>33</v>
      </c>
      <c r="B225" t="s">
        <v>44</v>
      </c>
      <c r="C225" t="s">
        <v>45</v>
      </c>
      <c r="D225">
        <v>2483</v>
      </c>
      <c r="E225">
        <v>23120047</v>
      </c>
      <c r="F225" t="s">
        <v>46</v>
      </c>
      <c r="G225" t="s">
        <v>47</v>
      </c>
      <c r="H225">
        <v>600</v>
      </c>
      <c r="I225">
        <v>70</v>
      </c>
      <c r="J225">
        <v>42000</v>
      </c>
      <c r="K225" s="7" t="str">
        <f>IFERROR(IF(B225&lt;&gt;"", TEXT(VLOOKUP(B225, 'Expected Date'!A:B, 2, FALSE) + DATE(RIGHT(C225,2),MID(C225,4,2),LEFT(C225,2)), "dd/mm/yy"), ""), "")</f>
        <v>22/06/23</v>
      </c>
      <c r="L225" t="s">
        <v>38</v>
      </c>
      <c r="M225" t="s">
        <v>48</v>
      </c>
      <c r="N225" t="s">
        <v>49</v>
      </c>
      <c r="O225" t="s">
        <v>198</v>
      </c>
      <c r="P225">
        <v>23190749</v>
      </c>
      <c r="Q225" t="s">
        <v>46</v>
      </c>
      <c r="R225" t="s">
        <v>47</v>
      </c>
      <c r="S225">
        <v>300</v>
      </c>
      <c r="T225">
        <v>70</v>
      </c>
      <c r="U225">
        <v>21000</v>
      </c>
      <c r="V225" t="str">
        <f t="shared" si="67"/>
        <v>Accepted</v>
      </c>
      <c r="W225">
        <f>IFERROR(VLOOKUP(N225, Payment_Terms!A:B, 2, FALSE), "Payment term not found!")</f>
        <v>30</v>
      </c>
      <c r="X225" t="str">
        <f>IFERROR(VLOOKUP(R225, Item_Category!A:B, 2, FALSE), "Uncategorized")</f>
        <v>Gas</v>
      </c>
      <c r="Y225" s="5">
        <f t="shared" si="54"/>
        <v>0</v>
      </c>
      <c r="Z225">
        <f t="shared" si="55"/>
        <v>5</v>
      </c>
      <c r="AA225">
        <f t="shared" si="56"/>
        <v>39</v>
      </c>
      <c r="AB225">
        <f t="shared" si="57"/>
        <v>1</v>
      </c>
      <c r="AC225" s="10">
        <f t="shared" si="58"/>
        <v>44</v>
      </c>
      <c r="AD225" s="5">
        <f t="shared" si="59"/>
        <v>1</v>
      </c>
      <c r="AE225" s="5">
        <f t="shared" si="60"/>
        <v>1</v>
      </c>
      <c r="AF225" s="5">
        <f t="shared" si="61"/>
        <v>0</v>
      </c>
      <c r="AG225">
        <f>IF(B225&lt;&gt;"", COUNTIFS($B$2:B225, B225), "")</f>
        <v>9</v>
      </c>
      <c r="AH225">
        <f t="shared" si="62"/>
        <v>5</v>
      </c>
      <c r="AI225" t="str">
        <f>VLOOKUP(B225, Currency!A:B, 2, FALSE)</f>
        <v>INR</v>
      </c>
      <c r="AJ225">
        <f t="shared" si="63"/>
        <v>4</v>
      </c>
      <c r="AK225">
        <f t="shared" si="64"/>
        <v>6</v>
      </c>
      <c r="AL225" t="str">
        <f t="shared" si="65"/>
        <v>June</v>
      </c>
      <c r="AM225">
        <f t="shared" si="68"/>
        <v>2023</v>
      </c>
      <c r="AN225" t="str">
        <f t="shared" si="66"/>
        <v>30Surat Ammonia &amp; Chemical Co.</v>
      </c>
      <c r="AO225">
        <f>IF(COUNTIF($AN$2:AN225, AN225)=1, 1, 0)</f>
        <v>0</v>
      </c>
      <c r="AP225" t="str">
        <f t="shared" si="69"/>
        <v>&gt;3</v>
      </c>
      <c r="AQ225" t="str">
        <f t="shared" si="70"/>
        <v>&gt;3</v>
      </c>
      <c r="AR225" t="str">
        <f t="shared" si="71"/>
        <v>&lt;=3</v>
      </c>
    </row>
    <row r="226" spans="1:44" x14ac:dyDescent="0.3">
      <c r="A226" t="str">
        <f>A202</f>
        <v>Woodpulp</v>
      </c>
      <c r="B226" t="s">
        <v>140</v>
      </c>
      <c r="C226" t="s">
        <v>249</v>
      </c>
      <c r="D226">
        <v>2554</v>
      </c>
      <c r="E226">
        <v>23120053</v>
      </c>
      <c r="F226" t="s">
        <v>142</v>
      </c>
      <c r="G226" t="s">
        <v>360</v>
      </c>
      <c r="H226">
        <v>83</v>
      </c>
      <c r="I226">
        <v>830</v>
      </c>
      <c r="J226">
        <v>5628313</v>
      </c>
      <c r="K226" s="7" t="str">
        <f>IFERROR(IF(B226&lt;&gt;"", TEXT(VLOOKUP(B226, 'Expected Date'!A:B, 2, FALSE) + DATE(RIGHT(C226,2),MID(C226,4,2),LEFT(C226,2)), "dd/mm/yy"), ""), "")</f>
        <v>05/08/23</v>
      </c>
      <c r="L226" t="s">
        <v>68</v>
      </c>
      <c r="M226" t="str">
        <f>M149</f>
        <v>MT</v>
      </c>
      <c r="N226" t="s">
        <v>190</v>
      </c>
      <c r="O226" t="s">
        <v>294</v>
      </c>
      <c r="P226">
        <v>23190983</v>
      </c>
      <c r="Q226" t="s">
        <v>142</v>
      </c>
      <c r="R226" t="s">
        <v>143</v>
      </c>
      <c r="S226">
        <v>79.585999999999999</v>
      </c>
      <c r="T226">
        <v>830</v>
      </c>
      <c r="U226">
        <v>5429834.4400000004</v>
      </c>
      <c r="V226" t="str">
        <f t="shared" si="67"/>
        <v>Accepted</v>
      </c>
      <c r="W226">
        <f>IFERROR(VLOOKUP(N226, Payment_Terms!A:B, 2, FALSE), "Payment term not found!")</f>
        <v>0</v>
      </c>
      <c r="X226" t="str">
        <f>IFERROR(VLOOKUP(R226, Item_Category!A:B, 2, FALSE), "Uncategorized")</f>
        <v>Wood pulp</v>
      </c>
      <c r="Y226" s="5">
        <f t="shared" si="54"/>
        <v>4.1132530120481944E-2</v>
      </c>
      <c r="Z226">
        <f t="shared" si="55"/>
        <v>3</v>
      </c>
      <c r="AA226">
        <f t="shared" si="56"/>
        <v>18</v>
      </c>
      <c r="AB226">
        <f t="shared" si="57"/>
        <v>1</v>
      </c>
      <c r="AC226" s="10">
        <f t="shared" si="58"/>
        <v>63</v>
      </c>
      <c r="AD226" s="5">
        <f t="shared" si="59"/>
        <v>1</v>
      </c>
      <c r="AE226" s="5">
        <f t="shared" si="60"/>
        <v>1</v>
      </c>
      <c r="AF226" s="5">
        <f t="shared" si="61"/>
        <v>0</v>
      </c>
      <c r="AG226">
        <f>IF(B226&lt;&gt;"", COUNTIFS($B$2:B226, B226), "")</f>
        <v>15</v>
      </c>
      <c r="AH226">
        <f t="shared" si="62"/>
        <v>5</v>
      </c>
      <c r="AI226" t="str">
        <f>VLOOKUP(B226, Currency!A:B, 2, FALSE)</f>
        <v>USD</v>
      </c>
      <c r="AJ226">
        <f t="shared" si="63"/>
        <v>4</v>
      </c>
      <c r="AK226">
        <f t="shared" si="64"/>
        <v>6</v>
      </c>
      <c r="AL226" t="str">
        <f t="shared" si="65"/>
        <v>June</v>
      </c>
      <c r="AM226">
        <f t="shared" si="68"/>
        <v>2023</v>
      </c>
      <c r="AN226" t="str">
        <f t="shared" si="66"/>
        <v>0Sappi Paper Holdings GMBH</v>
      </c>
      <c r="AO226">
        <f>IF(COUNTIF($AN$2:AN226, AN226)=1, 1, 0)</f>
        <v>0</v>
      </c>
      <c r="AP226" t="str">
        <f t="shared" si="69"/>
        <v>&gt;3</v>
      </c>
      <c r="AQ226" t="str">
        <f t="shared" si="70"/>
        <v>&lt;=3</v>
      </c>
      <c r="AR226" t="str">
        <f t="shared" si="71"/>
        <v>&lt;=3</v>
      </c>
    </row>
    <row r="227" spans="1:44" x14ac:dyDescent="0.3">
      <c r="A227" t="s">
        <v>33</v>
      </c>
      <c r="B227" t="s">
        <v>51</v>
      </c>
      <c r="C227" t="s">
        <v>60</v>
      </c>
      <c r="D227">
        <v>2658</v>
      </c>
      <c r="E227">
        <v>23120061</v>
      </c>
      <c r="F227" t="s">
        <v>61</v>
      </c>
      <c r="G227" t="s">
        <v>62</v>
      </c>
      <c r="H227">
        <v>183</v>
      </c>
      <c r="I227">
        <v>7368.3239999999996</v>
      </c>
      <c r="J227">
        <v>1348403.29</v>
      </c>
      <c r="K227" s="7" t="str">
        <f>IFERROR(IF(B227&lt;&gt;"", TEXT(VLOOKUP(B227, 'Expected Date'!A:B, 2, FALSE) + DATE(RIGHT(C227,2),MID(C227,4,2),LEFT(C227,2)), "dd/mm/yy"), ""), "")</f>
        <v>16/07/23</v>
      </c>
      <c r="L227" t="s">
        <v>38</v>
      </c>
      <c r="M227" t="s">
        <v>48</v>
      </c>
      <c r="N227" t="s">
        <v>55</v>
      </c>
      <c r="O227" t="s">
        <v>324</v>
      </c>
      <c r="P227">
        <v>23190491</v>
      </c>
      <c r="Q227" t="s">
        <v>61</v>
      </c>
      <c r="R227" t="s">
        <v>62</v>
      </c>
      <c r="S227">
        <v>20</v>
      </c>
      <c r="T227">
        <v>7368.3239999999996</v>
      </c>
      <c r="U227">
        <v>147366.48000000001</v>
      </c>
      <c r="V227" t="str">
        <f t="shared" si="67"/>
        <v>Accepted</v>
      </c>
      <c r="W227">
        <f>IFERROR(VLOOKUP(N227, Payment_Terms!A:B, 2, FALSE), "Payment term not found!")</f>
        <v>0</v>
      </c>
      <c r="X227" t="str">
        <f>IFERROR(VLOOKUP(R227, Item_Category!A:B, 2, FALSE), "Uncategorized")</f>
        <v>Coal materials</v>
      </c>
      <c r="Y227" s="5">
        <f t="shared" si="54"/>
        <v>0</v>
      </c>
      <c r="Z227">
        <f t="shared" si="55"/>
        <v>5</v>
      </c>
      <c r="AA227">
        <f t="shared" si="56"/>
        <v>-26</v>
      </c>
      <c r="AB227">
        <f t="shared" si="57"/>
        <v>5</v>
      </c>
      <c r="AC227" s="10">
        <f t="shared" si="58"/>
        <v>6</v>
      </c>
      <c r="AD227" s="5">
        <f t="shared" si="59"/>
        <v>1</v>
      </c>
      <c r="AE227" s="5">
        <f t="shared" si="60"/>
        <v>1</v>
      </c>
      <c r="AF227" s="5">
        <f t="shared" si="61"/>
        <v>0</v>
      </c>
      <c r="AG227">
        <f>IF(B227&lt;&gt;"", COUNTIFS($B$2:B227, B227), "")</f>
        <v>65</v>
      </c>
      <c r="AH227">
        <f t="shared" si="62"/>
        <v>5</v>
      </c>
      <c r="AI227" t="str">
        <f>VLOOKUP(B227, Currency!A:B, 2, FALSE)</f>
        <v>INR</v>
      </c>
      <c r="AJ227">
        <f t="shared" si="63"/>
        <v>5</v>
      </c>
      <c r="AK227">
        <f t="shared" si="64"/>
        <v>6</v>
      </c>
      <c r="AL227" t="str">
        <f t="shared" si="65"/>
        <v>June</v>
      </c>
      <c r="AM227">
        <f t="shared" si="68"/>
        <v>2023</v>
      </c>
      <c r="AN227" t="str">
        <f t="shared" si="66"/>
        <v>0The Singareni Collieries Company Ltd</v>
      </c>
      <c r="AO227">
        <f>IF(COUNTIF($AN$2:AN227, AN227)=1, 1, 0)</f>
        <v>0</v>
      </c>
      <c r="AP227" t="str">
        <f t="shared" si="69"/>
        <v>&gt;3</v>
      </c>
      <c r="AQ227" t="str">
        <f t="shared" si="70"/>
        <v>&gt;3</v>
      </c>
      <c r="AR227" t="str">
        <f t="shared" si="71"/>
        <v>&gt;3</v>
      </c>
    </row>
    <row r="228" spans="1:44" x14ac:dyDescent="0.3">
      <c r="A228" t="s">
        <v>33</v>
      </c>
      <c r="B228" t="s">
        <v>51</v>
      </c>
      <c r="C228" t="s">
        <v>60</v>
      </c>
      <c r="D228">
        <v>2658</v>
      </c>
      <c r="E228">
        <v>23120061</v>
      </c>
      <c r="F228" t="s">
        <v>61</v>
      </c>
      <c r="G228" t="s">
        <v>62</v>
      </c>
      <c r="H228">
        <v>183</v>
      </c>
      <c r="I228">
        <v>7368.3239999999996</v>
      </c>
      <c r="J228">
        <v>1348403.29</v>
      </c>
      <c r="K228" s="7" t="str">
        <f>IFERROR(IF(B228&lt;&gt;"", TEXT(VLOOKUP(B228, 'Expected Date'!A:B, 2, FALSE) + DATE(RIGHT(C228,2),MID(C228,4,2),LEFT(C228,2)), "dd/mm/yy"), ""), "")</f>
        <v>16/07/23</v>
      </c>
      <c r="L228" t="s">
        <v>38</v>
      </c>
      <c r="M228" t="s">
        <v>48</v>
      </c>
      <c r="N228" t="s">
        <v>55</v>
      </c>
      <c r="O228" t="s">
        <v>324</v>
      </c>
      <c r="P228">
        <v>23190492</v>
      </c>
      <c r="Q228" t="s">
        <v>61</v>
      </c>
      <c r="R228" t="s">
        <v>62</v>
      </c>
      <c r="S228">
        <v>20</v>
      </c>
      <c r="T228">
        <v>7368.3239999999996</v>
      </c>
      <c r="U228">
        <v>147366.48000000001</v>
      </c>
      <c r="V228" t="str">
        <f t="shared" si="67"/>
        <v>Accepted</v>
      </c>
      <c r="W228">
        <f>IFERROR(VLOOKUP(N228, Payment_Terms!A:B, 2, FALSE), "Payment term not found!")</f>
        <v>0</v>
      </c>
      <c r="X228" t="str">
        <f>IFERROR(VLOOKUP(R228, Item_Category!A:B, 2, FALSE), "Uncategorized")</f>
        <v>Coal materials</v>
      </c>
      <c r="Y228" s="5">
        <f t="shared" si="54"/>
        <v>0</v>
      </c>
      <c r="Z228">
        <f t="shared" si="55"/>
        <v>5</v>
      </c>
      <c r="AA228">
        <f t="shared" si="56"/>
        <v>-26</v>
      </c>
      <c r="AB228">
        <f t="shared" si="57"/>
        <v>5</v>
      </c>
      <c r="AC228" s="10">
        <f t="shared" si="58"/>
        <v>6</v>
      </c>
      <c r="AD228" s="5">
        <f t="shared" si="59"/>
        <v>1</v>
      </c>
      <c r="AE228" s="5">
        <f t="shared" si="60"/>
        <v>1</v>
      </c>
      <c r="AF228" s="5">
        <f t="shared" si="61"/>
        <v>0</v>
      </c>
      <c r="AG228">
        <f>IF(B228&lt;&gt;"", COUNTIFS($B$2:B228, B228), "")</f>
        <v>66</v>
      </c>
      <c r="AH228">
        <f t="shared" si="62"/>
        <v>5</v>
      </c>
      <c r="AI228" t="str">
        <f>VLOOKUP(B228, Currency!A:B, 2, FALSE)</f>
        <v>INR</v>
      </c>
      <c r="AJ228">
        <f t="shared" si="63"/>
        <v>5</v>
      </c>
      <c r="AK228">
        <f t="shared" si="64"/>
        <v>6</v>
      </c>
      <c r="AL228" t="str">
        <f t="shared" si="65"/>
        <v>June</v>
      </c>
      <c r="AM228">
        <f t="shared" si="68"/>
        <v>2023</v>
      </c>
      <c r="AN228" t="str">
        <f t="shared" si="66"/>
        <v>0The Singareni Collieries Company Ltd</v>
      </c>
      <c r="AO228">
        <f>IF(COUNTIF($AN$2:AN228, AN228)=1, 1, 0)</f>
        <v>0</v>
      </c>
      <c r="AP228" t="str">
        <f t="shared" si="69"/>
        <v>&gt;3</v>
      </c>
      <c r="AQ228" t="str">
        <f t="shared" si="70"/>
        <v>&gt;3</v>
      </c>
      <c r="AR228" t="str">
        <f t="shared" si="71"/>
        <v>&gt;3</v>
      </c>
    </row>
    <row r="229" spans="1:44" x14ac:dyDescent="0.3">
      <c r="A229" t="s">
        <v>33</v>
      </c>
      <c r="B229" t="s">
        <v>51</v>
      </c>
      <c r="C229" t="s">
        <v>60</v>
      </c>
      <c r="D229">
        <v>2658</v>
      </c>
      <c r="E229">
        <v>23120061</v>
      </c>
      <c r="F229" t="s">
        <v>61</v>
      </c>
      <c r="G229" t="s">
        <v>62</v>
      </c>
      <c r="H229">
        <v>183</v>
      </c>
      <c r="I229">
        <v>7368.3239999999996</v>
      </c>
      <c r="J229">
        <v>1348403.29</v>
      </c>
      <c r="K229" s="7" t="str">
        <f>IFERROR(IF(B229&lt;&gt;"", TEXT(VLOOKUP(B229, 'Expected Date'!A:B, 2, FALSE) + DATE(RIGHT(C229,2),MID(C229,4,2),LEFT(C229,2)), "dd/mm/yy"), ""), "")</f>
        <v>16/07/23</v>
      </c>
      <c r="L229" t="s">
        <v>38</v>
      </c>
      <c r="M229" t="s">
        <v>48</v>
      </c>
      <c r="N229" t="s">
        <v>55</v>
      </c>
      <c r="O229" t="s">
        <v>249</v>
      </c>
      <c r="P229">
        <v>23190493</v>
      </c>
      <c r="Q229" t="s">
        <v>61</v>
      </c>
      <c r="R229" t="s">
        <v>62</v>
      </c>
      <c r="S229">
        <v>20</v>
      </c>
      <c r="T229">
        <v>7368.3239999999996</v>
      </c>
      <c r="U229">
        <v>147366.48000000001</v>
      </c>
      <c r="V229" t="str">
        <f t="shared" si="67"/>
        <v>Accepted</v>
      </c>
      <c r="W229">
        <f>IFERROR(VLOOKUP(N229, Payment_Terms!A:B, 2, FALSE), "Payment term not found!")</f>
        <v>0</v>
      </c>
      <c r="X229" t="str">
        <f>IFERROR(VLOOKUP(R229, Item_Category!A:B, 2, FALSE), "Uncategorized")</f>
        <v>Coal materials</v>
      </c>
      <c r="Y229" s="5">
        <f t="shared" si="54"/>
        <v>0</v>
      </c>
      <c r="Z229">
        <f t="shared" si="55"/>
        <v>5</v>
      </c>
      <c r="AA229">
        <f t="shared" si="56"/>
        <v>-25</v>
      </c>
      <c r="AB229">
        <f t="shared" si="57"/>
        <v>5</v>
      </c>
      <c r="AC229" s="10">
        <f t="shared" si="58"/>
        <v>5</v>
      </c>
      <c r="AD229" s="5">
        <f t="shared" si="59"/>
        <v>1</v>
      </c>
      <c r="AE229" s="5">
        <f t="shared" si="60"/>
        <v>1</v>
      </c>
      <c r="AF229" s="5">
        <f t="shared" si="61"/>
        <v>0</v>
      </c>
      <c r="AG229">
        <f>IF(B229&lt;&gt;"", COUNTIFS($B$2:B229, B229), "")</f>
        <v>67</v>
      </c>
      <c r="AH229">
        <f t="shared" si="62"/>
        <v>5</v>
      </c>
      <c r="AI229" t="str">
        <f>VLOOKUP(B229, Currency!A:B, 2, FALSE)</f>
        <v>INR</v>
      </c>
      <c r="AJ229">
        <f t="shared" si="63"/>
        <v>5</v>
      </c>
      <c r="AK229">
        <f t="shared" si="64"/>
        <v>6</v>
      </c>
      <c r="AL229" t="str">
        <f t="shared" si="65"/>
        <v>June</v>
      </c>
      <c r="AM229">
        <f t="shared" si="68"/>
        <v>2023</v>
      </c>
      <c r="AN229" t="str">
        <f t="shared" si="66"/>
        <v>0The Singareni Collieries Company Ltd</v>
      </c>
      <c r="AO229">
        <f>IF(COUNTIF($AN$2:AN229, AN229)=1, 1, 0)</f>
        <v>0</v>
      </c>
      <c r="AP229" t="str">
        <f t="shared" si="69"/>
        <v>&gt;3</v>
      </c>
      <c r="AQ229" t="str">
        <f t="shared" si="70"/>
        <v>&gt;3</v>
      </c>
      <c r="AR229" t="str">
        <f t="shared" si="71"/>
        <v>&gt;3</v>
      </c>
    </row>
    <row r="230" spans="1:44" x14ac:dyDescent="0.3">
      <c r="A230" t="s">
        <v>33</v>
      </c>
      <c r="B230" t="s">
        <v>51</v>
      </c>
      <c r="C230" t="s">
        <v>60</v>
      </c>
      <c r="D230">
        <v>2658</v>
      </c>
      <c r="E230">
        <v>23120061</v>
      </c>
      <c r="F230" t="s">
        <v>61</v>
      </c>
      <c r="G230" t="s">
        <v>62</v>
      </c>
      <c r="H230">
        <v>183</v>
      </c>
      <c r="I230">
        <v>7368.3239999999996</v>
      </c>
      <c r="J230">
        <v>1348403.29</v>
      </c>
      <c r="K230" s="7" t="str">
        <f>IFERROR(IF(B230&lt;&gt;"", TEXT(VLOOKUP(B230, 'Expected Date'!A:B, 2, FALSE) + DATE(RIGHT(C230,2),MID(C230,4,2),LEFT(C230,2)), "dd/mm/yy"), ""), "")</f>
        <v>16/07/23</v>
      </c>
      <c r="L230" t="s">
        <v>38</v>
      </c>
      <c r="M230" t="s">
        <v>48</v>
      </c>
      <c r="N230" t="s">
        <v>55</v>
      </c>
      <c r="O230" t="s">
        <v>249</v>
      </c>
      <c r="P230">
        <v>23190494</v>
      </c>
      <c r="Q230" t="s">
        <v>61</v>
      </c>
      <c r="R230" t="s">
        <v>62</v>
      </c>
      <c r="S230">
        <v>20</v>
      </c>
      <c r="T230">
        <v>7368.3239999999996</v>
      </c>
      <c r="U230">
        <v>147366.48000000001</v>
      </c>
      <c r="V230" t="str">
        <f t="shared" si="67"/>
        <v>Accepted</v>
      </c>
      <c r="W230">
        <f>IFERROR(VLOOKUP(N230, Payment_Terms!A:B, 2, FALSE), "Payment term not found!")</f>
        <v>0</v>
      </c>
      <c r="X230" t="str">
        <f>IFERROR(VLOOKUP(R230, Item_Category!A:B, 2, FALSE), "Uncategorized")</f>
        <v>Coal materials</v>
      </c>
      <c r="Y230" s="5">
        <f t="shared" si="54"/>
        <v>0</v>
      </c>
      <c r="Z230">
        <f t="shared" si="55"/>
        <v>5</v>
      </c>
      <c r="AA230">
        <f t="shared" si="56"/>
        <v>-25</v>
      </c>
      <c r="AB230">
        <f t="shared" si="57"/>
        <v>5</v>
      </c>
      <c r="AC230" s="10">
        <f t="shared" si="58"/>
        <v>5</v>
      </c>
      <c r="AD230" s="5">
        <f t="shared" si="59"/>
        <v>1</v>
      </c>
      <c r="AE230" s="5">
        <f t="shared" si="60"/>
        <v>1</v>
      </c>
      <c r="AF230" s="5">
        <f t="shared" si="61"/>
        <v>0</v>
      </c>
      <c r="AG230">
        <f>IF(B230&lt;&gt;"", COUNTIFS($B$2:B230, B230), "")</f>
        <v>68</v>
      </c>
      <c r="AH230">
        <f t="shared" si="62"/>
        <v>5</v>
      </c>
      <c r="AI230" t="str">
        <f>VLOOKUP(B230, Currency!A:B, 2, FALSE)</f>
        <v>INR</v>
      </c>
      <c r="AJ230">
        <f t="shared" si="63"/>
        <v>5</v>
      </c>
      <c r="AK230">
        <f t="shared" si="64"/>
        <v>6</v>
      </c>
      <c r="AL230" t="str">
        <f t="shared" si="65"/>
        <v>June</v>
      </c>
      <c r="AM230">
        <f t="shared" si="68"/>
        <v>2023</v>
      </c>
      <c r="AN230" t="str">
        <f t="shared" si="66"/>
        <v>0The Singareni Collieries Company Ltd</v>
      </c>
      <c r="AO230">
        <f>IF(COUNTIF($AN$2:AN230, AN230)=1, 1, 0)</f>
        <v>0</v>
      </c>
      <c r="AP230" t="str">
        <f t="shared" si="69"/>
        <v>&gt;3</v>
      </c>
      <c r="AQ230" t="str">
        <f t="shared" si="70"/>
        <v>&gt;3</v>
      </c>
      <c r="AR230" t="str">
        <f t="shared" si="71"/>
        <v>&gt;3</v>
      </c>
    </row>
    <row r="231" spans="1:44" x14ac:dyDescent="0.3">
      <c r="A231" t="s">
        <v>33</v>
      </c>
      <c r="B231" t="s">
        <v>51</v>
      </c>
      <c r="C231" t="s">
        <v>60</v>
      </c>
      <c r="D231">
        <v>2658</v>
      </c>
      <c r="E231">
        <v>23120061</v>
      </c>
      <c r="F231" t="s">
        <v>61</v>
      </c>
      <c r="G231" t="s">
        <v>62</v>
      </c>
      <c r="H231">
        <v>183</v>
      </c>
      <c r="I231">
        <v>7368.3239999999996</v>
      </c>
      <c r="J231">
        <v>1348403.29</v>
      </c>
      <c r="K231" s="7" t="str">
        <f>IFERROR(IF(B231&lt;&gt;"", TEXT(VLOOKUP(B231, 'Expected Date'!A:B, 2, FALSE) + DATE(RIGHT(C231,2),MID(C231,4,2),LEFT(C231,2)), "dd/mm/yy"), ""), "")</f>
        <v>16/07/23</v>
      </c>
      <c r="L231" t="s">
        <v>38</v>
      </c>
      <c r="M231" t="s">
        <v>48</v>
      </c>
      <c r="N231" t="s">
        <v>55</v>
      </c>
      <c r="O231" t="s">
        <v>71</v>
      </c>
      <c r="P231">
        <v>23190495</v>
      </c>
      <c r="Q231" t="s">
        <v>61</v>
      </c>
      <c r="R231" t="s">
        <v>62</v>
      </c>
      <c r="S231">
        <v>21</v>
      </c>
      <c r="T231">
        <v>7368.3239999999996</v>
      </c>
      <c r="U231">
        <v>154734.79999999999</v>
      </c>
      <c r="V231" t="str">
        <f t="shared" si="67"/>
        <v>Accepted</v>
      </c>
      <c r="W231">
        <f>IFERROR(VLOOKUP(N231, Payment_Terms!A:B, 2, FALSE), "Payment term not found!")</f>
        <v>0</v>
      </c>
      <c r="X231" t="str">
        <f>IFERROR(VLOOKUP(R231, Item_Category!A:B, 2, FALSE), "Uncategorized")</f>
        <v>Coal materials</v>
      </c>
      <c r="Y231" s="5">
        <f t="shared" si="54"/>
        <v>0</v>
      </c>
      <c r="Z231">
        <f t="shared" si="55"/>
        <v>5</v>
      </c>
      <c r="AA231">
        <f t="shared" si="56"/>
        <v>-24</v>
      </c>
      <c r="AB231">
        <f t="shared" si="57"/>
        <v>5</v>
      </c>
      <c r="AC231" s="10">
        <f t="shared" si="58"/>
        <v>4</v>
      </c>
      <c r="AD231" s="5">
        <f t="shared" si="59"/>
        <v>1</v>
      </c>
      <c r="AE231" s="5">
        <f t="shared" si="60"/>
        <v>1</v>
      </c>
      <c r="AF231" s="5">
        <f t="shared" si="61"/>
        <v>0</v>
      </c>
      <c r="AG231">
        <f>IF(B231&lt;&gt;"", COUNTIFS($B$2:B231, B231), "")</f>
        <v>69</v>
      </c>
      <c r="AH231">
        <f t="shared" si="62"/>
        <v>5</v>
      </c>
      <c r="AI231" t="str">
        <f>VLOOKUP(B231, Currency!A:B, 2, FALSE)</f>
        <v>INR</v>
      </c>
      <c r="AJ231">
        <f t="shared" si="63"/>
        <v>5</v>
      </c>
      <c r="AK231">
        <f t="shared" si="64"/>
        <v>6</v>
      </c>
      <c r="AL231" t="str">
        <f t="shared" si="65"/>
        <v>June</v>
      </c>
      <c r="AM231">
        <f t="shared" si="68"/>
        <v>2023</v>
      </c>
      <c r="AN231" t="str">
        <f t="shared" si="66"/>
        <v>0The Singareni Collieries Company Ltd</v>
      </c>
      <c r="AO231">
        <f>IF(COUNTIF($AN$2:AN231, AN231)=1, 1, 0)</f>
        <v>0</v>
      </c>
      <c r="AP231" t="str">
        <f t="shared" si="69"/>
        <v>&gt;3</v>
      </c>
      <c r="AQ231" t="str">
        <f t="shared" si="70"/>
        <v>&gt;3</v>
      </c>
      <c r="AR231" t="str">
        <f t="shared" si="71"/>
        <v>&gt;3</v>
      </c>
    </row>
    <row r="232" spans="1:44" x14ac:dyDescent="0.3">
      <c r="A232" t="s">
        <v>33</v>
      </c>
      <c r="B232" t="s">
        <v>51</v>
      </c>
      <c r="C232" t="s">
        <v>60</v>
      </c>
      <c r="D232">
        <v>2658</v>
      </c>
      <c r="E232">
        <v>23120061</v>
      </c>
      <c r="F232" t="s">
        <v>61</v>
      </c>
      <c r="G232" t="s">
        <v>62</v>
      </c>
      <c r="H232">
        <v>183</v>
      </c>
      <c r="I232">
        <v>7368.3239999999996</v>
      </c>
      <c r="J232">
        <v>1348403.29</v>
      </c>
      <c r="K232" s="7" t="str">
        <f>IFERROR(IF(B232&lt;&gt;"", TEXT(VLOOKUP(B232, 'Expected Date'!A:B, 2, FALSE) + DATE(RIGHT(C232,2),MID(C232,4,2),LEFT(C232,2)), "dd/mm/yy"), ""), "")</f>
        <v>16/07/23</v>
      </c>
      <c r="L232" t="s">
        <v>38</v>
      </c>
      <c r="M232" t="s">
        <v>48</v>
      </c>
      <c r="N232" t="s">
        <v>55</v>
      </c>
      <c r="O232" t="s">
        <v>71</v>
      </c>
      <c r="P232">
        <v>23190496</v>
      </c>
      <c r="Q232" t="s">
        <v>61</v>
      </c>
      <c r="R232" t="s">
        <v>62</v>
      </c>
      <c r="S232">
        <v>21</v>
      </c>
      <c r="T232">
        <v>7368.3239999999996</v>
      </c>
      <c r="U232">
        <v>154734.79999999999</v>
      </c>
      <c r="V232" t="str">
        <f t="shared" si="67"/>
        <v>Accepted</v>
      </c>
      <c r="W232">
        <f>IFERROR(VLOOKUP(N232, Payment_Terms!A:B, 2, FALSE), "Payment term not found!")</f>
        <v>0</v>
      </c>
      <c r="X232" t="str">
        <f>IFERROR(VLOOKUP(R232, Item_Category!A:B, 2, FALSE), "Uncategorized")</f>
        <v>Coal materials</v>
      </c>
      <c r="Y232" s="5">
        <f t="shared" si="54"/>
        <v>0</v>
      </c>
      <c r="Z232">
        <f t="shared" si="55"/>
        <v>5</v>
      </c>
      <c r="AA232">
        <f t="shared" si="56"/>
        <v>-24</v>
      </c>
      <c r="AB232">
        <f t="shared" si="57"/>
        <v>5</v>
      </c>
      <c r="AC232" s="10">
        <f t="shared" si="58"/>
        <v>4</v>
      </c>
      <c r="AD232" s="5">
        <f t="shared" si="59"/>
        <v>1</v>
      </c>
      <c r="AE232" s="5">
        <f t="shared" si="60"/>
        <v>1</v>
      </c>
      <c r="AF232" s="5">
        <f t="shared" si="61"/>
        <v>0</v>
      </c>
      <c r="AG232">
        <f>IF(B232&lt;&gt;"", COUNTIFS($B$2:B232, B232), "")</f>
        <v>70</v>
      </c>
      <c r="AH232">
        <f t="shared" si="62"/>
        <v>5</v>
      </c>
      <c r="AI232" t="str">
        <f>VLOOKUP(B232, Currency!A:B, 2, FALSE)</f>
        <v>INR</v>
      </c>
      <c r="AJ232">
        <f t="shared" si="63"/>
        <v>5</v>
      </c>
      <c r="AK232">
        <f t="shared" si="64"/>
        <v>6</v>
      </c>
      <c r="AL232" t="str">
        <f t="shared" si="65"/>
        <v>June</v>
      </c>
      <c r="AM232">
        <f t="shared" si="68"/>
        <v>2023</v>
      </c>
      <c r="AN232" t="str">
        <f t="shared" si="66"/>
        <v>0The Singareni Collieries Company Ltd</v>
      </c>
      <c r="AO232">
        <f>IF(COUNTIF($AN$2:AN232, AN232)=1, 1, 0)</f>
        <v>0</v>
      </c>
      <c r="AP232" t="str">
        <f t="shared" si="69"/>
        <v>&gt;3</v>
      </c>
      <c r="AQ232" t="str">
        <f t="shared" si="70"/>
        <v>&gt;3</v>
      </c>
      <c r="AR232" t="str">
        <f t="shared" si="71"/>
        <v>&gt;3</v>
      </c>
    </row>
    <row r="233" spans="1:44" x14ac:dyDescent="0.3">
      <c r="A233" t="s">
        <v>33</v>
      </c>
      <c r="B233" t="s">
        <v>44</v>
      </c>
      <c r="C233" t="s">
        <v>202</v>
      </c>
      <c r="D233">
        <v>3635</v>
      </c>
      <c r="E233">
        <v>23120098</v>
      </c>
      <c r="F233" t="s">
        <v>46</v>
      </c>
      <c r="G233" t="s">
        <v>47</v>
      </c>
      <c r="H233">
        <v>600</v>
      </c>
      <c r="I233">
        <v>65</v>
      </c>
      <c r="J233">
        <v>39000</v>
      </c>
      <c r="K233" s="7" t="str">
        <f>IFERROR(IF(B233&lt;&gt;"", TEXT(VLOOKUP(B233, 'Expected Date'!A:B, 2, FALSE) + DATE(RIGHT(C233,2),MID(C233,4,2),LEFT(C233,2)), "dd/mm/yy"), ""), "")</f>
        <v>14/08/23</v>
      </c>
      <c r="L233" t="s">
        <v>38</v>
      </c>
      <c r="M233" t="s">
        <v>48</v>
      </c>
      <c r="N233" t="s">
        <v>49</v>
      </c>
      <c r="O233" t="s">
        <v>163</v>
      </c>
      <c r="P233">
        <v>23190986</v>
      </c>
      <c r="Q233" t="s">
        <v>46</v>
      </c>
      <c r="R233" t="s">
        <v>47</v>
      </c>
      <c r="S233">
        <v>300</v>
      </c>
      <c r="T233">
        <v>65</v>
      </c>
      <c r="U233">
        <v>19500</v>
      </c>
      <c r="V233" t="str">
        <f t="shared" si="67"/>
        <v>Accepted</v>
      </c>
      <c r="W233">
        <f>IFERROR(VLOOKUP(N233, Payment_Terms!A:B, 2, FALSE), "Payment term not found!")</f>
        <v>30</v>
      </c>
      <c r="X233" t="str">
        <f>IFERROR(VLOOKUP(R233, Item_Category!A:B, 2, FALSE), "Uncategorized")</f>
        <v>Gas</v>
      </c>
      <c r="Y233" s="5">
        <f t="shared" si="54"/>
        <v>0</v>
      </c>
      <c r="Z233">
        <f t="shared" si="55"/>
        <v>5</v>
      </c>
      <c r="AA233">
        <f t="shared" si="56"/>
        <v>16</v>
      </c>
      <c r="AB233">
        <f t="shared" si="57"/>
        <v>1</v>
      </c>
      <c r="AC233" s="10">
        <f t="shared" si="58"/>
        <v>21</v>
      </c>
      <c r="AD233" s="5">
        <f t="shared" si="59"/>
        <v>1</v>
      </c>
      <c r="AE233" s="5">
        <f t="shared" si="60"/>
        <v>1</v>
      </c>
      <c r="AF233" s="5">
        <f t="shared" si="61"/>
        <v>0</v>
      </c>
      <c r="AG233">
        <f>IF(B233&lt;&gt;"", COUNTIFS($B$2:B233, B233), "")</f>
        <v>10</v>
      </c>
      <c r="AH233">
        <f t="shared" si="62"/>
        <v>5</v>
      </c>
      <c r="AI233" t="str">
        <f>VLOOKUP(B233, Currency!A:B, 2, FALSE)</f>
        <v>INR</v>
      </c>
      <c r="AJ233">
        <f t="shared" si="63"/>
        <v>4</v>
      </c>
      <c r="AK233">
        <f t="shared" si="64"/>
        <v>8</v>
      </c>
      <c r="AL233" t="str">
        <f t="shared" si="65"/>
        <v>August</v>
      </c>
      <c r="AM233">
        <f t="shared" si="68"/>
        <v>2023</v>
      </c>
      <c r="AN233" t="str">
        <f t="shared" si="66"/>
        <v>30Surat Ammonia &amp; Chemical Co.</v>
      </c>
      <c r="AO233">
        <f>IF(COUNTIF($AN$2:AN233, AN233)=1, 1, 0)</f>
        <v>0</v>
      </c>
      <c r="AP233" t="str">
        <f t="shared" si="69"/>
        <v>&gt;3</v>
      </c>
      <c r="AQ233" t="str">
        <f t="shared" si="70"/>
        <v>&gt;3</v>
      </c>
      <c r="AR233" t="str">
        <f t="shared" si="71"/>
        <v>&lt;=3</v>
      </c>
    </row>
    <row r="234" spans="1:44" x14ac:dyDescent="0.3">
      <c r="A234" t="s">
        <v>33</v>
      </c>
      <c r="B234" t="s">
        <v>147</v>
      </c>
      <c r="C234" t="s">
        <v>45</v>
      </c>
      <c r="D234">
        <v>2484</v>
      </c>
      <c r="E234">
        <v>23120048</v>
      </c>
      <c r="F234" t="s">
        <v>148</v>
      </c>
      <c r="G234" t="s">
        <v>149</v>
      </c>
      <c r="H234">
        <v>1500</v>
      </c>
      <c r="I234">
        <v>225</v>
      </c>
      <c r="J234">
        <v>337500</v>
      </c>
      <c r="K234" s="7" t="str">
        <f>IFERROR(IF(B234&lt;&gt;"", TEXT(VLOOKUP(B234, 'Expected Date'!A:B, 2, FALSE) + DATE(RIGHT(C234,2),MID(C234,4,2),LEFT(C234,2)), "dd/mm/yy"), ""), "")</f>
        <v>27/06/23</v>
      </c>
      <c r="L234" t="s">
        <v>38</v>
      </c>
      <c r="M234" t="s">
        <v>39</v>
      </c>
      <c r="N234" t="s">
        <v>49</v>
      </c>
      <c r="O234" t="s">
        <v>163</v>
      </c>
      <c r="P234">
        <v>23190990</v>
      </c>
      <c r="Q234" t="s">
        <v>148</v>
      </c>
      <c r="R234" t="s">
        <v>149</v>
      </c>
      <c r="S234">
        <v>513</v>
      </c>
      <c r="T234">
        <v>225</v>
      </c>
      <c r="U234">
        <v>115425</v>
      </c>
      <c r="V234" t="str">
        <f t="shared" si="67"/>
        <v>Accepted</v>
      </c>
      <c r="W234">
        <f>IFERROR(VLOOKUP(N234, Payment_Terms!A:B, 2, FALSE), "Payment term not found!")</f>
        <v>30</v>
      </c>
      <c r="X234" t="str">
        <f>IFERROR(VLOOKUP(R234, Item_Category!A:B, 2, FALSE), "Uncategorized")</f>
        <v>Fibre drum</v>
      </c>
      <c r="Y234" s="5">
        <f t="shared" si="54"/>
        <v>0</v>
      </c>
      <c r="Z234">
        <f t="shared" si="55"/>
        <v>5</v>
      </c>
      <c r="AA234">
        <f t="shared" si="56"/>
        <v>64</v>
      </c>
      <c r="AB234">
        <f t="shared" si="57"/>
        <v>1</v>
      </c>
      <c r="AC234" s="10">
        <f t="shared" si="58"/>
        <v>74</v>
      </c>
      <c r="AD234" s="5">
        <f t="shared" si="59"/>
        <v>1</v>
      </c>
      <c r="AE234" s="5">
        <f t="shared" si="60"/>
        <v>1</v>
      </c>
      <c r="AF234" s="5">
        <f t="shared" si="61"/>
        <v>0</v>
      </c>
      <c r="AG234">
        <f>IF(B234&lt;&gt;"", COUNTIFS($B$2:B234, B234), "")</f>
        <v>7</v>
      </c>
      <c r="AH234">
        <f t="shared" si="62"/>
        <v>5</v>
      </c>
      <c r="AI234" t="str">
        <f>VLOOKUP(B234, Currency!A:B, 2, FALSE)</f>
        <v>INR</v>
      </c>
      <c r="AJ234">
        <f t="shared" si="63"/>
        <v>4</v>
      </c>
      <c r="AK234">
        <f t="shared" si="64"/>
        <v>6</v>
      </c>
      <c r="AL234" t="str">
        <f t="shared" si="65"/>
        <v>June</v>
      </c>
      <c r="AM234">
        <f t="shared" si="68"/>
        <v>2023</v>
      </c>
      <c r="AN234" t="str">
        <f t="shared" si="66"/>
        <v>30Navodaya Packing Industries</v>
      </c>
      <c r="AO234">
        <f>IF(COUNTIF($AN$2:AN234, AN234)=1, 1, 0)</f>
        <v>0</v>
      </c>
      <c r="AP234" t="str">
        <f t="shared" si="69"/>
        <v>&gt;3</v>
      </c>
      <c r="AQ234" t="str">
        <f t="shared" si="70"/>
        <v>&gt;3</v>
      </c>
      <c r="AR234" t="str">
        <f t="shared" si="71"/>
        <v>&lt;=3</v>
      </c>
    </row>
    <row r="235" spans="1:44" x14ac:dyDescent="0.3">
      <c r="A235" t="s">
        <v>33</v>
      </c>
      <c r="B235" t="s">
        <v>107</v>
      </c>
      <c r="C235" t="s">
        <v>228</v>
      </c>
      <c r="D235">
        <v>4550</v>
      </c>
      <c r="E235">
        <v>23120127</v>
      </c>
      <c r="F235" t="s">
        <v>212</v>
      </c>
      <c r="G235" t="s">
        <v>213</v>
      </c>
      <c r="H235">
        <v>2000</v>
      </c>
      <c r="I235">
        <v>33.75</v>
      </c>
      <c r="J235">
        <v>67500</v>
      </c>
      <c r="K235" s="7" t="str">
        <f>IFERROR(IF(B235&lt;&gt;"", TEXT(VLOOKUP(B235, 'Expected Date'!A:B, 2, FALSE) + DATE(RIGHT(C235,2),MID(C235,4,2),LEFT(C235,2)), "dd/mm/yy"), ""), "")</f>
        <v>02/10/23</v>
      </c>
      <c r="L235" t="s">
        <v>38</v>
      </c>
      <c r="M235" t="s">
        <v>39</v>
      </c>
      <c r="N235" t="s">
        <v>109</v>
      </c>
      <c r="O235" t="s">
        <v>325</v>
      </c>
      <c r="P235">
        <v>23191353</v>
      </c>
      <c r="Q235" t="s">
        <v>212</v>
      </c>
      <c r="R235" t="s">
        <v>213</v>
      </c>
      <c r="S235">
        <v>2000</v>
      </c>
      <c r="T235">
        <v>33.75</v>
      </c>
      <c r="U235">
        <v>67500</v>
      </c>
      <c r="V235" t="str">
        <f t="shared" si="67"/>
        <v>Accepted</v>
      </c>
      <c r="W235">
        <f>IFERROR(VLOOKUP(N235, Payment_Terms!A:B, 2, FALSE), "Payment term not found!")</f>
        <v>0</v>
      </c>
      <c r="X235" t="str">
        <f>IFERROR(VLOOKUP(R235, Item_Category!A:B, 2, FALSE), "Uncategorized")</f>
        <v>Bags</v>
      </c>
      <c r="Y235" s="5">
        <f t="shared" si="54"/>
        <v>0</v>
      </c>
      <c r="Z235">
        <f t="shared" si="55"/>
        <v>5</v>
      </c>
      <c r="AA235">
        <f t="shared" si="56"/>
        <v>14</v>
      </c>
      <c r="AB235">
        <f t="shared" si="57"/>
        <v>1</v>
      </c>
      <c r="AC235" s="10">
        <f t="shared" si="58"/>
        <v>24</v>
      </c>
      <c r="AD235" s="5">
        <f t="shared" si="59"/>
        <v>1</v>
      </c>
      <c r="AE235" s="5">
        <f t="shared" si="60"/>
        <v>1</v>
      </c>
      <c r="AF235" s="5">
        <f t="shared" si="61"/>
        <v>0</v>
      </c>
      <c r="AG235">
        <f>IF(B235&lt;&gt;"", COUNTIFS($B$2:B235, B235), "")</f>
        <v>19</v>
      </c>
      <c r="AH235">
        <f t="shared" si="62"/>
        <v>5</v>
      </c>
      <c r="AI235" t="str">
        <f>VLOOKUP(B235, Currency!A:B, 2, FALSE)</f>
        <v>INR</v>
      </c>
      <c r="AJ235">
        <f t="shared" si="63"/>
        <v>4</v>
      </c>
      <c r="AK235">
        <f t="shared" si="64"/>
        <v>9</v>
      </c>
      <c r="AL235" t="str">
        <f t="shared" si="65"/>
        <v>September</v>
      </c>
      <c r="AM235">
        <f t="shared" si="68"/>
        <v>2023</v>
      </c>
      <c r="AN235" t="str">
        <f t="shared" si="66"/>
        <v>0KAPILA INDUSTRIES</v>
      </c>
      <c r="AO235">
        <f>IF(COUNTIF($AN$2:AN235, AN235)=1, 1, 0)</f>
        <v>0</v>
      </c>
      <c r="AP235" t="str">
        <f t="shared" si="69"/>
        <v>&gt;3</v>
      </c>
      <c r="AQ235" t="str">
        <f t="shared" si="70"/>
        <v>&gt;3</v>
      </c>
      <c r="AR235" t="str">
        <f t="shared" si="71"/>
        <v>&lt;=3</v>
      </c>
    </row>
    <row r="236" spans="1:44" x14ac:dyDescent="0.3">
      <c r="A236" t="s">
        <v>33</v>
      </c>
      <c r="B236" t="s">
        <v>107</v>
      </c>
      <c r="C236" t="s">
        <v>228</v>
      </c>
      <c r="D236">
        <v>4550</v>
      </c>
      <c r="E236">
        <v>23120127</v>
      </c>
      <c r="F236" t="s">
        <v>166</v>
      </c>
      <c r="G236" t="s">
        <v>167</v>
      </c>
      <c r="H236">
        <v>1000</v>
      </c>
      <c r="I236">
        <v>33.75</v>
      </c>
      <c r="J236">
        <v>33750</v>
      </c>
      <c r="K236" s="7" t="str">
        <f>IFERROR(IF(B236&lt;&gt;"", TEXT(VLOOKUP(B236, 'Expected Date'!A:B, 2, FALSE) + DATE(RIGHT(C236,2),MID(C236,4,2),LEFT(C236,2)), "dd/mm/yy"), ""), "")</f>
        <v>02/10/23</v>
      </c>
      <c r="L236" t="s">
        <v>38</v>
      </c>
      <c r="M236" t="s">
        <v>39</v>
      </c>
      <c r="N236" t="s">
        <v>109</v>
      </c>
      <c r="O236" t="s">
        <v>325</v>
      </c>
      <c r="P236">
        <v>23191353</v>
      </c>
      <c r="Q236" t="s">
        <v>166</v>
      </c>
      <c r="R236" t="s">
        <v>167</v>
      </c>
      <c r="S236">
        <v>1520</v>
      </c>
      <c r="T236">
        <v>33.75</v>
      </c>
      <c r="U236">
        <v>51300</v>
      </c>
      <c r="V236" t="str">
        <f t="shared" si="67"/>
        <v>Accepted</v>
      </c>
      <c r="W236">
        <f>IFERROR(VLOOKUP(N236, Payment_Terms!A:B, 2, FALSE), "Payment term not found!")</f>
        <v>0</v>
      </c>
      <c r="X236" t="str">
        <f>IFERROR(VLOOKUP(R236, Item_Category!A:B, 2, FALSE), "Uncategorized")</f>
        <v>Bags</v>
      </c>
      <c r="Y236" s="5">
        <f t="shared" si="54"/>
        <v>0</v>
      </c>
      <c r="Z236">
        <f t="shared" si="55"/>
        <v>5</v>
      </c>
      <c r="AA236">
        <f t="shared" si="56"/>
        <v>14</v>
      </c>
      <c r="AB236">
        <f t="shared" si="57"/>
        <v>1</v>
      </c>
      <c r="AC236" s="10">
        <f t="shared" si="58"/>
        <v>24</v>
      </c>
      <c r="AD236" s="5">
        <f t="shared" si="59"/>
        <v>1</v>
      </c>
      <c r="AE236" s="5">
        <f t="shared" si="60"/>
        <v>1</v>
      </c>
      <c r="AF236" s="5">
        <f t="shared" si="61"/>
        <v>0</v>
      </c>
      <c r="AG236">
        <f>IF(B236&lt;&gt;"", COUNTIFS($B$2:B236, B236), "")</f>
        <v>20</v>
      </c>
      <c r="AH236">
        <f t="shared" si="62"/>
        <v>5</v>
      </c>
      <c r="AI236" t="str">
        <f>VLOOKUP(B236, Currency!A:B, 2, FALSE)</f>
        <v>INR</v>
      </c>
      <c r="AJ236">
        <f t="shared" si="63"/>
        <v>4</v>
      </c>
      <c r="AK236">
        <f t="shared" si="64"/>
        <v>9</v>
      </c>
      <c r="AL236" t="str">
        <f t="shared" si="65"/>
        <v>September</v>
      </c>
      <c r="AM236">
        <f t="shared" si="68"/>
        <v>2023</v>
      </c>
      <c r="AN236" t="str">
        <f t="shared" si="66"/>
        <v>0KAPILA INDUSTRIES</v>
      </c>
      <c r="AO236">
        <f>IF(COUNTIF($AN$2:AN236, AN236)=1, 1, 0)</f>
        <v>0</v>
      </c>
      <c r="AP236" t="str">
        <f t="shared" si="69"/>
        <v>&gt;3</v>
      </c>
      <c r="AQ236" t="str">
        <f t="shared" si="70"/>
        <v>&gt;3</v>
      </c>
      <c r="AR236" t="str">
        <f t="shared" si="71"/>
        <v>&lt;=3</v>
      </c>
    </row>
    <row r="237" spans="1:44" x14ac:dyDescent="0.3">
      <c r="A237" t="s">
        <v>33</v>
      </c>
      <c r="B237" t="s">
        <v>150</v>
      </c>
      <c r="C237" t="s">
        <v>151</v>
      </c>
      <c r="D237">
        <v>4381</v>
      </c>
      <c r="E237">
        <v>23120122</v>
      </c>
      <c r="F237" t="s">
        <v>152</v>
      </c>
      <c r="G237" t="s">
        <v>54</v>
      </c>
      <c r="H237">
        <v>200</v>
      </c>
      <c r="I237">
        <v>7900</v>
      </c>
      <c r="J237">
        <v>1580000</v>
      </c>
      <c r="K237" s="7" t="str">
        <f>IFERROR(IF(B237&lt;&gt;"", TEXT(VLOOKUP(B237, 'Expected Date'!A:B, 2, FALSE) + DATE(RIGHT(C237,2),MID(C237,4,2),LEFT(C237,2)), "dd/mm/yy"), ""), "")</f>
        <v>24/09/23</v>
      </c>
      <c r="L237" t="s">
        <v>38</v>
      </c>
      <c r="M237" t="s">
        <v>48</v>
      </c>
      <c r="N237" t="s">
        <v>155</v>
      </c>
      <c r="O237" t="s">
        <v>228</v>
      </c>
      <c r="P237">
        <v>23191142</v>
      </c>
      <c r="Q237" t="s">
        <v>152</v>
      </c>
      <c r="R237" t="s">
        <v>153</v>
      </c>
      <c r="S237">
        <v>31.32</v>
      </c>
      <c r="T237">
        <v>7900</v>
      </c>
      <c r="U237">
        <v>247428</v>
      </c>
      <c r="V237" t="str">
        <f t="shared" si="67"/>
        <v>Accepted</v>
      </c>
      <c r="W237">
        <f>IFERROR(VLOOKUP(N237, Payment_Terms!A:B, 2, FALSE), "Payment term not found!")</f>
        <v>30</v>
      </c>
      <c r="X237" t="str">
        <f>IFERROR(VLOOKUP(R237, Item_Category!A:B, 2, FALSE), "Uncategorized")</f>
        <v>Coal materials</v>
      </c>
      <c r="Y237" s="5">
        <f t="shared" si="54"/>
        <v>0</v>
      </c>
      <c r="Z237">
        <f t="shared" si="55"/>
        <v>5</v>
      </c>
      <c r="AA237">
        <f t="shared" si="56"/>
        <v>-2</v>
      </c>
      <c r="AB237">
        <f t="shared" si="57"/>
        <v>5</v>
      </c>
      <c r="AC237" s="10">
        <f t="shared" si="58"/>
        <v>8</v>
      </c>
      <c r="AD237" s="5">
        <f t="shared" si="59"/>
        <v>1</v>
      </c>
      <c r="AE237" s="5">
        <f t="shared" si="60"/>
        <v>1</v>
      </c>
      <c r="AF237" s="5">
        <f t="shared" si="61"/>
        <v>0</v>
      </c>
      <c r="AG237">
        <f>IF(B237&lt;&gt;"", COUNTIFS($B$2:B237, B237), "")</f>
        <v>11</v>
      </c>
      <c r="AH237">
        <f t="shared" si="62"/>
        <v>5</v>
      </c>
      <c r="AI237" t="str">
        <f>VLOOKUP(B237, Currency!A:B, 2, FALSE)</f>
        <v>INR</v>
      </c>
      <c r="AJ237">
        <f t="shared" si="63"/>
        <v>5</v>
      </c>
      <c r="AK237">
        <f t="shared" si="64"/>
        <v>9</v>
      </c>
      <c r="AL237" t="str">
        <f t="shared" si="65"/>
        <v>September</v>
      </c>
      <c r="AM237">
        <f t="shared" si="68"/>
        <v>2023</v>
      </c>
      <c r="AN237" t="str">
        <f t="shared" si="66"/>
        <v>30Venkatadurga Enterprises</v>
      </c>
      <c r="AO237">
        <f>IF(COUNTIF($AN$2:AN237, AN237)=1, 1, 0)</f>
        <v>0</v>
      </c>
      <c r="AP237" t="str">
        <f t="shared" si="69"/>
        <v>&gt;3</v>
      </c>
      <c r="AQ237" t="str">
        <f t="shared" si="70"/>
        <v>&gt;3</v>
      </c>
      <c r="AR237" t="str">
        <f t="shared" si="71"/>
        <v>&gt;3</v>
      </c>
    </row>
    <row r="238" spans="1:44" x14ac:dyDescent="0.3">
      <c r="A238" t="s">
        <v>33</v>
      </c>
      <c r="B238" t="s">
        <v>150</v>
      </c>
      <c r="C238" t="s">
        <v>151</v>
      </c>
      <c r="D238">
        <v>4381</v>
      </c>
      <c r="E238">
        <v>23120122</v>
      </c>
      <c r="F238" t="s">
        <v>152</v>
      </c>
      <c r="G238" t="s">
        <v>54</v>
      </c>
      <c r="H238">
        <v>200</v>
      </c>
      <c r="I238">
        <v>7900</v>
      </c>
      <c r="J238">
        <v>1580000</v>
      </c>
      <c r="K238" s="7" t="str">
        <f>IFERROR(IF(B238&lt;&gt;"", TEXT(VLOOKUP(B238, 'Expected Date'!A:B, 2, FALSE) + DATE(RIGHT(C238,2),MID(C238,4,2),LEFT(C238,2)), "dd/mm/yy"), ""), "")</f>
        <v>24/09/23</v>
      </c>
      <c r="L238" t="s">
        <v>38</v>
      </c>
      <c r="M238" t="s">
        <v>48</v>
      </c>
      <c r="N238" t="s">
        <v>155</v>
      </c>
      <c r="O238" t="s">
        <v>272</v>
      </c>
      <c r="P238">
        <v>23191157</v>
      </c>
      <c r="Q238" t="s">
        <v>152</v>
      </c>
      <c r="R238" t="s">
        <v>153</v>
      </c>
      <c r="S238">
        <v>31.38</v>
      </c>
      <c r="T238">
        <v>7900</v>
      </c>
      <c r="U238">
        <v>247902</v>
      </c>
      <c r="V238" t="str">
        <f t="shared" si="67"/>
        <v>Accepted</v>
      </c>
      <c r="W238">
        <f>IFERROR(VLOOKUP(N238, Payment_Terms!A:B, 2, FALSE), "Payment term not found!")</f>
        <v>30</v>
      </c>
      <c r="X238" t="str">
        <f>IFERROR(VLOOKUP(R238, Item_Category!A:B, 2, FALSE), "Uncategorized")</f>
        <v>Coal materials</v>
      </c>
      <c r="Y238" s="5">
        <f t="shared" si="54"/>
        <v>0</v>
      </c>
      <c r="Z238">
        <f t="shared" si="55"/>
        <v>5</v>
      </c>
      <c r="AA238">
        <f t="shared" si="56"/>
        <v>1</v>
      </c>
      <c r="AB238">
        <f t="shared" si="57"/>
        <v>5</v>
      </c>
      <c r="AC238" s="10">
        <f t="shared" si="58"/>
        <v>11</v>
      </c>
      <c r="AD238" s="5">
        <f t="shared" si="59"/>
        <v>1</v>
      </c>
      <c r="AE238" s="5">
        <f t="shared" si="60"/>
        <v>1</v>
      </c>
      <c r="AF238" s="5">
        <f t="shared" si="61"/>
        <v>0</v>
      </c>
      <c r="AG238">
        <f>IF(B238&lt;&gt;"", COUNTIFS($B$2:B238, B238), "")</f>
        <v>12</v>
      </c>
      <c r="AH238">
        <f t="shared" si="62"/>
        <v>5</v>
      </c>
      <c r="AI238" t="str">
        <f>VLOOKUP(B238, Currency!A:B, 2, FALSE)</f>
        <v>INR</v>
      </c>
      <c r="AJ238">
        <f t="shared" si="63"/>
        <v>5</v>
      </c>
      <c r="AK238">
        <f t="shared" si="64"/>
        <v>9</v>
      </c>
      <c r="AL238" t="str">
        <f t="shared" si="65"/>
        <v>September</v>
      </c>
      <c r="AM238">
        <f t="shared" si="68"/>
        <v>2023</v>
      </c>
      <c r="AN238" t="str">
        <f t="shared" si="66"/>
        <v>30Venkatadurga Enterprises</v>
      </c>
      <c r="AO238">
        <f>IF(COUNTIF($AN$2:AN238, AN238)=1, 1, 0)</f>
        <v>0</v>
      </c>
      <c r="AP238" t="str">
        <f t="shared" si="69"/>
        <v>&gt;3</v>
      </c>
      <c r="AQ238" t="str">
        <f t="shared" si="70"/>
        <v>&gt;3</v>
      </c>
      <c r="AR238" t="str">
        <f t="shared" si="71"/>
        <v>&gt;3</v>
      </c>
    </row>
    <row r="239" spans="1:44" x14ac:dyDescent="0.3">
      <c r="A239" t="s">
        <v>33</v>
      </c>
      <c r="B239" t="s">
        <v>276</v>
      </c>
      <c r="C239" t="s">
        <v>45</v>
      </c>
      <c r="D239">
        <v>2482</v>
      </c>
      <c r="E239">
        <v>23120046</v>
      </c>
      <c r="F239" t="s">
        <v>326</v>
      </c>
      <c r="G239" t="s">
        <v>327</v>
      </c>
      <c r="H239">
        <v>2000</v>
      </c>
      <c r="I239">
        <v>365</v>
      </c>
      <c r="J239">
        <v>730000</v>
      </c>
      <c r="K239" s="7" t="str">
        <f>IFERROR(IF(B239&lt;&gt;"", TEXT(VLOOKUP(B239, 'Expected Date'!A:B, 2, FALSE) + DATE(RIGHT(C239,2),MID(C239,4,2),LEFT(C239,2)), "dd/mm/yy"), ""), "")</f>
        <v>02/07/23</v>
      </c>
      <c r="L239" t="s">
        <v>38</v>
      </c>
      <c r="M239" t="s">
        <v>48</v>
      </c>
      <c r="N239" t="s">
        <v>49</v>
      </c>
      <c r="O239" t="s">
        <v>249</v>
      </c>
      <c r="P239">
        <v>23190470</v>
      </c>
      <c r="Q239" t="s">
        <v>326</v>
      </c>
      <c r="R239" t="s">
        <v>327</v>
      </c>
      <c r="S239">
        <v>2000</v>
      </c>
      <c r="T239">
        <v>365</v>
      </c>
      <c r="U239">
        <v>730000</v>
      </c>
      <c r="V239" t="str">
        <f t="shared" si="67"/>
        <v>Accepted</v>
      </c>
      <c r="W239">
        <f>IFERROR(VLOOKUP(N239, Payment_Terms!A:B, 2, FALSE), "Payment term not found!")</f>
        <v>30</v>
      </c>
      <c r="X239" t="str">
        <f>IFERROR(VLOOKUP(R239, Item_Category!A:B, 2, FALSE), "Uncategorized")</f>
        <v>CMC</v>
      </c>
      <c r="Y239" s="5">
        <f t="shared" si="54"/>
        <v>0</v>
      </c>
      <c r="Z239">
        <f t="shared" si="55"/>
        <v>5</v>
      </c>
      <c r="AA239">
        <f t="shared" si="56"/>
        <v>-11</v>
      </c>
      <c r="AB239">
        <f t="shared" si="57"/>
        <v>5</v>
      </c>
      <c r="AC239" s="10">
        <f t="shared" si="58"/>
        <v>4</v>
      </c>
      <c r="AD239" s="5">
        <f t="shared" si="59"/>
        <v>1</v>
      </c>
      <c r="AE239" s="5">
        <f t="shared" si="60"/>
        <v>1</v>
      </c>
      <c r="AF239" s="5">
        <f t="shared" si="61"/>
        <v>0</v>
      </c>
      <c r="AG239">
        <f>IF(B239&lt;&gt;"", COUNTIFS($B$2:B239, B239), "")</f>
        <v>2</v>
      </c>
      <c r="AH239">
        <f t="shared" si="62"/>
        <v>5</v>
      </c>
      <c r="AI239" t="str">
        <f>VLOOKUP(B239, Currency!A:B, 2, FALSE)</f>
        <v>INR</v>
      </c>
      <c r="AJ239">
        <f t="shared" si="63"/>
        <v>5</v>
      </c>
      <c r="AK239">
        <f t="shared" si="64"/>
        <v>6</v>
      </c>
      <c r="AL239" t="str">
        <f t="shared" si="65"/>
        <v>June</v>
      </c>
      <c r="AM239">
        <f t="shared" si="68"/>
        <v>2023</v>
      </c>
      <c r="AN239" t="str">
        <f t="shared" si="66"/>
        <v>30Cellulose Solutions Pvt Ltd</v>
      </c>
      <c r="AO239">
        <f>IF(COUNTIF($AN$2:AN239, AN239)=1, 1, 0)</f>
        <v>0</v>
      </c>
      <c r="AP239" t="str">
        <f t="shared" si="69"/>
        <v>&gt;3</v>
      </c>
      <c r="AQ239" t="str">
        <f t="shared" si="70"/>
        <v>&gt;3</v>
      </c>
      <c r="AR239" t="str">
        <f t="shared" si="71"/>
        <v>&gt;3</v>
      </c>
    </row>
    <row r="240" spans="1:44" x14ac:dyDescent="0.3">
      <c r="A240" t="s">
        <v>33</v>
      </c>
      <c r="B240" t="s">
        <v>51</v>
      </c>
      <c r="C240" t="s">
        <v>320</v>
      </c>
      <c r="D240">
        <v>4682</v>
      </c>
      <c r="E240">
        <v>23120138</v>
      </c>
      <c r="F240" t="s">
        <v>61</v>
      </c>
      <c r="G240" t="s">
        <v>62</v>
      </c>
      <c r="H240">
        <v>162</v>
      </c>
      <c r="I240">
        <v>6564.46</v>
      </c>
      <c r="J240">
        <v>1063442.52</v>
      </c>
      <c r="K240" s="7" t="str">
        <f>IFERROR(IF(B240&lt;&gt;"", TEXT(VLOOKUP(B240, 'Expected Date'!A:B, 2, FALSE) + DATE(RIGHT(C240,2),MID(C240,4,2),LEFT(C240,2)), "dd/mm/yy"), ""), "")</f>
        <v>18/10/23</v>
      </c>
      <c r="L240" t="s">
        <v>38</v>
      </c>
      <c r="M240" t="s">
        <v>48</v>
      </c>
      <c r="N240" t="s">
        <v>55</v>
      </c>
      <c r="O240" t="s">
        <v>154</v>
      </c>
      <c r="P240">
        <v>23191189</v>
      </c>
      <c r="Q240" t="s">
        <v>61</v>
      </c>
      <c r="R240" t="s">
        <v>62</v>
      </c>
      <c r="S240">
        <v>20</v>
      </c>
      <c r="T240">
        <v>6564.46</v>
      </c>
      <c r="U240">
        <v>131289.20000000001</v>
      </c>
      <c r="V240" t="str">
        <f t="shared" si="67"/>
        <v>Accepted</v>
      </c>
      <c r="W240">
        <f>IFERROR(VLOOKUP(N240, Payment_Terms!A:B, 2, FALSE), "Payment term not found!")</f>
        <v>0</v>
      </c>
      <c r="X240" t="str">
        <f>IFERROR(VLOOKUP(R240, Item_Category!A:B, 2, FALSE), "Uncategorized")</f>
        <v>Coal materials</v>
      </c>
      <c r="Y240" s="5">
        <f t="shared" si="54"/>
        <v>0</v>
      </c>
      <c r="Z240">
        <f t="shared" si="55"/>
        <v>5</v>
      </c>
      <c r="AA240">
        <f t="shared" si="56"/>
        <v>-28</v>
      </c>
      <c r="AB240">
        <f t="shared" si="57"/>
        <v>5</v>
      </c>
      <c r="AC240" s="10">
        <f t="shared" si="58"/>
        <v>8</v>
      </c>
      <c r="AD240" s="5">
        <f t="shared" si="59"/>
        <v>1</v>
      </c>
      <c r="AE240" s="5">
        <f t="shared" si="60"/>
        <v>1</v>
      </c>
      <c r="AF240" s="5">
        <f t="shared" si="61"/>
        <v>0</v>
      </c>
      <c r="AG240">
        <f>IF(B240&lt;&gt;"", COUNTIFS($B$2:B240, B240), "")</f>
        <v>71</v>
      </c>
      <c r="AH240">
        <f t="shared" si="62"/>
        <v>5</v>
      </c>
      <c r="AI240" t="str">
        <f>VLOOKUP(B240, Currency!A:B, 2, FALSE)</f>
        <v>INR</v>
      </c>
      <c r="AJ240">
        <f t="shared" si="63"/>
        <v>5</v>
      </c>
      <c r="AK240">
        <f t="shared" si="64"/>
        <v>9</v>
      </c>
      <c r="AL240" t="str">
        <f t="shared" si="65"/>
        <v>September</v>
      </c>
      <c r="AM240">
        <f t="shared" si="68"/>
        <v>2023</v>
      </c>
      <c r="AN240" t="str">
        <f t="shared" si="66"/>
        <v>0The Singareni Collieries Company Ltd</v>
      </c>
      <c r="AO240">
        <f>IF(COUNTIF($AN$2:AN240, AN240)=1, 1, 0)</f>
        <v>0</v>
      </c>
      <c r="AP240" t="str">
        <f t="shared" si="69"/>
        <v>&gt;3</v>
      </c>
      <c r="AQ240" t="str">
        <f t="shared" si="70"/>
        <v>&gt;3</v>
      </c>
      <c r="AR240" t="str">
        <f t="shared" si="71"/>
        <v>&gt;3</v>
      </c>
    </row>
    <row r="241" spans="1:44" x14ac:dyDescent="0.3">
      <c r="A241" t="s">
        <v>33</v>
      </c>
      <c r="B241" t="s">
        <v>51</v>
      </c>
      <c r="C241" t="s">
        <v>320</v>
      </c>
      <c r="D241">
        <v>4682</v>
      </c>
      <c r="E241">
        <v>23120138</v>
      </c>
      <c r="F241" t="s">
        <v>61</v>
      </c>
      <c r="G241" t="s">
        <v>62</v>
      </c>
      <c r="H241">
        <v>162</v>
      </c>
      <c r="I241">
        <v>6564.46</v>
      </c>
      <c r="J241">
        <v>1063442.52</v>
      </c>
      <c r="K241" s="7" t="str">
        <f>IFERROR(IF(B241&lt;&gt;"", TEXT(VLOOKUP(B241, 'Expected Date'!A:B, 2, FALSE) + DATE(RIGHT(C241,2),MID(C241,4,2),LEFT(C241,2)), "dd/mm/yy"), ""), "")</f>
        <v>18/10/23</v>
      </c>
      <c r="L241" t="s">
        <v>38</v>
      </c>
      <c r="M241" t="s">
        <v>48</v>
      </c>
      <c r="N241" t="s">
        <v>55</v>
      </c>
      <c r="O241" t="s">
        <v>154</v>
      </c>
      <c r="P241">
        <v>23191190</v>
      </c>
      <c r="Q241" t="s">
        <v>61</v>
      </c>
      <c r="R241" t="s">
        <v>62</v>
      </c>
      <c r="S241">
        <v>20</v>
      </c>
      <c r="T241">
        <v>6564.46</v>
      </c>
      <c r="U241">
        <v>131289.20000000001</v>
      </c>
      <c r="V241" t="str">
        <f t="shared" si="67"/>
        <v>Accepted</v>
      </c>
      <c r="W241">
        <f>IFERROR(VLOOKUP(N241, Payment_Terms!A:B, 2, FALSE), "Payment term not found!")</f>
        <v>0</v>
      </c>
      <c r="X241" t="str">
        <f>IFERROR(VLOOKUP(R241, Item_Category!A:B, 2, FALSE), "Uncategorized")</f>
        <v>Coal materials</v>
      </c>
      <c r="Y241" s="5">
        <f t="shared" si="54"/>
        <v>0</v>
      </c>
      <c r="Z241">
        <f t="shared" si="55"/>
        <v>5</v>
      </c>
      <c r="AA241">
        <f t="shared" si="56"/>
        <v>-28</v>
      </c>
      <c r="AB241">
        <f t="shared" si="57"/>
        <v>5</v>
      </c>
      <c r="AC241" s="10">
        <f t="shared" si="58"/>
        <v>8</v>
      </c>
      <c r="AD241" s="5">
        <f t="shared" si="59"/>
        <v>1</v>
      </c>
      <c r="AE241" s="5">
        <f t="shared" si="60"/>
        <v>1</v>
      </c>
      <c r="AF241" s="5">
        <f t="shared" si="61"/>
        <v>0</v>
      </c>
      <c r="AG241">
        <f>IF(B241&lt;&gt;"", COUNTIFS($B$2:B241, B241), "")</f>
        <v>72</v>
      </c>
      <c r="AH241">
        <f t="shared" si="62"/>
        <v>5</v>
      </c>
      <c r="AI241" t="str">
        <f>VLOOKUP(B241, Currency!A:B, 2, FALSE)</f>
        <v>INR</v>
      </c>
      <c r="AJ241">
        <f t="shared" si="63"/>
        <v>5</v>
      </c>
      <c r="AK241">
        <f t="shared" si="64"/>
        <v>9</v>
      </c>
      <c r="AL241" t="str">
        <f t="shared" si="65"/>
        <v>September</v>
      </c>
      <c r="AM241">
        <f t="shared" si="68"/>
        <v>2023</v>
      </c>
      <c r="AN241" t="str">
        <f t="shared" si="66"/>
        <v>0The Singareni Collieries Company Ltd</v>
      </c>
      <c r="AO241">
        <f>IF(COUNTIF($AN$2:AN241, AN241)=1, 1, 0)</f>
        <v>0</v>
      </c>
      <c r="AP241" t="str">
        <f t="shared" si="69"/>
        <v>&gt;3</v>
      </c>
      <c r="AQ241" t="str">
        <f t="shared" si="70"/>
        <v>&gt;3</v>
      </c>
      <c r="AR241" t="str">
        <f t="shared" si="71"/>
        <v>&gt;3</v>
      </c>
    </row>
    <row r="242" spans="1:44" x14ac:dyDescent="0.3">
      <c r="A242" t="s">
        <v>33</v>
      </c>
      <c r="B242" t="s">
        <v>107</v>
      </c>
      <c r="C242" t="s">
        <v>65</v>
      </c>
      <c r="D242">
        <v>1389</v>
      </c>
      <c r="E242">
        <v>23110050</v>
      </c>
      <c r="F242" t="s">
        <v>36</v>
      </c>
      <c r="G242" t="s">
        <v>37</v>
      </c>
      <c r="H242">
        <v>2000</v>
      </c>
      <c r="I242">
        <v>33.799999999999997</v>
      </c>
      <c r="J242">
        <v>67600</v>
      </c>
      <c r="K242" s="7" t="str">
        <f>IFERROR(IF(B242&lt;&gt;"", TEXT(VLOOKUP(B242, 'Expected Date'!A:B, 2, FALSE) + DATE(RIGHT(C242,2),MID(C242,4,2),LEFT(C242,2)), "dd/mm/yy"), ""), "")</f>
        <v>29/04/23</v>
      </c>
      <c r="L242" t="s">
        <v>38</v>
      </c>
      <c r="M242" t="s">
        <v>39</v>
      </c>
      <c r="N242" t="s">
        <v>109</v>
      </c>
      <c r="O242" t="s">
        <v>300</v>
      </c>
      <c r="P242">
        <v>23190237</v>
      </c>
      <c r="Q242" t="s">
        <v>36</v>
      </c>
      <c r="R242" t="s">
        <v>37</v>
      </c>
      <c r="S242">
        <v>2136</v>
      </c>
      <c r="T242">
        <v>33.799999999999997</v>
      </c>
      <c r="U242">
        <v>72196.800000000003</v>
      </c>
      <c r="V242" t="str">
        <f t="shared" si="67"/>
        <v>Accepted</v>
      </c>
      <c r="W242">
        <f>IFERROR(VLOOKUP(N242, Payment_Terms!A:B, 2, FALSE), "Payment term not found!")</f>
        <v>0</v>
      </c>
      <c r="X242" t="str">
        <f>IFERROR(VLOOKUP(R242, Item_Category!A:B, 2, FALSE), "Uncategorized")</f>
        <v>Bags</v>
      </c>
      <c r="Y242" s="5">
        <f t="shared" si="54"/>
        <v>0</v>
      </c>
      <c r="Z242">
        <f t="shared" si="55"/>
        <v>5</v>
      </c>
      <c r="AA242">
        <f t="shared" si="56"/>
        <v>13</v>
      </c>
      <c r="AB242">
        <f t="shared" si="57"/>
        <v>1</v>
      </c>
      <c r="AC242" s="10">
        <f t="shared" si="58"/>
        <v>23</v>
      </c>
      <c r="AD242" s="5">
        <f t="shared" si="59"/>
        <v>1</v>
      </c>
      <c r="AE242" s="5">
        <f t="shared" si="60"/>
        <v>1</v>
      </c>
      <c r="AF242" s="5">
        <f t="shared" si="61"/>
        <v>0</v>
      </c>
      <c r="AG242">
        <f>IF(B242&lt;&gt;"", COUNTIFS($B$2:B242, B242), "")</f>
        <v>21</v>
      </c>
      <c r="AH242">
        <f t="shared" si="62"/>
        <v>5</v>
      </c>
      <c r="AI242" t="str">
        <f>VLOOKUP(B242, Currency!A:B, 2, FALSE)</f>
        <v>INR</v>
      </c>
      <c r="AJ242">
        <f t="shared" si="63"/>
        <v>4</v>
      </c>
      <c r="AK242">
        <f t="shared" si="64"/>
        <v>4</v>
      </c>
      <c r="AL242" t="str">
        <f t="shared" si="65"/>
        <v>April</v>
      </c>
      <c r="AM242">
        <f t="shared" si="68"/>
        <v>2023</v>
      </c>
      <c r="AN242" t="str">
        <f t="shared" si="66"/>
        <v>0KAPILA INDUSTRIES</v>
      </c>
      <c r="AO242">
        <f>IF(COUNTIF($AN$2:AN242, AN242)=1, 1, 0)</f>
        <v>0</v>
      </c>
      <c r="AP242" t="str">
        <f t="shared" si="69"/>
        <v>&gt;3</v>
      </c>
      <c r="AQ242" t="str">
        <f t="shared" si="70"/>
        <v>&gt;3</v>
      </c>
      <c r="AR242" t="str">
        <f t="shared" si="71"/>
        <v>&lt;=3</v>
      </c>
    </row>
    <row r="243" spans="1:44" x14ac:dyDescent="0.3">
      <c r="A243" t="s">
        <v>33</v>
      </c>
      <c r="B243" t="s">
        <v>248</v>
      </c>
      <c r="C243" t="s">
        <v>328</v>
      </c>
      <c r="D243">
        <v>2420</v>
      </c>
      <c r="E243">
        <v>23120044</v>
      </c>
      <c r="F243" t="s">
        <v>250</v>
      </c>
      <c r="G243" t="s">
        <v>251</v>
      </c>
      <c r="H243">
        <v>400</v>
      </c>
      <c r="I243">
        <v>438</v>
      </c>
      <c r="J243">
        <v>175200</v>
      </c>
      <c r="K243" s="7" t="str">
        <f>IFERROR(IF(B243&lt;&gt;"", TEXT(VLOOKUP(B243, 'Expected Date'!A:B, 2, FALSE) + DATE(RIGHT(C243,2),MID(C243,4,2),LEFT(C243,2)), "dd/mm/yy"), ""), "")</f>
        <v>24/06/23</v>
      </c>
      <c r="L243" t="s">
        <v>38</v>
      </c>
      <c r="M243" t="s">
        <v>39</v>
      </c>
      <c r="N243" t="s">
        <v>109</v>
      </c>
      <c r="O243" t="s">
        <v>328</v>
      </c>
      <c r="P243">
        <v>23190431</v>
      </c>
      <c r="Q243" t="s">
        <v>250</v>
      </c>
      <c r="R243" t="s">
        <v>251</v>
      </c>
      <c r="S243">
        <v>400</v>
      </c>
      <c r="T243">
        <v>438</v>
      </c>
      <c r="U243">
        <v>175200</v>
      </c>
      <c r="V243" t="str">
        <f t="shared" si="67"/>
        <v>Accepted</v>
      </c>
      <c r="W243">
        <f>IFERROR(VLOOKUP(N243, Payment_Terms!A:B, 2, FALSE), "Payment term not found!")</f>
        <v>0</v>
      </c>
      <c r="X243" t="str">
        <f>IFERROR(VLOOKUP(R243, Item_Category!A:B, 2, FALSE), "Uncategorized")</f>
        <v>HDPE</v>
      </c>
      <c r="Y243" s="5">
        <f t="shared" si="54"/>
        <v>0</v>
      </c>
      <c r="Z243">
        <f t="shared" si="55"/>
        <v>5</v>
      </c>
      <c r="AA243">
        <f t="shared" si="56"/>
        <v>-10</v>
      </c>
      <c r="AB243">
        <f t="shared" si="57"/>
        <v>5</v>
      </c>
      <c r="AC243" s="10">
        <f t="shared" si="58"/>
        <v>0</v>
      </c>
      <c r="AD243" s="5">
        <f t="shared" si="59"/>
        <v>1</v>
      </c>
      <c r="AE243" s="5">
        <f t="shared" si="60"/>
        <v>1</v>
      </c>
      <c r="AF243" s="5">
        <f t="shared" si="61"/>
        <v>0</v>
      </c>
      <c r="AG243">
        <f>IF(B243&lt;&gt;"", COUNTIFS($B$2:B243, B243), "")</f>
        <v>3</v>
      </c>
      <c r="AH243">
        <f t="shared" si="62"/>
        <v>5</v>
      </c>
      <c r="AI243" t="str">
        <f>VLOOKUP(B243, Currency!A:B, 2, FALSE)</f>
        <v>INR</v>
      </c>
      <c r="AJ243">
        <f t="shared" si="63"/>
        <v>5</v>
      </c>
      <c r="AK243">
        <f t="shared" si="64"/>
        <v>6</v>
      </c>
      <c r="AL243" t="str">
        <f t="shared" si="65"/>
        <v>June</v>
      </c>
      <c r="AM243">
        <f t="shared" si="68"/>
        <v>2023</v>
      </c>
      <c r="AN243" t="str">
        <f t="shared" si="66"/>
        <v>0Sanjay Chem Products</v>
      </c>
      <c r="AO243">
        <f>IF(COUNTIF($AN$2:AN243, AN243)=1, 1, 0)</f>
        <v>0</v>
      </c>
      <c r="AP243" t="str">
        <f t="shared" si="69"/>
        <v>&gt;3</v>
      </c>
      <c r="AQ243" t="str">
        <f t="shared" si="70"/>
        <v>&gt;3</v>
      </c>
      <c r="AR243" t="str">
        <f t="shared" si="71"/>
        <v>&gt;3</v>
      </c>
    </row>
    <row r="244" spans="1:44" x14ac:dyDescent="0.3">
      <c r="A244" t="str">
        <f>A197</f>
        <v>Woodpulp</v>
      </c>
      <c r="B244" t="s">
        <v>289</v>
      </c>
      <c r="C244" t="s">
        <v>163</v>
      </c>
      <c r="D244">
        <v>4111</v>
      </c>
      <c r="E244">
        <v>23120112</v>
      </c>
      <c r="F244" t="s">
        <v>290</v>
      </c>
      <c r="G244" t="s">
        <v>291</v>
      </c>
      <c r="H244">
        <v>100</v>
      </c>
      <c r="I244">
        <v>47800</v>
      </c>
      <c r="J244">
        <v>4780000</v>
      </c>
      <c r="K244" s="7" t="str">
        <f>IFERROR(IF(B244&lt;&gt;"", TEXT(VLOOKUP(B244, 'Expected Date'!A:B, 2, FALSE) + DATE(RIGHT(C244,2),MID(C244,4,2),LEFT(C244,2)), "dd/mm/yy"), ""), "")</f>
        <v>29/09/23</v>
      </c>
      <c r="L244" t="s">
        <v>38</v>
      </c>
      <c r="M244" t="str">
        <f>M197</f>
        <v>MT</v>
      </c>
      <c r="N244" t="s">
        <v>292</v>
      </c>
      <c r="O244" t="s">
        <v>294</v>
      </c>
      <c r="P244">
        <v>23190991</v>
      </c>
      <c r="Q244" t="s">
        <v>290</v>
      </c>
      <c r="R244" t="s">
        <v>291</v>
      </c>
      <c r="S244">
        <v>25.234000000000002</v>
      </c>
      <c r="T244">
        <v>47800</v>
      </c>
      <c r="U244">
        <v>1206185.2</v>
      </c>
      <c r="V244" t="str">
        <f t="shared" si="67"/>
        <v>Accepted</v>
      </c>
      <c r="W244">
        <f>IFERROR(VLOOKUP(N244, Payment_Terms!A:B, 2, FALSE), "Payment term not found!")</f>
        <v>0</v>
      </c>
      <c r="X244" t="str">
        <f>IFERROR(VLOOKUP(R244, Item_Category!A:B, 2, FALSE), "Uncategorized")</f>
        <v>Wood pulp</v>
      </c>
      <c r="Y244" s="5">
        <f t="shared" si="54"/>
        <v>0</v>
      </c>
      <c r="Z244">
        <f t="shared" si="55"/>
        <v>5</v>
      </c>
      <c r="AA244">
        <f t="shared" si="56"/>
        <v>-37</v>
      </c>
      <c r="AB244">
        <f t="shared" si="57"/>
        <v>5</v>
      </c>
      <c r="AC244" s="10">
        <f t="shared" si="58"/>
        <v>7</v>
      </c>
      <c r="AD244" s="5">
        <f t="shared" si="59"/>
        <v>1</v>
      </c>
      <c r="AE244" s="5">
        <f t="shared" si="60"/>
        <v>1</v>
      </c>
      <c r="AF244" s="5">
        <f t="shared" si="61"/>
        <v>0</v>
      </c>
      <c r="AG244">
        <f>IF(B244&lt;&gt;"", COUNTIFS($B$2:B244, B244), "")</f>
        <v>9</v>
      </c>
      <c r="AH244">
        <f t="shared" si="62"/>
        <v>5</v>
      </c>
      <c r="AI244" t="str">
        <f>VLOOKUP(B244, Currency!A:B, 2, FALSE)</f>
        <v>INR</v>
      </c>
      <c r="AJ244">
        <f t="shared" si="63"/>
        <v>5</v>
      </c>
      <c r="AK244">
        <f t="shared" si="64"/>
        <v>8</v>
      </c>
      <c r="AL244" t="str">
        <f t="shared" si="65"/>
        <v>August</v>
      </c>
      <c r="AM244">
        <f t="shared" si="68"/>
        <v>2023</v>
      </c>
      <c r="AN244" t="str">
        <f t="shared" si="66"/>
        <v>0N.E. IMPEX PRIVATE LIMITED</v>
      </c>
      <c r="AO244">
        <f>IF(COUNTIF($AN$2:AN244, AN244)=1, 1, 0)</f>
        <v>0</v>
      </c>
      <c r="AP244" t="str">
        <f t="shared" si="69"/>
        <v>&gt;3</v>
      </c>
      <c r="AQ244" t="str">
        <f t="shared" si="70"/>
        <v>&gt;3</v>
      </c>
      <c r="AR244" t="str">
        <f t="shared" si="71"/>
        <v>&gt;3</v>
      </c>
    </row>
    <row r="245" spans="1:44" x14ac:dyDescent="0.3">
      <c r="A245" t="str">
        <f>A244</f>
        <v>Woodpulp</v>
      </c>
      <c r="B245" t="s">
        <v>289</v>
      </c>
      <c r="C245" t="s">
        <v>163</v>
      </c>
      <c r="D245">
        <v>4111</v>
      </c>
      <c r="E245">
        <v>23120112</v>
      </c>
      <c r="F245" t="s">
        <v>290</v>
      </c>
      <c r="G245" t="s">
        <v>291</v>
      </c>
      <c r="H245">
        <v>100</v>
      </c>
      <c r="I245">
        <v>47800</v>
      </c>
      <c r="J245">
        <v>4780000</v>
      </c>
      <c r="K245" s="7" t="str">
        <f>IFERROR(IF(B245&lt;&gt;"", TEXT(VLOOKUP(B245, 'Expected Date'!A:B, 2, FALSE) + DATE(RIGHT(C245,2),MID(C245,4,2),LEFT(C245,2)), "dd/mm/yy"), ""), "")</f>
        <v>29/09/23</v>
      </c>
      <c r="L245" t="s">
        <v>38</v>
      </c>
      <c r="M245" t="str">
        <f>M197</f>
        <v>MT</v>
      </c>
      <c r="N245" t="s">
        <v>292</v>
      </c>
      <c r="O245" t="s">
        <v>294</v>
      </c>
      <c r="P245">
        <v>23190992</v>
      </c>
      <c r="Q245" t="s">
        <v>290</v>
      </c>
      <c r="R245" t="s">
        <v>291</v>
      </c>
      <c r="S245">
        <v>25.234000000000002</v>
      </c>
      <c r="T245">
        <v>47800</v>
      </c>
      <c r="U245">
        <v>1206185.2</v>
      </c>
      <c r="V245" t="str">
        <f t="shared" si="67"/>
        <v>Accepted</v>
      </c>
      <c r="W245">
        <f>IFERROR(VLOOKUP(N245, Payment_Terms!A:B, 2, FALSE), "Payment term not found!")</f>
        <v>0</v>
      </c>
      <c r="X245" t="str">
        <f>IFERROR(VLOOKUP(R245, Item_Category!A:B, 2, FALSE), "Uncategorized")</f>
        <v>Wood pulp</v>
      </c>
      <c r="Y245" s="5">
        <f t="shared" si="54"/>
        <v>0</v>
      </c>
      <c r="Z245">
        <f t="shared" si="55"/>
        <v>5</v>
      </c>
      <c r="AA245">
        <f t="shared" si="56"/>
        <v>-37</v>
      </c>
      <c r="AB245">
        <f t="shared" si="57"/>
        <v>5</v>
      </c>
      <c r="AC245" s="10">
        <f t="shared" si="58"/>
        <v>7</v>
      </c>
      <c r="AD245" s="5">
        <f t="shared" si="59"/>
        <v>1</v>
      </c>
      <c r="AE245" s="5">
        <f t="shared" si="60"/>
        <v>1</v>
      </c>
      <c r="AF245" s="5">
        <f t="shared" si="61"/>
        <v>0</v>
      </c>
      <c r="AG245">
        <f>IF(B245&lt;&gt;"", COUNTIFS($B$2:B245, B245), "")</f>
        <v>10</v>
      </c>
      <c r="AH245">
        <f t="shared" si="62"/>
        <v>5</v>
      </c>
      <c r="AI245" t="str">
        <f>VLOOKUP(B245, Currency!A:B, 2, FALSE)</f>
        <v>INR</v>
      </c>
      <c r="AJ245">
        <f t="shared" si="63"/>
        <v>5</v>
      </c>
      <c r="AK245">
        <f t="shared" si="64"/>
        <v>8</v>
      </c>
      <c r="AL245" t="str">
        <f t="shared" si="65"/>
        <v>August</v>
      </c>
      <c r="AM245">
        <f t="shared" si="68"/>
        <v>2023</v>
      </c>
      <c r="AN245" t="str">
        <f t="shared" si="66"/>
        <v>0N.E. IMPEX PRIVATE LIMITED</v>
      </c>
      <c r="AO245">
        <f>IF(COUNTIF($AN$2:AN245, AN245)=1, 1, 0)</f>
        <v>0</v>
      </c>
      <c r="AP245" t="str">
        <f t="shared" si="69"/>
        <v>&gt;3</v>
      </c>
      <c r="AQ245" t="str">
        <f t="shared" si="70"/>
        <v>&gt;3</v>
      </c>
      <c r="AR245" t="str">
        <f t="shared" si="71"/>
        <v>&gt;3</v>
      </c>
    </row>
    <row r="246" spans="1:44" x14ac:dyDescent="0.3">
      <c r="A246" t="str">
        <f>A244</f>
        <v>Woodpulp</v>
      </c>
      <c r="B246" t="s">
        <v>289</v>
      </c>
      <c r="C246" t="s">
        <v>163</v>
      </c>
      <c r="D246">
        <v>4111</v>
      </c>
      <c r="E246">
        <v>23120112</v>
      </c>
      <c r="F246" t="s">
        <v>290</v>
      </c>
      <c r="G246" t="s">
        <v>291</v>
      </c>
      <c r="H246">
        <v>100</v>
      </c>
      <c r="I246">
        <v>47800</v>
      </c>
      <c r="J246">
        <v>4780000</v>
      </c>
      <c r="K246" s="7" t="str">
        <f>IFERROR(IF(B246&lt;&gt;"", TEXT(VLOOKUP(B246, 'Expected Date'!A:B, 2, FALSE) + DATE(RIGHT(C246,2),MID(C246,4,2),LEFT(C246,2)), "dd/mm/yy"), ""), "")</f>
        <v>29/09/23</v>
      </c>
      <c r="L246" t="s">
        <v>38</v>
      </c>
      <c r="M246" t="str">
        <f>M197</f>
        <v>MT</v>
      </c>
      <c r="N246" t="s">
        <v>292</v>
      </c>
      <c r="O246" t="s">
        <v>105</v>
      </c>
      <c r="P246">
        <v>23190993</v>
      </c>
      <c r="Q246" t="s">
        <v>290</v>
      </c>
      <c r="R246" t="s">
        <v>291</v>
      </c>
      <c r="S246">
        <v>25.234000000000002</v>
      </c>
      <c r="T246">
        <v>47800</v>
      </c>
      <c r="U246">
        <v>1206185.2</v>
      </c>
      <c r="V246" t="str">
        <f t="shared" si="67"/>
        <v>Accepted</v>
      </c>
      <c r="W246">
        <f>IFERROR(VLOOKUP(N246, Payment_Terms!A:B, 2, FALSE), "Payment term not found!")</f>
        <v>0</v>
      </c>
      <c r="X246" t="str">
        <f>IFERROR(VLOOKUP(R246, Item_Category!A:B, 2, FALSE), "Uncategorized")</f>
        <v>Wood pulp</v>
      </c>
      <c r="Y246" s="5">
        <f t="shared" si="54"/>
        <v>0</v>
      </c>
      <c r="Z246">
        <f t="shared" si="55"/>
        <v>5</v>
      </c>
      <c r="AA246">
        <f t="shared" si="56"/>
        <v>-35</v>
      </c>
      <c r="AB246">
        <f t="shared" si="57"/>
        <v>5</v>
      </c>
      <c r="AC246" s="10">
        <f t="shared" si="58"/>
        <v>5</v>
      </c>
      <c r="AD246" s="5">
        <f t="shared" si="59"/>
        <v>1</v>
      </c>
      <c r="AE246" s="5">
        <f t="shared" si="60"/>
        <v>1</v>
      </c>
      <c r="AF246" s="5">
        <f t="shared" si="61"/>
        <v>0</v>
      </c>
      <c r="AG246">
        <f>IF(B246&lt;&gt;"", COUNTIFS($B$2:B246, B246), "")</f>
        <v>11</v>
      </c>
      <c r="AH246">
        <f t="shared" si="62"/>
        <v>5</v>
      </c>
      <c r="AI246" t="str">
        <f>VLOOKUP(B246, Currency!A:B, 2, FALSE)</f>
        <v>INR</v>
      </c>
      <c r="AJ246">
        <f t="shared" si="63"/>
        <v>5</v>
      </c>
      <c r="AK246">
        <f t="shared" si="64"/>
        <v>8</v>
      </c>
      <c r="AL246" t="str">
        <f t="shared" si="65"/>
        <v>August</v>
      </c>
      <c r="AM246">
        <f t="shared" si="68"/>
        <v>2023</v>
      </c>
      <c r="AN246" t="str">
        <f t="shared" si="66"/>
        <v>0N.E. IMPEX PRIVATE LIMITED</v>
      </c>
      <c r="AO246">
        <f>IF(COUNTIF($AN$2:AN246, AN246)=1, 1, 0)</f>
        <v>0</v>
      </c>
      <c r="AP246" t="str">
        <f t="shared" si="69"/>
        <v>&gt;3</v>
      </c>
      <c r="AQ246" t="str">
        <f t="shared" si="70"/>
        <v>&gt;3</v>
      </c>
      <c r="AR246" t="str">
        <f t="shared" si="71"/>
        <v>&gt;3</v>
      </c>
    </row>
    <row r="247" spans="1:44" x14ac:dyDescent="0.3">
      <c r="A247" t="s">
        <v>33</v>
      </c>
      <c r="B247" t="s">
        <v>51</v>
      </c>
      <c r="C247" t="s">
        <v>60</v>
      </c>
      <c r="D247">
        <v>2658</v>
      </c>
      <c r="E247">
        <v>23120061</v>
      </c>
      <c r="F247" t="s">
        <v>61</v>
      </c>
      <c r="G247" t="s">
        <v>62</v>
      </c>
      <c r="H247">
        <v>183</v>
      </c>
      <c r="I247">
        <v>7368.3239999999996</v>
      </c>
      <c r="J247">
        <v>1348403.29</v>
      </c>
      <c r="K247" s="7" t="str">
        <f>IFERROR(IF(B247&lt;&gt;"", TEXT(VLOOKUP(B247, 'Expected Date'!A:B, 2, FALSE) + DATE(RIGHT(C247,2),MID(C247,4,2),LEFT(C247,2)), "dd/mm/yy"), ""), "")</f>
        <v>16/07/23</v>
      </c>
      <c r="L247" t="s">
        <v>38</v>
      </c>
      <c r="M247" t="s">
        <v>48</v>
      </c>
      <c r="N247" t="s">
        <v>55</v>
      </c>
      <c r="O247" t="s">
        <v>72</v>
      </c>
      <c r="P247">
        <v>23190497</v>
      </c>
      <c r="Q247" t="s">
        <v>61</v>
      </c>
      <c r="R247" t="s">
        <v>62</v>
      </c>
      <c r="S247">
        <v>21</v>
      </c>
      <c r="T247">
        <v>7368.3239999999996</v>
      </c>
      <c r="U247">
        <v>154734.79999999999</v>
      </c>
      <c r="V247" t="str">
        <f t="shared" si="67"/>
        <v>Accepted</v>
      </c>
      <c r="W247">
        <f>IFERROR(VLOOKUP(N247, Payment_Terms!A:B, 2, FALSE), "Payment term not found!")</f>
        <v>0</v>
      </c>
      <c r="X247" t="str">
        <f>IFERROR(VLOOKUP(R247, Item_Category!A:B, 2, FALSE), "Uncategorized")</f>
        <v>Coal materials</v>
      </c>
      <c r="Y247" s="5">
        <f t="shared" si="54"/>
        <v>0</v>
      </c>
      <c r="Z247">
        <f t="shared" si="55"/>
        <v>5</v>
      </c>
      <c r="AA247">
        <f t="shared" si="56"/>
        <v>-23</v>
      </c>
      <c r="AB247">
        <f t="shared" si="57"/>
        <v>5</v>
      </c>
      <c r="AC247" s="10">
        <f t="shared" si="58"/>
        <v>3</v>
      </c>
      <c r="AD247" s="5">
        <f t="shared" si="59"/>
        <v>1</v>
      </c>
      <c r="AE247" s="5">
        <f t="shared" si="60"/>
        <v>1</v>
      </c>
      <c r="AF247" s="5">
        <f t="shared" si="61"/>
        <v>0</v>
      </c>
      <c r="AG247">
        <f>IF(B247&lt;&gt;"", COUNTIFS($B$2:B247, B247), "")</f>
        <v>73</v>
      </c>
      <c r="AH247">
        <f t="shared" si="62"/>
        <v>5</v>
      </c>
      <c r="AI247" t="str">
        <f>VLOOKUP(B247, Currency!A:B, 2, FALSE)</f>
        <v>INR</v>
      </c>
      <c r="AJ247">
        <f t="shared" si="63"/>
        <v>5</v>
      </c>
      <c r="AK247">
        <f t="shared" si="64"/>
        <v>6</v>
      </c>
      <c r="AL247" t="str">
        <f t="shared" si="65"/>
        <v>June</v>
      </c>
      <c r="AM247">
        <f t="shared" si="68"/>
        <v>2023</v>
      </c>
      <c r="AN247" t="str">
        <f t="shared" si="66"/>
        <v>0The Singareni Collieries Company Ltd</v>
      </c>
      <c r="AO247">
        <f>IF(COUNTIF($AN$2:AN247, AN247)=1, 1, 0)</f>
        <v>0</v>
      </c>
      <c r="AP247" t="str">
        <f t="shared" si="69"/>
        <v>&gt;3</v>
      </c>
      <c r="AQ247" t="str">
        <f t="shared" si="70"/>
        <v>&gt;3</v>
      </c>
      <c r="AR247" t="str">
        <f t="shared" si="71"/>
        <v>&gt;3</v>
      </c>
    </row>
    <row r="248" spans="1:44" x14ac:dyDescent="0.3">
      <c r="A248" t="s">
        <v>33</v>
      </c>
      <c r="B248" t="s">
        <v>51</v>
      </c>
      <c r="C248" t="s">
        <v>60</v>
      </c>
      <c r="D248">
        <v>2658</v>
      </c>
      <c r="E248">
        <v>23120061</v>
      </c>
      <c r="F248" t="s">
        <v>61</v>
      </c>
      <c r="G248" t="s">
        <v>62</v>
      </c>
      <c r="H248">
        <v>183</v>
      </c>
      <c r="I248">
        <v>7368.3239999999996</v>
      </c>
      <c r="J248">
        <v>1348403.29</v>
      </c>
      <c r="K248" s="7" t="str">
        <f>IFERROR(IF(B248&lt;&gt;"", TEXT(VLOOKUP(B248, 'Expected Date'!A:B, 2, FALSE) + DATE(RIGHT(C248,2),MID(C248,4,2),LEFT(C248,2)), "dd/mm/yy"), ""), "")</f>
        <v>16/07/23</v>
      </c>
      <c r="L248" t="s">
        <v>38</v>
      </c>
      <c r="M248" t="s">
        <v>48</v>
      </c>
      <c r="N248" t="s">
        <v>55</v>
      </c>
      <c r="O248" t="s">
        <v>63</v>
      </c>
      <c r="P248">
        <v>23190498</v>
      </c>
      <c r="Q248" t="s">
        <v>61</v>
      </c>
      <c r="R248" t="s">
        <v>62</v>
      </c>
      <c r="S248">
        <v>20</v>
      </c>
      <c r="T248">
        <v>7368.3239999999996</v>
      </c>
      <c r="U248">
        <v>147366.48000000001</v>
      </c>
      <c r="V248" t="str">
        <f t="shared" si="67"/>
        <v>Accepted</v>
      </c>
      <c r="W248">
        <f>IFERROR(VLOOKUP(N248, Payment_Terms!A:B, 2, FALSE), "Payment term not found!")</f>
        <v>0</v>
      </c>
      <c r="X248" t="str">
        <f>IFERROR(VLOOKUP(R248, Item_Category!A:B, 2, FALSE), "Uncategorized")</f>
        <v>Coal materials</v>
      </c>
      <c r="Y248" s="5">
        <f t="shared" si="54"/>
        <v>0</v>
      </c>
      <c r="Z248">
        <f t="shared" si="55"/>
        <v>5</v>
      </c>
      <c r="AA248">
        <f t="shared" si="56"/>
        <v>-22</v>
      </c>
      <c r="AB248">
        <f t="shared" si="57"/>
        <v>5</v>
      </c>
      <c r="AC248" s="10">
        <f t="shared" si="58"/>
        <v>2</v>
      </c>
      <c r="AD248" s="5">
        <f t="shared" si="59"/>
        <v>1</v>
      </c>
      <c r="AE248" s="5">
        <f t="shared" si="60"/>
        <v>1</v>
      </c>
      <c r="AF248" s="5">
        <f t="shared" si="61"/>
        <v>0</v>
      </c>
      <c r="AG248">
        <f>IF(B248&lt;&gt;"", COUNTIFS($B$2:B248, B248), "")</f>
        <v>74</v>
      </c>
      <c r="AH248">
        <f t="shared" si="62"/>
        <v>5</v>
      </c>
      <c r="AI248" t="str">
        <f>VLOOKUP(B248, Currency!A:B, 2, FALSE)</f>
        <v>INR</v>
      </c>
      <c r="AJ248">
        <f t="shared" si="63"/>
        <v>5</v>
      </c>
      <c r="AK248">
        <f t="shared" si="64"/>
        <v>6</v>
      </c>
      <c r="AL248" t="str">
        <f t="shared" si="65"/>
        <v>June</v>
      </c>
      <c r="AM248">
        <f t="shared" si="68"/>
        <v>2023</v>
      </c>
      <c r="AN248" t="str">
        <f t="shared" si="66"/>
        <v>0The Singareni Collieries Company Ltd</v>
      </c>
      <c r="AO248">
        <f>IF(COUNTIF($AN$2:AN248, AN248)=1, 1, 0)</f>
        <v>0</v>
      </c>
      <c r="AP248" t="str">
        <f t="shared" si="69"/>
        <v>&gt;3</v>
      </c>
      <c r="AQ248" t="str">
        <f t="shared" si="70"/>
        <v>&gt;3</v>
      </c>
      <c r="AR248" t="str">
        <f t="shared" si="71"/>
        <v>&gt;3</v>
      </c>
    </row>
    <row r="249" spans="1:44" x14ac:dyDescent="0.3">
      <c r="A249" t="s">
        <v>33</v>
      </c>
      <c r="B249" t="s">
        <v>51</v>
      </c>
      <c r="C249" t="s">
        <v>60</v>
      </c>
      <c r="D249">
        <v>2658</v>
      </c>
      <c r="E249">
        <v>23120061</v>
      </c>
      <c r="F249" t="s">
        <v>61</v>
      </c>
      <c r="G249" t="s">
        <v>62</v>
      </c>
      <c r="H249">
        <v>183</v>
      </c>
      <c r="I249">
        <v>7368.3239999999996</v>
      </c>
      <c r="J249">
        <v>1348403.29</v>
      </c>
      <c r="K249" s="7" t="str">
        <f>IFERROR(IF(B249&lt;&gt;"", TEXT(VLOOKUP(B249, 'Expected Date'!A:B, 2, FALSE) + DATE(RIGHT(C249,2),MID(C249,4,2),LEFT(C249,2)), "dd/mm/yy"), ""), "")</f>
        <v>16/07/23</v>
      </c>
      <c r="L249" t="s">
        <v>38</v>
      </c>
      <c r="M249" t="s">
        <v>48</v>
      </c>
      <c r="N249" t="s">
        <v>55</v>
      </c>
      <c r="O249" t="s">
        <v>329</v>
      </c>
      <c r="P249">
        <v>23190499</v>
      </c>
      <c r="Q249" t="s">
        <v>61</v>
      </c>
      <c r="R249" t="s">
        <v>62</v>
      </c>
      <c r="S249">
        <v>20</v>
      </c>
      <c r="T249">
        <v>7368.3239999999996</v>
      </c>
      <c r="U249">
        <v>147366.48000000001</v>
      </c>
      <c r="V249" t="str">
        <f t="shared" si="67"/>
        <v>Accepted</v>
      </c>
      <c r="W249">
        <f>IFERROR(VLOOKUP(N249, Payment_Terms!A:B, 2, FALSE), "Payment term not found!")</f>
        <v>0</v>
      </c>
      <c r="X249" t="str">
        <f>IFERROR(VLOOKUP(R249, Item_Category!A:B, 2, FALSE), "Uncategorized")</f>
        <v>Coal materials</v>
      </c>
      <c r="Y249" s="5">
        <f t="shared" si="54"/>
        <v>0</v>
      </c>
      <c r="Z249">
        <f t="shared" si="55"/>
        <v>5</v>
      </c>
      <c r="AA249">
        <f t="shared" si="56"/>
        <v>-21</v>
      </c>
      <c r="AB249">
        <f t="shared" si="57"/>
        <v>5</v>
      </c>
      <c r="AC249" s="10">
        <f t="shared" si="58"/>
        <v>1</v>
      </c>
      <c r="AD249" s="5">
        <f t="shared" si="59"/>
        <v>1</v>
      </c>
      <c r="AE249" s="5">
        <f t="shared" si="60"/>
        <v>1</v>
      </c>
      <c r="AF249" s="5">
        <f t="shared" si="61"/>
        <v>0</v>
      </c>
      <c r="AG249">
        <f>IF(B249&lt;&gt;"", COUNTIFS($B$2:B249, B249), "")</f>
        <v>75</v>
      </c>
      <c r="AH249">
        <f t="shared" si="62"/>
        <v>5</v>
      </c>
      <c r="AI249" t="str">
        <f>VLOOKUP(B249, Currency!A:B, 2, FALSE)</f>
        <v>INR</v>
      </c>
      <c r="AJ249">
        <f t="shared" si="63"/>
        <v>5</v>
      </c>
      <c r="AK249">
        <f t="shared" si="64"/>
        <v>6</v>
      </c>
      <c r="AL249" t="str">
        <f t="shared" si="65"/>
        <v>June</v>
      </c>
      <c r="AM249">
        <f t="shared" si="68"/>
        <v>2023</v>
      </c>
      <c r="AN249" t="str">
        <f t="shared" si="66"/>
        <v>0The Singareni Collieries Company Ltd</v>
      </c>
      <c r="AO249">
        <f>IF(COUNTIF($AN$2:AN249, AN249)=1, 1, 0)</f>
        <v>0</v>
      </c>
      <c r="AP249" t="str">
        <f t="shared" si="69"/>
        <v>&gt;3</v>
      </c>
      <c r="AQ249" t="str">
        <f t="shared" si="70"/>
        <v>&gt;3</v>
      </c>
      <c r="AR249" t="str">
        <f t="shared" si="71"/>
        <v>&gt;3</v>
      </c>
    </row>
    <row r="250" spans="1:44" x14ac:dyDescent="0.3">
      <c r="A250" t="s">
        <v>33</v>
      </c>
      <c r="B250" t="s">
        <v>150</v>
      </c>
      <c r="C250" t="s">
        <v>151</v>
      </c>
      <c r="D250">
        <v>4381</v>
      </c>
      <c r="E250">
        <v>23120122</v>
      </c>
      <c r="F250" t="s">
        <v>152</v>
      </c>
      <c r="G250" t="s">
        <v>54</v>
      </c>
      <c r="H250">
        <v>200</v>
      </c>
      <c r="I250">
        <v>7900</v>
      </c>
      <c r="J250">
        <v>1580000</v>
      </c>
      <c r="K250" s="7" t="str">
        <f>IFERROR(IF(B250&lt;&gt;"", TEXT(VLOOKUP(B250, 'Expected Date'!A:B, 2, FALSE) + DATE(RIGHT(C250,2),MID(C250,4,2),LEFT(C250,2)), "dd/mm/yy"), ""), "")</f>
        <v>24/09/23</v>
      </c>
      <c r="L250" t="s">
        <v>38</v>
      </c>
      <c r="M250" t="s">
        <v>48</v>
      </c>
      <c r="N250" t="s">
        <v>155</v>
      </c>
      <c r="O250" t="s">
        <v>272</v>
      </c>
      <c r="P250">
        <v>23191164</v>
      </c>
      <c r="Q250" t="s">
        <v>152</v>
      </c>
      <c r="R250" t="s">
        <v>153</v>
      </c>
      <c r="S250">
        <v>30.31</v>
      </c>
      <c r="T250">
        <v>7900</v>
      </c>
      <c r="U250">
        <v>239449</v>
      </c>
      <c r="V250" t="str">
        <f t="shared" si="67"/>
        <v>Accepted</v>
      </c>
      <c r="W250">
        <f>IFERROR(VLOOKUP(N250, Payment_Terms!A:B, 2, FALSE), "Payment term not found!")</f>
        <v>30</v>
      </c>
      <c r="X250" t="str">
        <f>IFERROR(VLOOKUP(R250, Item_Category!A:B, 2, FALSE), "Uncategorized")</f>
        <v>Coal materials</v>
      </c>
      <c r="Y250" s="5">
        <f t="shared" si="54"/>
        <v>0</v>
      </c>
      <c r="Z250">
        <f t="shared" si="55"/>
        <v>5</v>
      </c>
      <c r="AA250">
        <f t="shared" si="56"/>
        <v>1</v>
      </c>
      <c r="AB250">
        <f t="shared" si="57"/>
        <v>5</v>
      </c>
      <c r="AC250" s="10">
        <f t="shared" si="58"/>
        <v>11</v>
      </c>
      <c r="AD250" s="5">
        <f t="shared" si="59"/>
        <v>1</v>
      </c>
      <c r="AE250" s="5">
        <f t="shared" si="60"/>
        <v>1</v>
      </c>
      <c r="AF250" s="5">
        <f t="shared" si="61"/>
        <v>0</v>
      </c>
      <c r="AG250">
        <f>IF(B250&lt;&gt;"", COUNTIFS($B$2:B250, B250), "")</f>
        <v>13</v>
      </c>
      <c r="AH250">
        <f t="shared" si="62"/>
        <v>5</v>
      </c>
      <c r="AI250" t="str">
        <f>VLOOKUP(B250, Currency!A:B, 2, FALSE)</f>
        <v>INR</v>
      </c>
      <c r="AJ250">
        <f t="shared" si="63"/>
        <v>5</v>
      </c>
      <c r="AK250">
        <f t="shared" si="64"/>
        <v>9</v>
      </c>
      <c r="AL250" t="str">
        <f t="shared" si="65"/>
        <v>September</v>
      </c>
      <c r="AM250">
        <f t="shared" si="68"/>
        <v>2023</v>
      </c>
      <c r="AN250" t="str">
        <f t="shared" si="66"/>
        <v>30Venkatadurga Enterprises</v>
      </c>
      <c r="AO250">
        <f>IF(COUNTIF($AN$2:AN250, AN250)=1, 1, 0)</f>
        <v>0</v>
      </c>
      <c r="AP250" t="str">
        <f t="shared" si="69"/>
        <v>&gt;3</v>
      </c>
      <c r="AQ250" t="str">
        <f t="shared" si="70"/>
        <v>&gt;3</v>
      </c>
      <c r="AR250" t="str">
        <f t="shared" si="71"/>
        <v>&gt;3</v>
      </c>
    </row>
    <row r="251" spans="1:44" x14ac:dyDescent="0.3">
      <c r="A251" t="s">
        <v>33</v>
      </c>
      <c r="B251" t="s">
        <v>51</v>
      </c>
      <c r="C251" t="s">
        <v>320</v>
      </c>
      <c r="D251">
        <v>4682</v>
      </c>
      <c r="E251">
        <v>23120138</v>
      </c>
      <c r="F251" t="s">
        <v>61</v>
      </c>
      <c r="G251" t="s">
        <v>62</v>
      </c>
      <c r="H251">
        <v>162</v>
      </c>
      <c r="I251">
        <v>6564.46</v>
      </c>
      <c r="J251">
        <v>1063442.52</v>
      </c>
      <c r="K251" s="7" t="str">
        <f>IFERROR(IF(B251&lt;&gt;"", TEXT(VLOOKUP(B251, 'Expected Date'!A:B, 2, FALSE) + DATE(RIGHT(C251,2),MID(C251,4,2),LEFT(C251,2)), "dd/mm/yy"), ""), "")</f>
        <v>18/10/23</v>
      </c>
      <c r="L251" t="s">
        <v>38</v>
      </c>
      <c r="M251" t="s">
        <v>48</v>
      </c>
      <c r="N251" t="s">
        <v>55</v>
      </c>
      <c r="O251" t="s">
        <v>154</v>
      </c>
      <c r="P251">
        <v>23191191</v>
      </c>
      <c r="Q251" t="s">
        <v>61</v>
      </c>
      <c r="R251" t="s">
        <v>62</v>
      </c>
      <c r="S251">
        <v>20</v>
      </c>
      <c r="T251">
        <v>6564.46</v>
      </c>
      <c r="U251">
        <v>131289.20000000001</v>
      </c>
      <c r="V251" t="str">
        <f t="shared" si="67"/>
        <v>Accepted</v>
      </c>
      <c r="W251">
        <f>IFERROR(VLOOKUP(N251, Payment_Terms!A:B, 2, FALSE), "Payment term not found!")</f>
        <v>0</v>
      </c>
      <c r="X251" t="str">
        <f>IFERROR(VLOOKUP(R251, Item_Category!A:B, 2, FALSE), "Uncategorized")</f>
        <v>Coal materials</v>
      </c>
      <c r="Y251" s="5">
        <f t="shared" si="54"/>
        <v>0</v>
      </c>
      <c r="Z251">
        <f t="shared" si="55"/>
        <v>5</v>
      </c>
      <c r="AA251">
        <f t="shared" si="56"/>
        <v>-28</v>
      </c>
      <c r="AB251">
        <f t="shared" si="57"/>
        <v>5</v>
      </c>
      <c r="AC251" s="10">
        <f t="shared" si="58"/>
        <v>8</v>
      </c>
      <c r="AD251" s="5">
        <f t="shared" si="59"/>
        <v>1</v>
      </c>
      <c r="AE251" s="5">
        <f t="shared" si="60"/>
        <v>1</v>
      </c>
      <c r="AF251" s="5">
        <f t="shared" si="61"/>
        <v>0</v>
      </c>
      <c r="AG251">
        <f>IF(B251&lt;&gt;"", COUNTIFS($B$2:B251, B251), "")</f>
        <v>76</v>
      </c>
      <c r="AH251">
        <f t="shared" si="62"/>
        <v>5</v>
      </c>
      <c r="AI251" t="str">
        <f>VLOOKUP(B251, Currency!A:B, 2, FALSE)</f>
        <v>INR</v>
      </c>
      <c r="AJ251">
        <f t="shared" si="63"/>
        <v>5</v>
      </c>
      <c r="AK251">
        <f t="shared" si="64"/>
        <v>9</v>
      </c>
      <c r="AL251" t="str">
        <f t="shared" si="65"/>
        <v>September</v>
      </c>
      <c r="AM251">
        <f t="shared" si="68"/>
        <v>2023</v>
      </c>
      <c r="AN251" t="str">
        <f t="shared" si="66"/>
        <v>0The Singareni Collieries Company Ltd</v>
      </c>
      <c r="AO251">
        <f>IF(COUNTIF($AN$2:AN251, AN251)=1, 1, 0)</f>
        <v>0</v>
      </c>
      <c r="AP251" t="str">
        <f t="shared" si="69"/>
        <v>&gt;3</v>
      </c>
      <c r="AQ251" t="str">
        <f t="shared" si="70"/>
        <v>&gt;3</v>
      </c>
      <c r="AR251" t="str">
        <f t="shared" si="71"/>
        <v>&gt;3</v>
      </c>
    </row>
    <row r="252" spans="1:44" x14ac:dyDescent="0.3">
      <c r="A252" t="s">
        <v>33</v>
      </c>
      <c r="B252" t="s">
        <v>51</v>
      </c>
      <c r="C252" t="s">
        <v>320</v>
      </c>
      <c r="D252">
        <v>4682</v>
      </c>
      <c r="E252">
        <v>23120138</v>
      </c>
      <c r="F252" t="s">
        <v>61</v>
      </c>
      <c r="G252" t="s">
        <v>62</v>
      </c>
      <c r="H252">
        <v>162</v>
      </c>
      <c r="I252">
        <v>6564.46</v>
      </c>
      <c r="J252">
        <v>1063442.52</v>
      </c>
      <c r="K252" s="7" t="str">
        <f>IFERROR(IF(B252&lt;&gt;"", TEXT(VLOOKUP(B252, 'Expected Date'!A:B, 2, FALSE) + DATE(RIGHT(C252,2),MID(C252,4,2),LEFT(C252,2)), "dd/mm/yy"), ""), "")</f>
        <v>18/10/23</v>
      </c>
      <c r="L252" t="s">
        <v>38</v>
      </c>
      <c r="M252" t="s">
        <v>48</v>
      </c>
      <c r="N252" t="s">
        <v>55</v>
      </c>
      <c r="O252" t="s">
        <v>279</v>
      </c>
      <c r="P252">
        <v>23191192</v>
      </c>
      <c r="Q252" t="s">
        <v>61</v>
      </c>
      <c r="R252" t="s">
        <v>62</v>
      </c>
      <c r="S252">
        <v>20</v>
      </c>
      <c r="T252">
        <v>6564.46</v>
      </c>
      <c r="U252">
        <v>131289.20000000001</v>
      </c>
      <c r="V252" t="str">
        <f t="shared" si="67"/>
        <v>Accepted</v>
      </c>
      <c r="W252">
        <f>IFERROR(VLOOKUP(N252, Payment_Terms!A:B, 2, FALSE), "Payment term not found!")</f>
        <v>0</v>
      </c>
      <c r="X252" t="str">
        <f>IFERROR(VLOOKUP(R252, Item_Category!A:B, 2, FALSE), "Uncategorized")</f>
        <v>Coal materials</v>
      </c>
      <c r="Y252" s="5">
        <f t="shared" si="54"/>
        <v>0</v>
      </c>
      <c r="Z252">
        <f t="shared" si="55"/>
        <v>5</v>
      </c>
      <c r="AA252">
        <f t="shared" si="56"/>
        <v>-29</v>
      </c>
      <c r="AB252">
        <f t="shared" si="57"/>
        <v>5</v>
      </c>
      <c r="AC252" s="10">
        <f t="shared" si="58"/>
        <v>9</v>
      </c>
      <c r="AD252" s="5">
        <f t="shared" si="59"/>
        <v>1</v>
      </c>
      <c r="AE252" s="5">
        <f t="shared" si="60"/>
        <v>1</v>
      </c>
      <c r="AF252" s="5">
        <f t="shared" si="61"/>
        <v>0</v>
      </c>
      <c r="AG252">
        <f>IF(B252&lt;&gt;"", COUNTIFS($B$2:B252, B252), "")</f>
        <v>77</v>
      </c>
      <c r="AH252">
        <f t="shared" si="62"/>
        <v>5</v>
      </c>
      <c r="AI252" t="str">
        <f>VLOOKUP(B252, Currency!A:B, 2, FALSE)</f>
        <v>INR</v>
      </c>
      <c r="AJ252">
        <f t="shared" si="63"/>
        <v>5</v>
      </c>
      <c r="AK252">
        <f t="shared" si="64"/>
        <v>9</v>
      </c>
      <c r="AL252" t="str">
        <f t="shared" si="65"/>
        <v>September</v>
      </c>
      <c r="AM252">
        <f t="shared" si="68"/>
        <v>2023</v>
      </c>
      <c r="AN252" t="str">
        <f t="shared" si="66"/>
        <v>0The Singareni Collieries Company Ltd</v>
      </c>
      <c r="AO252">
        <f>IF(COUNTIF($AN$2:AN252, AN252)=1, 1, 0)</f>
        <v>0</v>
      </c>
      <c r="AP252" t="str">
        <f t="shared" si="69"/>
        <v>&gt;3</v>
      </c>
      <c r="AQ252" t="str">
        <f t="shared" si="70"/>
        <v>&gt;3</v>
      </c>
      <c r="AR252" t="str">
        <f t="shared" si="71"/>
        <v>&gt;3</v>
      </c>
    </row>
    <row r="253" spans="1:44" x14ac:dyDescent="0.3">
      <c r="A253" t="s">
        <v>33</v>
      </c>
      <c r="B253" t="s">
        <v>51</v>
      </c>
      <c r="C253" t="s">
        <v>320</v>
      </c>
      <c r="D253">
        <v>4682</v>
      </c>
      <c r="E253">
        <v>23120138</v>
      </c>
      <c r="F253" t="s">
        <v>61</v>
      </c>
      <c r="G253" t="s">
        <v>62</v>
      </c>
      <c r="H253">
        <v>162</v>
      </c>
      <c r="I253">
        <v>6564.46</v>
      </c>
      <c r="J253">
        <v>1063442.52</v>
      </c>
      <c r="K253" s="7" t="str">
        <f>IFERROR(IF(B253&lt;&gt;"", TEXT(VLOOKUP(B253, 'Expected Date'!A:B, 2, FALSE) + DATE(RIGHT(C253,2),MID(C253,4,2),LEFT(C253,2)), "dd/mm/yy"), ""), "")</f>
        <v>18/10/23</v>
      </c>
      <c r="L253" t="s">
        <v>38</v>
      </c>
      <c r="M253" t="s">
        <v>48</v>
      </c>
      <c r="N253" t="s">
        <v>55</v>
      </c>
      <c r="O253" t="s">
        <v>228</v>
      </c>
      <c r="P253">
        <v>23191193</v>
      </c>
      <c r="Q253" t="s">
        <v>61</v>
      </c>
      <c r="R253" t="s">
        <v>62</v>
      </c>
      <c r="S253">
        <v>20</v>
      </c>
      <c r="T253">
        <v>6564.46</v>
      </c>
      <c r="U253">
        <v>131289.20000000001</v>
      </c>
      <c r="V253" t="str">
        <f t="shared" si="67"/>
        <v>Accepted</v>
      </c>
      <c r="W253">
        <f>IFERROR(VLOOKUP(N253, Payment_Terms!A:B, 2, FALSE), "Payment term not found!")</f>
        <v>0</v>
      </c>
      <c r="X253" t="str">
        <f>IFERROR(VLOOKUP(R253, Item_Category!A:B, 2, FALSE), "Uncategorized")</f>
        <v>Coal materials</v>
      </c>
      <c r="Y253" s="5">
        <f t="shared" si="54"/>
        <v>0</v>
      </c>
      <c r="Z253">
        <f t="shared" si="55"/>
        <v>5</v>
      </c>
      <c r="AA253">
        <f t="shared" si="56"/>
        <v>-26</v>
      </c>
      <c r="AB253">
        <f t="shared" si="57"/>
        <v>5</v>
      </c>
      <c r="AC253" s="10">
        <f t="shared" si="58"/>
        <v>6</v>
      </c>
      <c r="AD253" s="5">
        <f t="shared" si="59"/>
        <v>1</v>
      </c>
      <c r="AE253" s="5">
        <f t="shared" si="60"/>
        <v>1</v>
      </c>
      <c r="AF253" s="5">
        <f t="shared" si="61"/>
        <v>0</v>
      </c>
      <c r="AG253">
        <f>IF(B253&lt;&gt;"", COUNTIFS($B$2:B253, B253), "")</f>
        <v>78</v>
      </c>
      <c r="AH253">
        <f t="shared" si="62"/>
        <v>5</v>
      </c>
      <c r="AI253" t="str">
        <f>VLOOKUP(B253, Currency!A:B, 2, FALSE)</f>
        <v>INR</v>
      </c>
      <c r="AJ253">
        <f t="shared" si="63"/>
        <v>5</v>
      </c>
      <c r="AK253">
        <f t="shared" si="64"/>
        <v>9</v>
      </c>
      <c r="AL253" t="str">
        <f t="shared" si="65"/>
        <v>September</v>
      </c>
      <c r="AM253">
        <f t="shared" si="68"/>
        <v>2023</v>
      </c>
      <c r="AN253" t="str">
        <f t="shared" si="66"/>
        <v>0The Singareni Collieries Company Ltd</v>
      </c>
      <c r="AO253">
        <f>IF(COUNTIF($AN$2:AN253, AN253)=1, 1, 0)</f>
        <v>0</v>
      </c>
      <c r="AP253" t="str">
        <f t="shared" si="69"/>
        <v>&gt;3</v>
      </c>
      <c r="AQ253" t="str">
        <f t="shared" si="70"/>
        <v>&gt;3</v>
      </c>
      <c r="AR253" t="str">
        <f t="shared" si="71"/>
        <v>&gt;3</v>
      </c>
    </row>
    <row r="254" spans="1:44" x14ac:dyDescent="0.3">
      <c r="A254" t="s">
        <v>33</v>
      </c>
      <c r="B254" t="s">
        <v>51</v>
      </c>
      <c r="C254" t="s">
        <v>320</v>
      </c>
      <c r="D254">
        <v>4682</v>
      </c>
      <c r="E254">
        <v>23120138</v>
      </c>
      <c r="F254" t="s">
        <v>61</v>
      </c>
      <c r="G254" t="s">
        <v>62</v>
      </c>
      <c r="H254">
        <v>162</v>
      </c>
      <c r="I254">
        <v>6564.46</v>
      </c>
      <c r="J254">
        <v>1063442.52</v>
      </c>
      <c r="K254" s="7" t="str">
        <f>IFERROR(IF(B254&lt;&gt;"", TEXT(VLOOKUP(B254, 'Expected Date'!A:B, 2, FALSE) + DATE(RIGHT(C254,2),MID(C254,4,2),LEFT(C254,2)), "dd/mm/yy"), ""), "")</f>
        <v>18/10/23</v>
      </c>
      <c r="L254" t="s">
        <v>38</v>
      </c>
      <c r="M254" t="s">
        <v>48</v>
      </c>
      <c r="N254" t="s">
        <v>55</v>
      </c>
      <c r="O254" t="s">
        <v>330</v>
      </c>
      <c r="P254">
        <v>23191194</v>
      </c>
      <c r="Q254" t="s">
        <v>61</v>
      </c>
      <c r="R254" t="s">
        <v>62</v>
      </c>
      <c r="S254">
        <v>21</v>
      </c>
      <c r="T254">
        <v>6564.46</v>
      </c>
      <c r="U254">
        <v>137853.66</v>
      </c>
      <c r="V254" t="str">
        <f t="shared" si="67"/>
        <v>Accepted</v>
      </c>
      <c r="W254">
        <f>IFERROR(VLOOKUP(N254, Payment_Terms!A:B, 2, FALSE), "Payment term not found!")</f>
        <v>0</v>
      </c>
      <c r="X254" t="str">
        <f>IFERROR(VLOOKUP(R254, Item_Category!A:B, 2, FALSE), "Uncategorized")</f>
        <v>Coal materials</v>
      </c>
      <c r="Y254" s="5">
        <f t="shared" si="54"/>
        <v>0</v>
      </c>
      <c r="Z254">
        <f t="shared" si="55"/>
        <v>5</v>
      </c>
      <c r="AA254">
        <f t="shared" si="56"/>
        <v>-25</v>
      </c>
      <c r="AB254">
        <f t="shared" si="57"/>
        <v>5</v>
      </c>
      <c r="AC254" s="10">
        <f t="shared" si="58"/>
        <v>5</v>
      </c>
      <c r="AD254" s="5">
        <f t="shared" si="59"/>
        <v>1</v>
      </c>
      <c r="AE254" s="5">
        <f t="shared" si="60"/>
        <v>1</v>
      </c>
      <c r="AF254" s="5">
        <f t="shared" si="61"/>
        <v>0</v>
      </c>
      <c r="AG254">
        <f>IF(B254&lt;&gt;"", COUNTIFS($B$2:B254, B254), "")</f>
        <v>79</v>
      </c>
      <c r="AH254">
        <f t="shared" si="62"/>
        <v>5</v>
      </c>
      <c r="AI254" t="str">
        <f>VLOOKUP(B254, Currency!A:B, 2, FALSE)</f>
        <v>INR</v>
      </c>
      <c r="AJ254">
        <f t="shared" si="63"/>
        <v>5</v>
      </c>
      <c r="AK254">
        <f t="shared" si="64"/>
        <v>9</v>
      </c>
      <c r="AL254" t="str">
        <f t="shared" si="65"/>
        <v>September</v>
      </c>
      <c r="AM254">
        <f t="shared" si="68"/>
        <v>2023</v>
      </c>
      <c r="AN254" t="str">
        <f t="shared" si="66"/>
        <v>0The Singareni Collieries Company Ltd</v>
      </c>
      <c r="AO254">
        <f>IF(COUNTIF($AN$2:AN254, AN254)=1, 1, 0)</f>
        <v>0</v>
      </c>
      <c r="AP254" t="str">
        <f t="shared" si="69"/>
        <v>&gt;3</v>
      </c>
      <c r="AQ254" t="str">
        <f t="shared" si="70"/>
        <v>&gt;3</v>
      </c>
      <c r="AR254" t="str">
        <f t="shared" si="71"/>
        <v>&gt;3</v>
      </c>
    </row>
    <row r="255" spans="1:44" x14ac:dyDescent="0.3">
      <c r="A255" t="s">
        <v>33</v>
      </c>
      <c r="B255" t="s">
        <v>51</v>
      </c>
      <c r="C255" t="s">
        <v>320</v>
      </c>
      <c r="D255">
        <v>4682</v>
      </c>
      <c r="E255">
        <v>23120138</v>
      </c>
      <c r="F255" t="s">
        <v>61</v>
      </c>
      <c r="G255" t="s">
        <v>62</v>
      </c>
      <c r="H255">
        <v>162</v>
      </c>
      <c r="I255">
        <v>6564.46</v>
      </c>
      <c r="J255">
        <v>1063442.52</v>
      </c>
      <c r="K255" s="7" t="str">
        <f>IFERROR(IF(B255&lt;&gt;"", TEXT(VLOOKUP(B255, 'Expected Date'!A:B, 2, FALSE) + DATE(RIGHT(C255,2),MID(C255,4,2),LEFT(C255,2)), "dd/mm/yy"), ""), "")</f>
        <v>18/10/23</v>
      </c>
      <c r="L255" t="s">
        <v>38</v>
      </c>
      <c r="M255" t="s">
        <v>48</v>
      </c>
      <c r="N255" t="s">
        <v>55</v>
      </c>
      <c r="O255" t="s">
        <v>330</v>
      </c>
      <c r="P255">
        <v>23191195</v>
      </c>
      <c r="Q255" t="s">
        <v>61</v>
      </c>
      <c r="R255" t="s">
        <v>62</v>
      </c>
      <c r="S255">
        <v>21</v>
      </c>
      <c r="T255">
        <v>6564.46</v>
      </c>
      <c r="U255">
        <v>137853.66</v>
      </c>
      <c r="V255" t="str">
        <f t="shared" si="67"/>
        <v>Accepted</v>
      </c>
      <c r="W255">
        <f>IFERROR(VLOOKUP(N255, Payment_Terms!A:B, 2, FALSE), "Payment term not found!")</f>
        <v>0</v>
      </c>
      <c r="X255" t="str">
        <f>IFERROR(VLOOKUP(R255, Item_Category!A:B, 2, FALSE), "Uncategorized")</f>
        <v>Coal materials</v>
      </c>
      <c r="Y255" s="5">
        <f t="shared" si="54"/>
        <v>0</v>
      </c>
      <c r="Z255">
        <f t="shared" si="55"/>
        <v>5</v>
      </c>
      <c r="AA255">
        <f t="shared" si="56"/>
        <v>-25</v>
      </c>
      <c r="AB255">
        <f t="shared" si="57"/>
        <v>5</v>
      </c>
      <c r="AC255" s="10">
        <f t="shared" si="58"/>
        <v>5</v>
      </c>
      <c r="AD255" s="5">
        <f t="shared" si="59"/>
        <v>1</v>
      </c>
      <c r="AE255" s="5">
        <f t="shared" si="60"/>
        <v>1</v>
      </c>
      <c r="AF255" s="5">
        <f t="shared" si="61"/>
        <v>0</v>
      </c>
      <c r="AG255">
        <f>IF(B255&lt;&gt;"", COUNTIFS($B$2:B255, B255), "")</f>
        <v>80</v>
      </c>
      <c r="AH255">
        <f t="shared" si="62"/>
        <v>5</v>
      </c>
      <c r="AI255" t="str">
        <f>VLOOKUP(B255, Currency!A:B, 2, FALSE)</f>
        <v>INR</v>
      </c>
      <c r="AJ255">
        <f t="shared" si="63"/>
        <v>5</v>
      </c>
      <c r="AK255">
        <f t="shared" si="64"/>
        <v>9</v>
      </c>
      <c r="AL255" t="str">
        <f t="shared" si="65"/>
        <v>September</v>
      </c>
      <c r="AM255">
        <f t="shared" si="68"/>
        <v>2023</v>
      </c>
      <c r="AN255" t="str">
        <f t="shared" si="66"/>
        <v>0The Singareni Collieries Company Ltd</v>
      </c>
      <c r="AO255">
        <f>IF(COUNTIF($AN$2:AN255, AN255)=1, 1, 0)</f>
        <v>0</v>
      </c>
      <c r="AP255" t="str">
        <f t="shared" si="69"/>
        <v>&gt;3</v>
      </c>
      <c r="AQ255" t="str">
        <f t="shared" si="70"/>
        <v>&gt;3</v>
      </c>
      <c r="AR255" t="str">
        <f t="shared" si="71"/>
        <v>&gt;3</v>
      </c>
    </row>
    <row r="256" spans="1:44" x14ac:dyDescent="0.3">
      <c r="A256" t="s">
        <v>33</v>
      </c>
      <c r="B256" t="s">
        <v>51</v>
      </c>
      <c r="C256" t="s">
        <v>320</v>
      </c>
      <c r="D256">
        <v>4682</v>
      </c>
      <c r="E256">
        <v>23120138</v>
      </c>
      <c r="F256" t="s">
        <v>61</v>
      </c>
      <c r="G256" t="s">
        <v>62</v>
      </c>
      <c r="H256">
        <v>162</v>
      </c>
      <c r="I256">
        <v>6564.46</v>
      </c>
      <c r="J256">
        <v>1063442.52</v>
      </c>
      <c r="K256" s="7" t="str">
        <f>IFERROR(IF(B256&lt;&gt;"", TEXT(VLOOKUP(B256, 'Expected Date'!A:B, 2, FALSE) + DATE(RIGHT(C256,2),MID(C256,4,2),LEFT(C256,2)), "dd/mm/yy"), ""), "")</f>
        <v>18/10/23</v>
      </c>
      <c r="L256" t="s">
        <v>38</v>
      </c>
      <c r="M256" t="s">
        <v>48</v>
      </c>
      <c r="N256" t="s">
        <v>55</v>
      </c>
      <c r="O256" t="s">
        <v>330</v>
      </c>
      <c r="P256">
        <v>23191196</v>
      </c>
      <c r="Q256" t="s">
        <v>61</v>
      </c>
      <c r="R256" t="s">
        <v>62</v>
      </c>
      <c r="S256">
        <v>20</v>
      </c>
      <c r="T256">
        <v>6564.46</v>
      </c>
      <c r="U256">
        <v>131289.20000000001</v>
      </c>
      <c r="V256" t="str">
        <f t="shared" si="67"/>
        <v>Accepted</v>
      </c>
      <c r="W256">
        <f>IFERROR(VLOOKUP(N256, Payment_Terms!A:B, 2, FALSE), "Payment term not found!")</f>
        <v>0</v>
      </c>
      <c r="X256" t="str">
        <f>IFERROR(VLOOKUP(R256, Item_Category!A:B, 2, FALSE), "Uncategorized")</f>
        <v>Coal materials</v>
      </c>
      <c r="Y256" s="5">
        <f t="shared" si="54"/>
        <v>0</v>
      </c>
      <c r="Z256">
        <f t="shared" si="55"/>
        <v>5</v>
      </c>
      <c r="AA256">
        <f t="shared" si="56"/>
        <v>-25</v>
      </c>
      <c r="AB256">
        <f t="shared" si="57"/>
        <v>5</v>
      </c>
      <c r="AC256" s="10">
        <f t="shared" si="58"/>
        <v>5</v>
      </c>
      <c r="AD256" s="5">
        <f t="shared" si="59"/>
        <v>1</v>
      </c>
      <c r="AE256" s="5">
        <f t="shared" si="60"/>
        <v>1</v>
      </c>
      <c r="AF256" s="5">
        <f t="shared" si="61"/>
        <v>0</v>
      </c>
      <c r="AG256">
        <f>IF(B256&lt;&gt;"", COUNTIFS($B$2:B256, B256), "")</f>
        <v>81</v>
      </c>
      <c r="AH256">
        <f t="shared" si="62"/>
        <v>5</v>
      </c>
      <c r="AI256" t="str">
        <f>VLOOKUP(B256, Currency!A:B, 2, FALSE)</f>
        <v>INR</v>
      </c>
      <c r="AJ256">
        <f t="shared" si="63"/>
        <v>5</v>
      </c>
      <c r="AK256">
        <f t="shared" si="64"/>
        <v>9</v>
      </c>
      <c r="AL256" t="str">
        <f t="shared" si="65"/>
        <v>September</v>
      </c>
      <c r="AM256">
        <f t="shared" si="68"/>
        <v>2023</v>
      </c>
      <c r="AN256" t="str">
        <f t="shared" si="66"/>
        <v>0The Singareni Collieries Company Ltd</v>
      </c>
      <c r="AO256">
        <f>IF(COUNTIF($AN$2:AN256, AN256)=1, 1, 0)</f>
        <v>0</v>
      </c>
      <c r="AP256" t="str">
        <f t="shared" si="69"/>
        <v>&gt;3</v>
      </c>
      <c r="AQ256" t="str">
        <f t="shared" si="70"/>
        <v>&gt;3</v>
      </c>
      <c r="AR256" t="str">
        <f t="shared" si="71"/>
        <v>&gt;3</v>
      </c>
    </row>
    <row r="257" spans="1:44" x14ac:dyDescent="0.3">
      <c r="A257" t="s">
        <v>33</v>
      </c>
      <c r="B257" t="s">
        <v>64</v>
      </c>
      <c r="C257" t="s">
        <v>226</v>
      </c>
      <c r="D257">
        <v>4296</v>
      </c>
      <c r="E257">
        <v>23120120</v>
      </c>
      <c r="F257" t="s">
        <v>186</v>
      </c>
      <c r="G257" t="s">
        <v>187</v>
      </c>
      <c r="H257">
        <v>2000</v>
      </c>
      <c r="I257">
        <v>124</v>
      </c>
      <c r="J257">
        <v>248000</v>
      </c>
      <c r="K257" s="7" t="str">
        <f>IFERROR(IF(B257&lt;&gt;"", TEXT(VLOOKUP(B257, 'Expected Date'!A:B, 2, FALSE) + DATE(RIGHT(C257,2),MID(C257,4,2),LEFT(C257,2)), "dd/mm/yy"), ""), "")</f>
        <v>21/09/23</v>
      </c>
      <c r="L257" t="s">
        <v>38</v>
      </c>
      <c r="M257" t="s">
        <v>48</v>
      </c>
      <c r="N257" t="s">
        <v>188</v>
      </c>
      <c r="O257" t="s">
        <v>331</v>
      </c>
      <c r="P257">
        <v>23191354</v>
      </c>
      <c r="Q257" t="s">
        <v>186</v>
      </c>
      <c r="R257" t="s">
        <v>187</v>
      </c>
      <c r="S257">
        <v>2822.5</v>
      </c>
      <c r="T257">
        <v>124</v>
      </c>
      <c r="U257">
        <v>349990</v>
      </c>
      <c r="V257" t="str">
        <f t="shared" si="67"/>
        <v>Accepted</v>
      </c>
      <c r="W257">
        <f>IFERROR(VLOOKUP(N257, Payment_Terms!A:B, 2, FALSE), "Payment term not found!")</f>
        <v>30</v>
      </c>
      <c r="X257" t="str">
        <f>IFERROR(VLOOKUP(R257, Item_Category!A:B, 2, FALSE), "Uncategorized")</f>
        <v>Liner</v>
      </c>
      <c r="Y257" s="5">
        <f t="shared" si="54"/>
        <v>0</v>
      </c>
      <c r="Z257">
        <f t="shared" si="55"/>
        <v>5</v>
      </c>
      <c r="AA257">
        <f t="shared" si="56"/>
        <v>26</v>
      </c>
      <c r="AB257">
        <f t="shared" si="57"/>
        <v>1</v>
      </c>
      <c r="AC257" s="10">
        <f t="shared" si="58"/>
        <v>36</v>
      </c>
      <c r="AD257" s="5">
        <f t="shared" si="59"/>
        <v>1</v>
      </c>
      <c r="AE257" s="5">
        <f t="shared" si="60"/>
        <v>1</v>
      </c>
      <c r="AF257" s="5">
        <f t="shared" si="61"/>
        <v>0</v>
      </c>
      <c r="AG257">
        <f>IF(B257&lt;&gt;"", COUNTIFS($B$2:B257, B257), "")</f>
        <v>21</v>
      </c>
      <c r="AH257">
        <f t="shared" si="62"/>
        <v>5</v>
      </c>
      <c r="AI257" t="str">
        <f>VLOOKUP(B257, Currency!A:B, 2, FALSE)</f>
        <v>INR</v>
      </c>
      <c r="AJ257">
        <f t="shared" si="63"/>
        <v>4</v>
      </c>
      <c r="AK257">
        <f t="shared" si="64"/>
        <v>9</v>
      </c>
      <c r="AL257" t="str">
        <f t="shared" si="65"/>
        <v>September</v>
      </c>
      <c r="AM257">
        <f t="shared" si="68"/>
        <v>2023</v>
      </c>
      <c r="AN257" t="str">
        <f t="shared" si="66"/>
        <v>30Epic Polymers</v>
      </c>
      <c r="AO257">
        <f>IF(COUNTIF($AN$2:AN257, AN257)=1, 1, 0)</f>
        <v>0</v>
      </c>
      <c r="AP257" t="str">
        <f t="shared" si="69"/>
        <v>&gt;3</v>
      </c>
      <c r="AQ257" t="str">
        <f t="shared" si="70"/>
        <v>&gt;3</v>
      </c>
      <c r="AR257" t="str">
        <f t="shared" si="71"/>
        <v>&lt;=3</v>
      </c>
    </row>
    <row r="258" spans="1:44" x14ac:dyDescent="0.3">
      <c r="A258" t="str">
        <f>A244</f>
        <v>Woodpulp</v>
      </c>
      <c r="B258" t="s">
        <v>289</v>
      </c>
      <c r="C258" t="s">
        <v>163</v>
      </c>
      <c r="D258">
        <v>4111</v>
      </c>
      <c r="E258">
        <v>23120112</v>
      </c>
      <c r="F258" t="s">
        <v>290</v>
      </c>
      <c r="G258" t="s">
        <v>291</v>
      </c>
      <c r="H258">
        <v>100</v>
      </c>
      <c r="I258">
        <v>47800</v>
      </c>
      <c r="J258">
        <v>4780000</v>
      </c>
      <c r="K258" s="7" t="str">
        <f>IFERROR(IF(B258&lt;&gt;"", TEXT(VLOOKUP(B258, 'Expected Date'!A:B, 2, FALSE) + DATE(RIGHT(C258,2),MID(C258,4,2),LEFT(C258,2)), "dd/mm/yy"), ""), "")</f>
        <v>29/09/23</v>
      </c>
      <c r="L258" t="s">
        <v>38</v>
      </c>
      <c r="M258" t="str">
        <f>M197</f>
        <v>MT</v>
      </c>
      <c r="N258" t="s">
        <v>292</v>
      </c>
      <c r="O258" t="s">
        <v>105</v>
      </c>
      <c r="P258">
        <v>23190994</v>
      </c>
      <c r="Q258" t="s">
        <v>290</v>
      </c>
      <c r="R258" t="s">
        <v>291</v>
      </c>
      <c r="S258">
        <v>25.234000000000002</v>
      </c>
      <c r="T258">
        <v>47800</v>
      </c>
      <c r="U258">
        <v>1206185.2</v>
      </c>
      <c r="V258" t="str">
        <f t="shared" si="67"/>
        <v>Accepted</v>
      </c>
      <c r="W258">
        <f>IFERROR(VLOOKUP(N258, Payment_Terms!A:B, 2, FALSE), "Payment term not found!")</f>
        <v>0</v>
      </c>
      <c r="X258" t="str">
        <f>IFERROR(VLOOKUP(R258, Item_Category!A:B, 2, FALSE), "Uncategorized")</f>
        <v>Wood pulp</v>
      </c>
      <c r="Y258" s="5">
        <f t="shared" ref="Y258:Y283" si="72">IFERROR(IF(AND(E258&lt;&gt;"", G258&lt;&gt;""), MAX(0, (H258-SUMIFS(S:S, E:E, E258, G:G, G258))/H258), ""), (H258-S258)/H258)</f>
        <v>0</v>
      </c>
      <c r="Z258">
        <f t="shared" ref="Z258:Z283" si="73">IF(Y258&lt;=0%,5,(IF(AND(Y258&gt;0%,Y258&lt;=2%),4,IF(AND(Y258&gt;2%,Y258&lt;=5%),3,IF(AND(Y258&gt;5%,Y258&lt;10%),2,1)))))</f>
        <v>5</v>
      </c>
      <c r="AA258">
        <f t="shared" ref="AA258:AA283" si="74">DATE(RIGHT(O258,2),MID(O258,4,2),LEFT(O258,2)) - DATE(RIGHT(K258,2),MID(K258,4,2),LEFT(K258,2))</f>
        <v>-35</v>
      </c>
      <c r="AB258">
        <f t="shared" ref="AB258:AB283" si="75">IF(AA258 &lt;= 2, 5, IF(AA258 &lt;= 4, 4, IF(AA258 &lt;= 7, 3, IF(AA258&lt;=10,2,1))))</f>
        <v>5</v>
      </c>
      <c r="AC258" s="10">
        <f t="shared" ref="AC258:AC283" si="76">ABS(DATE(RIGHT(O258,2),MID(O258,4,2),LEFT(O258,2)) - DATE(RIGHT(C258,2),MID(C258,4,2),LEFT(C258,2)))</f>
        <v>5</v>
      </c>
      <c r="AD258" s="5">
        <f t="shared" ref="AD258:AD283" si="77">IF(V258="Accepted",1,0)</f>
        <v>1</v>
      </c>
      <c r="AE258" s="5">
        <f t="shared" ref="AE258:AE283" si="78">ROUNDUP((SUMIFS(S:S, B:B, B258, V:V, "Accepted")/SUMIF(B:B,B258,S:S)),2)</f>
        <v>1</v>
      </c>
      <c r="AF258" s="5">
        <f t="shared" ref="AF258:AF283" si="79">ROUNDUP(ABS(100%-AE258),2)</f>
        <v>0</v>
      </c>
      <c r="AG258">
        <f>IF(B258&lt;&gt;"", COUNTIFS($B$2:B258, B258), "")</f>
        <v>12</v>
      </c>
      <c r="AH258">
        <f t="shared" ref="AH258:AH283" si="80">IF(AF258=0%,5,IF(AND(AF258&gt;0%,AF258&lt;=2%),4,IF(AND(AF258&gt;2%,AF258&lt;=5%),3,IF(AND(AF258&gt;5%,AF258&lt;10%),2,1))))</f>
        <v>5</v>
      </c>
      <c r="AI258" t="str">
        <f>VLOOKUP(B258, Currency!A:B, 2, FALSE)</f>
        <v>INR</v>
      </c>
      <c r="AJ258">
        <f t="shared" ref="AJ258:AJ283" si="81">_xlfn.CEILING.MATH(((0.4*AH258)+(0.3*Z258)+(0.3*AB258)),1)</f>
        <v>5</v>
      </c>
      <c r="AK258">
        <f t="shared" ref="AK258:AK283" si="82">MONTH(DATE(RIGHT(C258,2),MID(C258,4,2),LEFT(C258,2)))</f>
        <v>8</v>
      </c>
      <c r="AL258" t="str">
        <f t="shared" ref="AL258:AL283" si="83">TEXT(DATE(RIGHT(C258,2),MID(C258,4,2),LEFT(C258,2)),"mmmm")</f>
        <v>August</v>
      </c>
      <c r="AM258">
        <f t="shared" si="68"/>
        <v>2023</v>
      </c>
      <c r="AN258" t="str">
        <f t="shared" ref="AN258:AN283" si="84">W258&amp;B258</f>
        <v>0N.E. IMPEX PRIVATE LIMITED</v>
      </c>
      <c r="AO258">
        <f>IF(COUNTIF($AN$2:AN258, AN258)=1, 1, 0)</f>
        <v>0</v>
      </c>
      <c r="AP258" t="str">
        <f t="shared" si="69"/>
        <v>&gt;3</v>
      </c>
      <c r="AQ258" t="str">
        <f t="shared" si="70"/>
        <v>&gt;3</v>
      </c>
      <c r="AR258" t="str">
        <f t="shared" si="71"/>
        <v>&gt;3</v>
      </c>
    </row>
    <row r="259" spans="1:44" x14ac:dyDescent="0.3">
      <c r="A259" t="s">
        <v>33</v>
      </c>
      <c r="B259" t="s">
        <v>73</v>
      </c>
      <c r="C259" t="s">
        <v>198</v>
      </c>
      <c r="D259">
        <v>3461</v>
      </c>
      <c r="E259">
        <v>23120095</v>
      </c>
      <c r="F259" t="s">
        <v>75</v>
      </c>
      <c r="G259" t="s">
        <v>76</v>
      </c>
      <c r="H259">
        <v>1600</v>
      </c>
      <c r="I259">
        <v>900</v>
      </c>
      <c r="J259">
        <v>1440000</v>
      </c>
      <c r="K259" s="7" t="str">
        <f>IFERROR(IF(B259&lt;&gt;"", TEXT(VLOOKUP(B259, 'Expected Date'!A:B, 2, FALSE) + DATE(RIGHT(C259,2),MID(C259,4,2),LEFT(C259,2)), "dd/mm/yy"), ""), "")</f>
        <v>20/08/23</v>
      </c>
      <c r="L259" t="s">
        <v>38</v>
      </c>
      <c r="M259" t="s">
        <v>39</v>
      </c>
      <c r="N259" t="s">
        <v>77</v>
      </c>
      <c r="O259" t="s">
        <v>332</v>
      </c>
      <c r="P259">
        <v>23190972</v>
      </c>
      <c r="Q259" t="s">
        <v>75</v>
      </c>
      <c r="R259" t="s">
        <v>76</v>
      </c>
      <c r="S259">
        <v>450</v>
      </c>
      <c r="T259">
        <v>900</v>
      </c>
      <c r="U259">
        <v>405000</v>
      </c>
      <c r="V259" t="str">
        <f t="shared" ref="V259:V283" si="85">V258</f>
        <v>Accepted</v>
      </c>
      <c r="W259">
        <f>IFERROR(VLOOKUP(N259, Payment_Terms!A:B, 2, FALSE), "Payment term not found!")</f>
        <v>0</v>
      </c>
      <c r="X259" t="str">
        <f>IFERROR(VLOOKUP(R259, Item_Category!A:B, 2, FALSE), "Uncategorized")</f>
        <v>Pallets</v>
      </c>
      <c r="Y259" s="5">
        <f t="shared" si="72"/>
        <v>0</v>
      </c>
      <c r="Z259">
        <f t="shared" si="73"/>
        <v>5</v>
      </c>
      <c r="AA259">
        <f t="shared" si="74"/>
        <v>9</v>
      </c>
      <c r="AB259">
        <f t="shared" si="75"/>
        <v>2</v>
      </c>
      <c r="AC259" s="10">
        <f t="shared" si="76"/>
        <v>29</v>
      </c>
      <c r="AD259" s="5">
        <f t="shared" si="77"/>
        <v>1</v>
      </c>
      <c r="AE259" s="5">
        <f t="shared" si="78"/>
        <v>1</v>
      </c>
      <c r="AF259" s="5">
        <f t="shared" si="79"/>
        <v>0</v>
      </c>
      <c r="AG259">
        <f>IF(B259&lt;&gt;"", COUNTIFS($B$2:B259, B259), "")</f>
        <v>15</v>
      </c>
      <c r="AH259">
        <f t="shared" si="80"/>
        <v>5</v>
      </c>
      <c r="AI259" t="str">
        <f>VLOOKUP(B259, Currency!A:B, 2, FALSE)</f>
        <v>INR</v>
      </c>
      <c r="AJ259">
        <f t="shared" si="81"/>
        <v>5</v>
      </c>
      <c r="AK259">
        <f t="shared" si="82"/>
        <v>7</v>
      </c>
      <c r="AL259" t="str">
        <f t="shared" si="83"/>
        <v>July</v>
      </c>
      <c r="AM259">
        <f t="shared" ref="AM259:AM283" si="86">YEAR(DATE(VALUE(MID(C259,7,2))+2000, MID(C259,4,2), MID(C259,1,2)))</f>
        <v>2023</v>
      </c>
      <c r="AN259" t="str">
        <f t="shared" si="84"/>
        <v>0Nilkamal Limited</v>
      </c>
      <c r="AO259">
        <f>IF(COUNTIF($AN$2:AN259, AN259)=1, 1, 0)</f>
        <v>0</v>
      </c>
      <c r="AP259" t="str">
        <f t="shared" ref="AP259:AP283" si="87">IF(AH259&lt;=3,"&lt;=3","&gt;3")</f>
        <v>&gt;3</v>
      </c>
      <c r="AQ259" t="str">
        <f t="shared" ref="AQ259:AQ283" si="88">IF(Z259&lt;=3,"&lt;=3","&gt;3")</f>
        <v>&gt;3</v>
      </c>
      <c r="AR259" t="str">
        <f t="shared" ref="AR259:AR283" si="89">IF(AB259&lt;=3,"&lt;=3","&gt;3")</f>
        <v>&lt;=3</v>
      </c>
    </row>
    <row r="260" spans="1:44" x14ac:dyDescent="0.3">
      <c r="A260" t="s">
        <v>33</v>
      </c>
      <c r="B260" t="s">
        <v>34</v>
      </c>
      <c r="C260" t="s">
        <v>35</v>
      </c>
      <c r="D260">
        <v>1661</v>
      </c>
      <c r="E260">
        <v>23120014</v>
      </c>
      <c r="F260" t="s">
        <v>316</v>
      </c>
      <c r="G260" t="s">
        <v>317</v>
      </c>
      <c r="H260">
        <v>2028</v>
      </c>
      <c r="I260">
        <v>35.75</v>
      </c>
      <c r="J260">
        <v>72501</v>
      </c>
      <c r="K260" s="7" t="str">
        <f>IFERROR(IF(B260&lt;&gt;"", TEXT(VLOOKUP(B260, 'Expected Date'!A:B, 2, FALSE) + DATE(RIGHT(C260,2),MID(C260,4,2),LEFT(C260,2)), "dd/mm/yy"), ""), "")</f>
        <v>07/05/23</v>
      </c>
      <c r="L260" t="s">
        <v>38</v>
      </c>
      <c r="M260" t="s">
        <v>39</v>
      </c>
      <c r="N260" t="s">
        <v>40</v>
      </c>
      <c r="O260" t="s">
        <v>41</v>
      </c>
      <c r="P260">
        <v>23190139</v>
      </c>
      <c r="Q260" t="s">
        <v>316</v>
      </c>
      <c r="R260" t="s">
        <v>317</v>
      </c>
      <c r="S260">
        <v>2028</v>
      </c>
      <c r="T260">
        <v>35.75</v>
      </c>
      <c r="U260">
        <v>72501</v>
      </c>
      <c r="V260" t="str">
        <f t="shared" si="85"/>
        <v>Accepted</v>
      </c>
      <c r="W260">
        <f>IFERROR(VLOOKUP(N260, Payment_Terms!A:B, 2, FALSE), "Payment term not found!")</f>
        <v>30</v>
      </c>
      <c r="X260" t="str">
        <f>IFERROR(VLOOKUP(R260, Item_Category!A:B, 2, FALSE), "Uncategorized")</f>
        <v>Bags</v>
      </c>
      <c r="Y260" s="5">
        <f t="shared" si="72"/>
        <v>0</v>
      </c>
      <c r="Z260">
        <f t="shared" si="73"/>
        <v>5</v>
      </c>
      <c r="AA260">
        <f t="shared" si="74"/>
        <v>-8</v>
      </c>
      <c r="AB260">
        <f t="shared" si="75"/>
        <v>5</v>
      </c>
      <c r="AC260" s="10">
        <f t="shared" si="76"/>
        <v>2</v>
      </c>
      <c r="AD260" s="5">
        <f t="shared" si="77"/>
        <v>1</v>
      </c>
      <c r="AE260" s="5">
        <f t="shared" si="78"/>
        <v>1</v>
      </c>
      <c r="AF260" s="5">
        <f t="shared" si="79"/>
        <v>0</v>
      </c>
      <c r="AG260">
        <f>IF(B260&lt;&gt;"", COUNTIFS($B$2:B260, B260), "")</f>
        <v>15</v>
      </c>
      <c r="AH260">
        <f t="shared" si="80"/>
        <v>5</v>
      </c>
      <c r="AI260" t="str">
        <f>VLOOKUP(B260, Currency!A:B, 2, FALSE)</f>
        <v>INR</v>
      </c>
      <c r="AJ260">
        <f t="shared" si="81"/>
        <v>5</v>
      </c>
      <c r="AK260">
        <f t="shared" si="82"/>
        <v>4</v>
      </c>
      <c r="AL260" t="str">
        <f t="shared" si="83"/>
        <v>April</v>
      </c>
      <c r="AM260">
        <f t="shared" si="86"/>
        <v>2023</v>
      </c>
      <c r="AN260" t="str">
        <f t="shared" si="84"/>
        <v>30Ami Enterprises</v>
      </c>
      <c r="AO260">
        <f>IF(COUNTIF($AN$2:AN260, AN260)=1, 1, 0)</f>
        <v>0</v>
      </c>
      <c r="AP260" t="str">
        <f t="shared" si="87"/>
        <v>&gt;3</v>
      </c>
      <c r="AQ260" t="str">
        <f t="shared" si="88"/>
        <v>&gt;3</v>
      </c>
      <c r="AR260" t="str">
        <f t="shared" si="89"/>
        <v>&gt;3</v>
      </c>
    </row>
    <row r="261" spans="1:44" x14ac:dyDescent="0.3">
      <c r="A261" t="s">
        <v>33</v>
      </c>
      <c r="B261" t="s">
        <v>34</v>
      </c>
      <c r="C261" t="s">
        <v>35</v>
      </c>
      <c r="D261">
        <v>1661</v>
      </c>
      <c r="E261">
        <v>23120014</v>
      </c>
      <c r="F261" t="s">
        <v>333</v>
      </c>
      <c r="G261" t="s">
        <v>334</v>
      </c>
      <c r="H261">
        <v>2036</v>
      </c>
      <c r="I261">
        <v>35.75</v>
      </c>
      <c r="J261">
        <v>72787</v>
      </c>
      <c r="K261" s="7" t="str">
        <f>IFERROR(IF(B261&lt;&gt;"", TEXT(VLOOKUP(B261, 'Expected Date'!A:B, 2, FALSE) + DATE(RIGHT(C261,2),MID(C261,4,2),LEFT(C261,2)), "dd/mm/yy"), ""), "")</f>
        <v>07/05/23</v>
      </c>
      <c r="L261" t="s">
        <v>38</v>
      </c>
      <c r="M261" t="s">
        <v>39</v>
      </c>
      <c r="N261" t="s">
        <v>40</v>
      </c>
      <c r="O261" t="s">
        <v>41</v>
      </c>
      <c r="P261">
        <v>23190139</v>
      </c>
      <c r="Q261" t="s">
        <v>333</v>
      </c>
      <c r="R261" t="s">
        <v>334</v>
      </c>
      <c r="S261">
        <v>2036</v>
      </c>
      <c r="T261">
        <v>35.75</v>
      </c>
      <c r="U261">
        <v>72787</v>
      </c>
      <c r="V261" t="str">
        <f t="shared" si="85"/>
        <v>Accepted</v>
      </c>
      <c r="W261">
        <f>IFERROR(VLOOKUP(N261, Payment_Terms!A:B, 2, FALSE), "Payment term not found!")</f>
        <v>30</v>
      </c>
      <c r="X261" t="str">
        <f>IFERROR(VLOOKUP(R261, Item_Category!A:B, 2, FALSE), "Uncategorized")</f>
        <v>SSG-Bags</v>
      </c>
      <c r="Y261" s="5">
        <f t="shared" si="72"/>
        <v>0</v>
      </c>
      <c r="Z261">
        <f t="shared" si="73"/>
        <v>5</v>
      </c>
      <c r="AA261">
        <f t="shared" si="74"/>
        <v>-8</v>
      </c>
      <c r="AB261">
        <f t="shared" si="75"/>
        <v>5</v>
      </c>
      <c r="AC261" s="10">
        <f t="shared" si="76"/>
        <v>2</v>
      </c>
      <c r="AD261" s="5">
        <f t="shared" si="77"/>
        <v>1</v>
      </c>
      <c r="AE261" s="5">
        <f t="shared" si="78"/>
        <v>1</v>
      </c>
      <c r="AF261" s="5">
        <f t="shared" si="79"/>
        <v>0</v>
      </c>
      <c r="AG261">
        <f>IF(B261&lt;&gt;"", COUNTIFS($B$2:B261, B261), "")</f>
        <v>16</v>
      </c>
      <c r="AH261">
        <f t="shared" si="80"/>
        <v>5</v>
      </c>
      <c r="AI261" t="str">
        <f>VLOOKUP(B261, Currency!A:B, 2, FALSE)</f>
        <v>INR</v>
      </c>
      <c r="AJ261">
        <f t="shared" si="81"/>
        <v>5</v>
      </c>
      <c r="AK261">
        <f t="shared" si="82"/>
        <v>4</v>
      </c>
      <c r="AL261" t="str">
        <f t="shared" si="83"/>
        <v>April</v>
      </c>
      <c r="AM261">
        <f t="shared" si="86"/>
        <v>2023</v>
      </c>
      <c r="AN261" t="str">
        <f t="shared" si="84"/>
        <v>30Ami Enterprises</v>
      </c>
      <c r="AO261">
        <f>IF(COUNTIF($AN$2:AN261, AN261)=1, 1, 0)</f>
        <v>0</v>
      </c>
      <c r="AP261" t="str">
        <f t="shared" si="87"/>
        <v>&gt;3</v>
      </c>
      <c r="AQ261" t="str">
        <f t="shared" si="88"/>
        <v>&gt;3</v>
      </c>
      <c r="AR261" t="str">
        <f t="shared" si="89"/>
        <v>&gt;3</v>
      </c>
    </row>
    <row r="262" spans="1:44" x14ac:dyDescent="0.3">
      <c r="A262" t="s">
        <v>33</v>
      </c>
      <c r="B262" t="s">
        <v>64</v>
      </c>
      <c r="C262" t="s">
        <v>87</v>
      </c>
      <c r="D262">
        <v>3062</v>
      </c>
      <c r="E262">
        <v>23120088</v>
      </c>
      <c r="F262" t="s">
        <v>335</v>
      </c>
      <c r="G262" t="s">
        <v>336</v>
      </c>
      <c r="H262">
        <v>2000</v>
      </c>
      <c r="I262">
        <v>22.5</v>
      </c>
      <c r="J262">
        <v>45000</v>
      </c>
      <c r="K262" s="7" t="str">
        <f>IFERROR(IF(B262&lt;&gt;"", TEXT(VLOOKUP(B262, 'Expected Date'!A:B, 2, FALSE) + DATE(RIGHT(C262,2),MID(C262,4,2),LEFT(C262,2)), "dd/mm/yy"), ""), "")</f>
        <v>22/07/23</v>
      </c>
      <c r="L262" t="s">
        <v>38</v>
      </c>
      <c r="M262" t="s">
        <v>48</v>
      </c>
      <c r="N262" t="s">
        <v>69</v>
      </c>
      <c r="O262" t="s">
        <v>192</v>
      </c>
      <c r="P262">
        <v>23190837</v>
      </c>
      <c r="Q262" t="s">
        <v>335</v>
      </c>
      <c r="R262" t="s">
        <v>336</v>
      </c>
      <c r="S262">
        <v>2450</v>
      </c>
      <c r="T262">
        <v>22.5</v>
      </c>
      <c r="U262">
        <v>55125</v>
      </c>
      <c r="V262" t="str">
        <f t="shared" si="85"/>
        <v>Accepted</v>
      </c>
      <c r="W262">
        <f>IFERROR(VLOOKUP(N262, Payment_Terms!A:B, 2, FALSE), "Payment term not found!")</f>
        <v>30</v>
      </c>
      <c r="X262" t="str">
        <f>IFERROR(VLOOKUP(R262, Item_Category!A:B, 2, FALSE), "Uncategorized")</f>
        <v>Bags</v>
      </c>
      <c r="Y262" s="5">
        <f t="shared" si="72"/>
        <v>0</v>
      </c>
      <c r="Z262">
        <f t="shared" si="73"/>
        <v>5</v>
      </c>
      <c r="AA262">
        <f t="shared" si="74"/>
        <v>23</v>
      </c>
      <c r="AB262">
        <f t="shared" si="75"/>
        <v>1</v>
      </c>
      <c r="AC262" s="10">
        <f t="shared" si="76"/>
        <v>33</v>
      </c>
      <c r="AD262" s="5">
        <f t="shared" si="77"/>
        <v>1</v>
      </c>
      <c r="AE262" s="5">
        <f t="shared" si="78"/>
        <v>1</v>
      </c>
      <c r="AF262" s="5">
        <f t="shared" si="79"/>
        <v>0</v>
      </c>
      <c r="AG262">
        <f>IF(B262&lt;&gt;"", COUNTIFS($B$2:B262, B262), "")</f>
        <v>22</v>
      </c>
      <c r="AH262">
        <f t="shared" si="80"/>
        <v>5</v>
      </c>
      <c r="AI262" t="str">
        <f>VLOOKUP(B262, Currency!A:B, 2, FALSE)</f>
        <v>INR</v>
      </c>
      <c r="AJ262">
        <f t="shared" si="81"/>
        <v>4</v>
      </c>
      <c r="AK262">
        <f t="shared" si="82"/>
        <v>7</v>
      </c>
      <c r="AL262" t="str">
        <f t="shared" si="83"/>
        <v>July</v>
      </c>
      <c r="AM262">
        <f t="shared" si="86"/>
        <v>2023</v>
      </c>
      <c r="AN262" t="str">
        <f t="shared" si="84"/>
        <v>30Epic Polymers</v>
      </c>
      <c r="AO262">
        <f>IF(COUNTIF($AN$2:AN262, AN262)=1, 1, 0)</f>
        <v>0</v>
      </c>
      <c r="AP262" t="str">
        <f t="shared" si="87"/>
        <v>&gt;3</v>
      </c>
      <c r="AQ262" t="str">
        <f t="shared" si="88"/>
        <v>&gt;3</v>
      </c>
      <c r="AR262" t="str">
        <f t="shared" si="89"/>
        <v>&lt;=3</v>
      </c>
    </row>
    <row r="263" spans="1:44" x14ac:dyDescent="0.3">
      <c r="A263" t="s">
        <v>33</v>
      </c>
      <c r="B263" t="s">
        <v>64</v>
      </c>
      <c r="C263" t="s">
        <v>117</v>
      </c>
      <c r="D263">
        <v>2902</v>
      </c>
      <c r="E263">
        <v>23120086</v>
      </c>
      <c r="F263" t="s">
        <v>186</v>
      </c>
      <c r="G263" t="s">
        <v>187</v>
      </c>
      <c r="H263">
        <v>2000</v>
      </c>
      <c r="I263">
        <v>126</v>
      </c>
      <c r="J263">
        <v>252000</v>
      </c>
      <c r="K263" s="7" t="str">
        <f>IFERROR(IF(B263&lt;&gt;"", TEXT(VLOOKUP(B263, 'Expected Date'!A:B, 2, FALSE) + DATE(RIGHT(C263,2),MID(C263,4,2),LEFT(C263,2)), "dd/mm/yy"), ""), "")</f>
        <v>17/07/23</v>
      </c>
      <c r="L263" t="s">
        <v>38</v>
      </c>
      <c r="M263" t="s">
        <v>48</v>
      </c>
      <c r="N263" t="s">
        <v>188</v>
      </c>
      <c r="O263" t="s">
        <v>263</v>
      </c>
      <c r="P263">
        <v>23191252</v>
      </c>
      <c r="Q263" t="s">
        <v>186</v>
      </c>
      <c r="R263" t="s">
        <v>187</v>
      </c>
      <c r="S263">
        <v>2225</v>
      </c>
      <c r="T263">
        <v>126</v>
      </c>
      <c r="U263">
        <v>280350</v>
      </c>
      <c r="V263" t="str">
        <f t="shared" si="85"/>
        <v>Accepted</v>
      </c>
      <c r="W263">
        <f>IFERROR(VLOOKUP(N263, Payment_Terms!A:B, 2, FALSE), "Payment term not found!")</f>
        <v>30</v>
      </c>
      <c r="X263" t="str">
        <f>IFERROR(VLOOKUP(R263, Item_Category!A:B, 2, FALSE), "Uncategorized")</f>
        <v>Liner</v>
      </c>
      <c r="Y263" s="5">
        <f t="shared" si="72"/>
        <v>0</v>
      </c>
      <c r="Z263">
        <f t="shared" si="73"/>
        <v>5</v>
      </c>
      <c r="AA263">
        <f t="shared" si="74"/>
        <v>84</v>
      </c>
      <c r="AB263">
        <f t="shared" si="75"/>
        <v>1</v>
      </c>
      <c r="AC263" s="10">
        <f t="shared" si="76"/>
        <v>94</v>
      </c>
      <c r="AD263" s="5">
        <f t="shared" si="77"/>
        <v>1</v>
      </c>
      <c r="AE263" s="5">
        <f t="shared" si="78"/>
        <v>1</v>
      </c>
      <c r="AF263" s="5">
        <f t="shared" si="79"/>
        <v>0</v>
      </c>
      <c r="AG263">
        <f>IF(B263&lt;&gt;"", COUNTIFS($B$2:B263, B263), "")</f>
        <v>23</v>
      </c>
      <c r="AH263">
        <f t="shared" si="80"/>
        <v>5</v>
      </c>
      <c r="AI263" t="str">
        <f>VLOOKUP(B263, Currency!A:B, 2, FALSE)</f>
        <v>INR</v>
      </c>
      <c r="AJ263">
        <f t="shared" si="81"/>
        <v>4</v>
      </c>
      <c r="AK263">
        <f t="shared" si="82"/>
        <v>7</v>
      </c>
      <c r="AL263" t="str">
        <f t="shared" si="83"/>
        <v>July</v>
      </c>
      <c r="AM263">
        <f t="shared" si="86"/>
        <v>2023</v>
      </c>
      <c r="AN263" t="str">
        <f t="shared" si="84"/>
        <v>30Epic Polymers</v>
      </c>
      <c r="AO263">
        <f>IF(COUNTIF($AN$2:AN263, AN263)=1, 1, 0)</f>
        <v>0</v>
      </c>
      <c r="AP263" t="str">
        <f t="shared" si="87"/>
        <v>&gt;3</v>
      </c>
      <c r="AQ263" t="str">
        <f t="shared" si="88"/>
        <v>&gt;3</v>
      </c>
      <c r="AR263" t="str">
        <f t="shared" si="89"/>
        <v>&lt;=3</v>
      </c>
    </row>
    <row r="264" spans="1:44" x14ac:dyDescent="0.3">
      <c r="A264" t="str">
        <f>A244</f>
        <v>Woodpulp</v>
      </c>
      <c r="B264" t="s">
        <v>289</v>
      </c>
      <c r="C264" t="s">
        <v>249</v>
      </c>
      <c r="D264">
        <v>2552</v>
      </c>
      <c r="E264">
        <v>23120051</v>
      </c>
      <c r="F264" t="s">
        <v>290</v>
      </c>
      <c r="G264" t="s">
        <v>291</v>
      </c>
      <c r="H264">
        <v>100</v>
      </c>
      <c r="I264">
        <v>47800</v>
      </c>
      <c r="J264">
        <v>4780000</v>
      </c>
      <c r="K264" s="7" t="str">
        <f>IFERROR(IF(B264&lt;&gt;"", TEXT(VLOOKUP(B264, 'Expected Date'!A:B, 2, FALSE) + DATE(RIGHT(C264,2),MID(C264,4,2),LEFT(C264,2)), "dd/mm/yy"), ""), "")</f>
        <v>21/07/23</v>
      </c>
      <c r="L264" t="s">
        <v>38</v>
      </c>
      <c r="M264" t="str">
        <f>M197</f>
        <v>MT</v>
      </c>
      <c r="N264" t="s">
        <v>292</v>
      </c>
      <c r="O264" t="s">
        <v>293</v>
      </c>
      <c r="P264">
        <v>23190928</v>
      </c>
      <c r="Q264" t="s">
        <v>290</v>
      </c>
      <c r="R264" t="s">
        <v>291</v>
      </c>
      <c r="S264">
        <v>25.234000000000002</v>
      </c>
      <c r="T264">
        <v>47800</v>
      </c>
      <c r="U264">
        <v>1206185.2</v>
      </c>
      <c r="V264" t="str">
        <f t="shared" si="85"/>
        <v>Accepted</v>
      </c>
      <c r="W264">
        <f>IFERROR(VLOOKUP(N264, Payment_Terms!A:B, 2, FALSE), "Payment term not found!")</f>
        <v>0</v>
      </c>
      <c r="X264" t="str">
        <f>IFERROR(VLOOKUP(R264, Item_Category!A:B, 2, FALSE), "Uncategorized")</f>
        <v>Wood pulp</v>
      </c>
      <c r="Y264" s="5">
        <f t="shared" si="72"/>
        <v>0</v>
      </c>
      <c r="Z264">
        <f t="shared" si="73"/>
        <v>5</v>
      </c>
      <c r="AA264">
        <f t="shared" si="74"/>
        <v>32</v>
      </c>
      <c r="AB264">
        <f t="shared" si="75"/>
        <v>1</v>
      </c>
      <c r="AC264" s="10">
        <f t="shared" si="76"/>
        <v>62</v>
      </c>
      <c r="AD264" s="5">
        <f t="shared" si="77"/>
        <v>1</v>
      </c>
      <c r="AE264" s="5">
        <f t="shared" si="78"/>
        <v>1</v>
      </c>
      <c r="AF264" s="5">
        <f t="shared" si="79"/>
        <v>0</v>
      </c>
      <c r="AG264">
        <f>IF(B264&lt;&gt;"", COUNTIFS($B$2:B264, B264), "")</f>
        <v>13</v>
      </c>
      <c r="AH264">
        <f t="shared" si="80"/>
        <v>5</v>
      </c>
      <c r="AI264" t="str">
        <f>VLOOKUP(B264, Currency!A:B, 2, FALSE)</f>
        <v>INR</v>
      </c>
      <c r="AJ264">
        <f t="shared" si="81"/>
        <v>4</v>
      </c>
      <c r="AK264">
        <f t="shared" si="82"/>
        <v>6</v>
      </c>
      <c r="AL264" t="str">
        <f t="shared" si="83"/>
        <v>June</v>
      </c>
      <c r="AM264">
        <f t="shared" si="86"/>
        <v>2023</v>
      </c>
      <c r="AN264" t="str">
        <f t="shared" si="84"/>
        <v>0N.E. IMPEX PRIVATE LIMITED</v>
      </c>
      <c r="AO264">
        <f>IF(COUNTIF($AN$2:AN264, AN264)=1, 1, 0)</f>
        <v>0</v>
      </c>
      <c r="AP264" t="str">
        <f t="shared" si="87"/>
        <v>&gt;3</v>
      </c>
      <c r="AQ264" t="str">
        <f t="shared" si="88"/>
        <v>&gt;3</v>
      </c>
      <c r="AR264" t="str">
        <f t="shared" si="89"/>
        <v>&lt;=3</v>
      </c>
    </row>
    <row r="265" spans="1:44" x14ac:dyDescent="0.3">
      <c r="A265" t="str">
        <f>A244</f>
        <v>Woodpulp</v>
      </c>
      <c r="B265" t="s">
        <v>289</v>
      </c>
      <c r="C265" t="s">
        <v>249</v>
      </c>
      <c r="D265">
        <v>2552</v>
      </c>
      <c r="E265">
        <v>23120051</v>
      </c>
      <c r="F265" t="s">
        <v>290</v>
      </c>
      <c r="G265" t="s">
        <v>291</v>
      </c>
      <c r="H265">
        <v>100</v>
      </c>
      <c r="I265">
        <v>47800</v>
      </c>
      <c r="J265">
        <v>4780000</v>
      </c>
      <c r="K265" s="7" t="str">
        <f>IFERROR(IF(B265&lt;&gt;"", TEXT(VLOOKUP(B265, 'Expected Date'!A:B, 2, FALSE) + DATE(RIGHT(C265,2),MID(C265,4,2),LEFT(C265,2)), "dd/mm/yy"), ""), "")</f>
        <v>21/07/23</v>
      </c>
      <c r="L265" t="s">
        <v>38</v>
      </c>
      <c r="M265" t="str">
        <f>M197</f>
        <v>MT</v>
      </c>
      <c r="N265" t="s">
        <v>292</v>
      </c>
      <c r="O265" t="s">
        <v>293</v>
      </c>
      <c r="P265">
        <v>23190929</v>
      </c>
      <c r="Q265" t="s">
        <v>290</v>
      </c>
      <c r="R265" t="s">
        <v>291</v>
      </c>
      <c r="S265">
        <v>25.234000000000002</v>
      </c>
      <c r="T265">
        <v>47800</v>
      </c>
      <c r="U265">
        <v>1206185.2</v>
      </c>
      <c r="V265" t="str">
        <f t="shared" si="85"/>
        <v>Accepted</v>
      </c>
      <c r="W265">
        <f>IFERROR(VLOOKUP(N265, Payment_Terms!A:B, 2, FALSE), "Payment term not found!")</f>
        <v>0</v>
      </c>
      <c r="X265" t="str">
        <f>IFERROR(VLOOKUP(R265, Item_Category!A:B, 2, FALSE), "Uncategorized")</f>
        <v>Wood pulp</v>
      </c>
      <c r="Y265" s="5">
        <f t="shared" si="72"/>
        <v>0</v>
      </c>
      <c r="Z265">
        <f t="shared" si="73"/>
        <v>5</v>
      </c>
      <c r="AA265">
        <f t="shared" si="74"/>
        <v>32</v>
      </c>
      <c r="AB265">
        <f t="shared" si="75"/>
        <v>1</v>
      </c>
      <c r="AC265" s="10">
        <f t="shared" si="76"/>
        <v>62</v>
      </c>
      <c r="AD265" s="5">
        <f t="shared" si="77"/>
        <v>1</v>
      </c>
      <c r="AE265" s="5">
        <f t="shared" si="78"/>
        <v>1</v>
      </c>
      <c r="AF265" s="5">
        <f t="shared" si="79"/>
        <v>0</v>
      </c>
      <c r="AG265">
        <f>IF(B265&lt;&gt;"", COUNTIFS($B$2:B265, B265), "")</f>
        <v>14</v>
      </c>
      <c r="AH265">
        <f t="shared" si="80"/>
        <v>5</v>
      </c>
      <c r="AI265" t="str">
        <f>VLOOKUP(B265, Currency!A:B, 2, FALSE)</f>
        <v>INR</v>
      </c>
      <c r="AJ265">
        <f t="shared" si="81"/>
        <v>4</v>
      </c>
      <c r="AK265">
        <f t="shared" si="82"/>
        <v>6</v>
      </c>
      <c r="AL265" t="str">
        <f t="shared" si="83"/>
        <v>June</v>
      </c>
      <c r="AM265">
        <f t="shared" si="86"/>
        <v>2023</v>
      </c>
      <c r="AN265" t="str">
        <f t="shared" si="84"/>
        <v>0N.E. IMPEX PRIVATE LIMITED</v>
      </c>
      <c r="AO265">
        <f>IF(COUNTIF($AN$2:AN265, AN265)=1, 1, 0)</f>
        <v>0</v>
      </c>
      <c r="AP265" t="str">
        <f t="shared" si="87"/>
        <v>&gt;3</v>
      </c>
      <c r="AQ265" t="str">
        <f t="shared" si="88"/>
        <v>&gt;3</v>
      </c>
      <c r="AR265" t="str">
        <f t="shared" si="89"/>
        <v>&lt;=3</v>
      </c>
    </row>
    <row r="266" spans="1:44" x14ac:dyDescent="0.3">
      <c r="A266" t="str">
        <f>A258</f>
        <v>Woodpulp</v>
      </c>
      <c r="B266" t="s">
        <v>289</v>
      </c>
      <c r="C266" t="s">
        <v>249</v>
      </c>
      <c r="D266">
        <v>2552</v>
      </c>
      <c r="E266">
        <v>23120051</v>
      </c>
      <c r="F266" t="s">
        <v>290</v>
      </c>
      <c r="G266" t="s">
        <v>291</v>
      </c>
      <c r="H266">
        <v>100</v>
      </c>
      <c r="I266">
        <v>47800</v>
      </c>
      <c r="J266">
        <v>4780000</v>
      </c>
      <c r="K266" s="7" t="str">
        <f>IFERROR(IF(B266&lt;&gt;"", TEXT(VLOOKUP(B266, 'Expected Date'!A:B, 2, FALSE) + DATE(RIGHT(C266,2),MID(C266,4,2),LEFT(C266,2)), "dd/mm/yy"), ""), "")</f>
        <v>21/07/23</v>
      </c>
      <c r="L266" t="s">
        <v>38</v>
      </c>
      <c r="M266" t="str">
        <f>M197</f>
        <v>MT</v>
      </c>
      <c r="N266" t="s">
        <v>292</v>
      </c>
      <c r="O266" t="s">
        <v>293</v>
      </c>
      <c r="P266">
        <v>23190930</v>
      </c>
      <c r="Q266" t="s">
        <v>290</v>
      </c>
      <c r="R266" t="s">
        <v>291</v>
      </c>
      <c r="S266">
        <v>20.187000000000001</v>
      </c>
      <c r="T266">
        <v>47800</v>
      </c>
      <c r="U266">
        <v>964938.6</v>
      </c>
      <c r="V266" t="str">
        <f t="shared" si="85"/>
        <v>Accepted</v>
      </c>
      <c r="W266">
        <f>IFERROR(VLOOKUP(N266, Payment_Terms!A:B, 2, FALSE), "Payment term not found!")</f>
        <v>0</v>
      </c>
      <c r="X266" t="str">
        <f>IFERROR(VLOOKUP(R266, Item_Category!A:B, 2, FALSE), "Uncategorized")</f>
        <v>Wood pulp</v>
      </c>
      <c r="Y266" s="5">
        <f t="shared" si="72"/>
        <v>0</v>
      </c>
      <c r="Z266">
        <f t="shared" si="73"/>
        <v>5</v>
      </c>
      <c r="AA266">
        <f t="shared" si="74"/>
        <v>32</v>
      </c>
      <c r="AB266">
        <f t="shared" si="75"/>
        <v>1</v>
      </c>
      <c r="AC266" s="10">
        <f t="shared" si="76"/>
        <v>62</v>
      </c>
      <c r="AD266" s="5">
        <f t="shared" si="77"/>
        <v>1</v>
      </c>
      <c r="AE266" s="5">
        <f t="shared" si="78"/>
        <v>1</v>
      </c>
      <c r="AF266" s="5">
        <f t="shared" si="79"/>
        <v>0</v>
      </c>
      <c r="AG266">
        <f>IF(B266&lt;&gt;"", COUNTIFS($B$2:B266, B266), "")</f>
        <v>15</v>
      </c>
      <c r="AH266">
        <f t="shared" si="80"/>
        <v>5</v>
      </c>
      <c r="AI266" t="str">
        <f>VLOOKUP(B266, Currency!A:B, 2, FALSE)</f>
        <v>INR</v>
      </c>
      <c r="AJ266">
        <f t="shared" si="81"/>
        <v>4</v>
      </c>
      <c r="AK266">
        <f t="shared" si="82"/>
        <v>6</v>
      </c>
      <c r="AL266" t="str">
        <f t="shared" si="83"/>
        <v>June</v>
      </c>
      <c r="AM266">
        <f t="shared" si="86"/>
        <v>2023</v>
      </c>
      <c r="AN266" t="str">
        <f t="shared" si="84"/>
        <v>0N.E. IMPEX PRIVATE LIMITED</v>
      </c>
      <c r="AO266">
        <f>IF(COUNTIF($AN$2:AN266, AN266)=1, 1, 0)</f>
        <v>0</v>
      </c>
      <c r="AP266" t="str">
        <f t="shared" si="87"/>
        <v>&gt;3</v>
      </c>
      <c r="AQ266" t="str">
        <f t="shared" si="88"/>
        <v>&gt;3</v>
      </c>
      <c r="AR266" t="str">
        <f t="shared" si="89"/>
        <v>&lt;=3</v>
      </c>
    </row>
    <row r="267" spans="1:44" x14ac:dyDescent="0.3">
      <c r="A267" t="str">
        <f>A258</f>
        <v>Woodpulp</v>
      </c>
      <c r="B267" t="s">
        <v>289</v>
      </c>
      <c r="C267" t="s">
        <v>249</v>
      </c>
      <c r="D267">
        <v>2552</v>
      </c>
      <c r="E267">
        <v>23120051</v>
      </c>
      <c r="F267" t="s">
        <v>290</v>
      </c>
      <c r="G267" t="s">
        <v>291</v>
      </c>
      <c r="H267">
        <v>100</v>
      </c>
      <c r="I267">
        <v>47800</v>
      </c>
      <c r="J267">
        <v>4780000</v>
      </c>
      <c r="K267" s="7" t="str">
        <f>IFERROR(IF(B267&lt;&gt;"", TEXT(VLOOKUP(B267, 'Expected Date'!A:B, 2, FALSE) + DATE(RIGHT(C267,2),MID(C267,4,2),LEFT(C267,2)), "dd/mm/yy"), ""), "")</f>
        <v>21/07/23</v>
      </c>
      <c r="L267" t="s">
        <v>38</v>
      </c>
      <c r="M267" t="str">
        <f>M197</f>
        <v>MT</v>
      </c>
      <c r="N267" t="s">
        <v>292</v>
      </c>
      <c r="O267" t="s">
        <v>293</v>
      </c>
      <c r="P267">
        <v>23190931</v>
      </c>
      <c r="Q267" t="s">
        <v>290</v>
      </c>
      <c r="R267" t="s">
        <v>291</v>
      </c>
      <c r="S267">
        <v>25.234000000000002</v>
      </c>
      <c r="T267">
        <v>47800</v>
      </c>
      <c r="U267">
        <v>1206185.2</v>
      </c>
      <c r="V267" t="str">
        <f t="shared" si="85"/>
        <v>Accepted</v>
      </c>
      <c r="W267">
        <f>IFERROR(VLOOKUP(N267, Payment_Terms!A:B, 2, FALSE), "Payment term not found!")</f>
        <v>0</v>
      </c>
      <c r="X267" t="str">
        <f>IFERROR(VLOOKUP(R267, Item_Category!A:B, 2, FALSE), "Uncategorized")</f>
        <v>Wood pulp</v>
      </c>
      <c r="Y267" s="5">
        <f t="shared" si="72"/>
        <v>0</v>
      </c>
      <c r="Z267">
        <f t="shared" si="73"/>
        <v>5</v>
      </c>
      <c r="AA267">
        <f t="shared" si="74"/>
        <v>32</v>
      </c>
      <c r="AB267">
        <f t="shared" si="75"/>
        <v>1</v>
      </c>
      <c r="AC267" s="10">
        <f t="shared" si="76"/>
        <v>62</v>
      </c>
      <c r="AD267" s="5">
        <f t="shared" si="77"/>
        <v>1</v>
      </c>
      <c r="AE267" s="5">
        <f t="shared" si="78"/>
        <v>1</v>
      </c>
      <c r="AF267" s="5">
        <f t="shared" si="79"/>
        <v>0</v>
      </c>
      <c r="AG267">
        <f>IF(B267&lt;&gt;"", COUNTIFS($B$2:B267, B267), "")</f>
        <v>16</v>
      </c>
      <c r="AH267">
        <f t="shared" si="80"/>
        <v>5</v>
      </c>
      <c r="AI267" t="str">
        <f>VLOOKUP(B267, Currency!A:B, 2, FALSE)</f>
        <v>INR</v>
      </c>
      <c r="AJ267">
        <f t="shared" si="81"/>
        <v>4</v>
      </c>
      <c r="AK267">
        <f t="shared" si="82"/>
        <v>6</v>
      </c>
      <c r="AL267" t="str">
        <f t="shared" si="83"/>
        <v>June</v>
      </c>
      <c r="AM267">
        <f t="shared" si="86"/>
        <v>2023</v>
      </c>
      <c r="AN267" t="str">
        <f t="shared" si="84"/>
        <v>0N.E. IMPEX PRIVATE LIMITED</v>
      </c>
      <c r="AO267">
        <f>IF(COUNTIF($AN$2:AN267, AN267)=1, 1, 0)</f>
        <v>0</v>
      </c>
      <c r="AP267" t="str">
        <f t="shared" si="87"/>
        <v>&gt;3</v>
      </c>
      <c r="AQ267" t="str">
        <f t="shared" si="88"/>
        <v>&gt;3</v>
      </c>
      <c r="AR267" t="str">
        <f t="shared" si="89"/>
        <v>&lt;=3</v>
      </c>
    </row>
    <row r="268" spans="1:44" x14ac:dyDescent="0.3">
      <c r="A268" t="str">
        <f>A258</f>
        <v>Woodpulp</v>
      </c>
      <c r="B268" t="s">
        <v>289</v>
      </c>
      <c r="C268" t="s">
        <v>249</v>
      </c>
      <c r="D268">
        <v>2552</v>
      </c>
      <c r="E268">
        <v>23120051</v>
      </c>
      <c r="F268" t="s">
        <v>290</v>
      </c>
      <c r="G268" t="s">
        <v>291</v>
      </c>
      <c r="H268">
        <v>100</v>
      </c>
      <c r="I268">
        <v>47800</v>
      </c>
      <c r="J268">
        <v>4780000</v>
      </c>
      <c r="K268" s="7" t="str">
        <f>IFERROR(IF(B268&lt;&gt;"", TEXT(VLOOKUP(B268, 'Expected Date'!A:B, 2, FALSE) + DATE(RIGHT(C268,2),MID(C268,4,2),LEFT(C268,2)), "dd/mm/yy"), ""), "")</f>
        <v>21/07/23</v>
      </c>
      <c r="L268" t="s">
        <v>38</v>
      </c>
      <c r="M268" t="str">
        <f>M197</f>
        <v>MT</v>
      </c>
      <c r="N268" t="s">
        <v>292</v>
      </c>
      <c r="O268" t="s">
        <v>294</v>
      </c>
      <c r="P268">
        <v>23190938</v>
      </c>
      <c r="Q268" t="s">
        <v>290</v>
      </c>
      <c r="R268" t="s">
        <v>291</v>
      </c>
      <c r="S268">
        <v>25.234000000000002</v>
      </c>
      <c r="T268">
        <v>47800</v>
      </c>
      <c r="U268">
        <v>1206185.2</v>
      </c>
      <c r="V268" t="str">
        <f t="shared" si="85"/>
        <v>Accepted</v>
      </c>
      <c r="W268">
        <f>IFERROR(VLOOKUP(N268, Payment_Terms!A:B, 2, FALSE), "Payment term not found!")</f>
        <v>0</v>
      </c>
      <c r="X268" t="str">
        <f>IFERROR(VLOOKUP(R268, Item_Category!A:B, 2, FALSE), "Uncategorized")</f>
        <v>Wood pulp</v>
      </c>
      <c r="Y268" s="5">
        <f t="shared" si="72"/>
        <v>0</v>
      </c>
      <c r="Z268">
        <f t="shared" si="73"/>
        <v>5</v>
      </c>
      <c r="AA268">
        <f t="shared" si="74"/>
        <v>33</v>
      </c>
      <c r="AB268">
        <f t="shared" si="75"/>
        <v>1</v>
      </c>
      <c r="AC268" s="10">
        <f t="shared" si="76"/>
        <v>63</v>
      </c>
      <c r="AD268" s="5">
        <f t="shared" si="77"/>
        <v>1</v>
      </c>
      <c r="AE268" s="5">
        <f t="shared" si="78"/>
        <v>1</v>
      </c>
      <c r="AF268" s="5">
        <f t="shared" si="79"/>
        <v>0</v>
      </c>
      <c r="AG268">
        <f>IF(B268&lt;&gt;"", COUNTIFS($B$2:B268, B268), "")</f>
        <v>17</v>
      </c>
      <c r="AH268">
        <f t="shared" si="80"/>
        <v>5</v>
      </c>
      <c r="AI268" t="str">
        <f>VLOOKUP(B268, Currency!A:B, 2, FALSE)</f>
        <v>INR</v>
      </c>
      <c r="AJ268">
        <f t="shared" si="81"/>
        <v>4</v>
      </c>
      <c r="AK268">
        <f t="shared" si="82"/>
        <v>6</v>
      </c>
      <c r="AL268" t="str">
        <f t="shared" si="83"/>
        <v>June</v>
      </c>
      <c r="AM268">
        <f t="shared" si="86"/>
        <v>2023</v>
      </c>
      <c r="AN268" t="str">
        <f t="shared" si="84"/>
        <v>0N.E. IMPEX PRIVATE LIMITED</v>
      </c>
      <c r="AO268">
        <f>IF(COUNTIF($AN$2:AN268, AN268)=1, 1, 0)</f>
        <v>0</v>
      </c>
      <c r="AP268" t="str">
        <f t="shared" si="87"/>
        <v>&gt;3</v>
      </c>
      <c r="AQ268" t="str">
        <f t="shared" si="88"/>
        <v>&gt;3</v>
      </c>
      <c r="AR268" t="str">
        <f t="shared" si="89"/>
        <v>&lt;=3</v>
      </c>
    </row>
    <row r="269" spans="1:44" x14ac:dyDescent="0.3">
      <c r="A269" t="s">
        <v>33</v>
      </c>
      <c r="B269" t="s">
        <v>185</v>
      </c>
      <c r="C269" t="s">
        <v>108</v>
      </c>
      <c r="D269">
        <v>1809</v>
      </c>
      <c r="E269">
        <v>23120023</v>
      </c>
      <c r="F269" t="s">
        <v>186</v>
      </c>
      <c r="G269" t="s">
        <v>187</v>
      </c>
      <c r="H269">
        <v>4000</v>
      </c>
      <c r="I269">
        <v>126</v>
      </c>
      <c r="J269">
        <v>504000</v>
      </c>
      <c r="K269" s="7" t="str">
        <f>IFERROR(IF(B269&lt;&gt;"", TEXT(VLOOKUP(B269, 'Expected Date'!A:B, 2, FALSE) + DATE(RIGHT(C269,2),MID(C269,4,2),LEFT(C269,2)), "dd/mm/yy"), ""), "")</f>
        <v>20/05/23</v>
      </c>
      <c r="L269" t="s">
        <v>68</v>
      </c>
      <c r="M269" t="s">
        <v>48</v>
      </c>
      <c r="N269" t="s">
        <v>188</v>
      </c>
      <c r="O269" t="s">
        <v>210</v>
      </c>
      <c r="P269">
        <v>23190243</v>
      </c>
      <c r="Q269" t="s">
        <v>186</v>
      </c>
      <c r="R269" t="s">
        <v>187</v>
      </c>
      <c r="S269">
        <v>1980</v>
      </c>
      <c r="T269">
        <v>126</v>
      </c>
      <c r="U269">
        <v>249480</v>
      </c>
      <c r="V269" t="str">
        <f t="shared" si="85"/>
        <v>Accepted</v>
      </c>
      <c r="W269">
        <f>IFERROR(VLOOKUP(N269, Payment_Terms!A:B, 2, FALSE), "Payment term not found!")</f>
        <v>30</v>
      </c>
      <c r="X269" t="str">
        <f>IFERROR(VLOOKUP(R269, Item_Category!A:B, 2, FALSE), "Uncategorized")</f>
        <v>Liner</v>
      </c>
      <c r="Y269" s="5">
        <f t="shared" si="72"/>
        <v>1.0500000000000001E-2</v>
      </c>
      <c r="Z269">
        <f t="shared" si="73"/>
        <v>4</v>
      </c>
      <c r="AA269">
        <f t="shared" si="74"/>
        <v>-7</v>
      </c>
      <c r="AB269">
        <f t="shared" si="75"/>
        <v>5</v>
      </c>
      <c r="AC269" s="10">
        <f t="shared" si="76"/>
        <v>3</v>
      </c>
      <c r="AD269" s="5">
        <f t="shared" si="77"/>
        <v>1</v>
      </c>
      <c r="AE269" s="5">
        <f t="shared" si="78"/>
        <v>1</v>
      </c>
      <c r="AF269" s="5">
        <f t="shared" si="79"/>
        <v>0</v>
      </c>
      <c r="AG269">
        <f>IF(B269&lt;&gt;"", COUNTIFS($B$2:B269, B269), "")</f>
        <v>4</v>
      </c>
      <c r="AH269">
        <f t="shared" si="80"/>
        <v>5</v>
      </c>
      <c r="AI269" t="str">
        <f>VLOOKUP(B269, Currency!A:B, 2, FALSE)</f>
        <v>INR</v>
      </c>
      <c r="AJ269">
        <f t="shared" si="81"/>
        <v>5</v>
      </c>
      <c r="AK269">
        <f t="shared" si="82"/>
        <v>5</v>
      </c>
      <c r="AL269" t="str">
        <f t="shared" si="83"/>
        <v>May</v>
      </c>
      <c r="AM269">
        <f t="shared" si="86"/>
        <v>2023</v>
      </c>
      <c r="AN269" t="str">
        <f t="shared" si="84"/>
        <v>30SAI RAM FOOD GRADE PACKAGING INDUSTRIES</v>
      </c>
      <c r="AO269">
        <f>IF(COUNTIF($AN$2:AN269, AN269)=1, 1, 0)</f>
        <v>0</v>
      </c>
      <c r="AP269" t="str">
        <f t="shared" si="87"/>
        <v>&gt;3</v>
      </c>
      <c r="AQ269" t="str">
        <f t="shared" si="88"/>
        <v>&gt;3</v>
      </c>
      <c r="AR269" t="str">
        <f t="shared" si="89"/>
        <v>&gt;3</v>
      </c>
    </row>
    <row r="270" spans="1:44" x14ac:dyDescent="0.3">
      <c r="A270" t="s">
        <v>33</v>
      </c>
      <c r="B270" t="s">
        <v>150</v>
      </c>
      <c r="C270" t="s">
        <v>182</v>
      </c>
      <c r="D270">
        <v>2409</v>
      </c>
      <c r="E270">
        <v>23110192</v>
      </c>
      <c r="F270" t="s">
        <v>135</v>
      </c>
      <c r="G270" t="s">
        <v>136</v>
      </c>
      <c r="H270">
        <v>200</v>
      </c>
      <c r="I270">
        <v>6904.76</v>
      </c>
      <c r="J270">
        <v>1380952</v>
      </c>
      <c r="K270" s="7" t="str">
        <f>IFERROR(IF(B270&lt;&gt;"", TEXT(VLOOKUP(B270, 'Expected Date'!A:B, 2, FALSE) + DATE(RIGHT(C270,2),MID(C270,4,2),LEFT(C270,2)), "dd/mm/yy"), ""), "")</f>
        <v>23/06/23</v>
      </c>
      <c r="L270" t="s">
        <v>38</v>
      </c>
      <c r="M270" t="s">
        <v>48</v>
      </c>
      <c r="N270" t="s">
        <v>183</v>
      </c>
      <c r="O270" t="s">
        <v>195</v>
      </c>
      <c r="P270">
        <v>23190432</v>
      </c>
      <c r="Q270" t="s">
        <v>135</v>
      </c>
      <c r="R270" t="s">
        <v>136</v>
      </c>
      <c r="S270">
        <v>20</v>
      </c>
      <c r="T270">
        <v>6904.76</v>
      </c>
      <c r="U270">
        <v>138095.20000000001</v>
      </c>
      <c r="V270" t="str">
        <f t="shared" si="85"/>
        <v>Accepted</v>
      </c>
      <c r="W270">
        <f>IFERROR(VLOOKUP(N270, Payment_Terms!A:B, 2, FALSE), "Payment term not found!")</f>
        <v>30</v>
      </c>
      <c r="X270" t="str">
        <f>IFERROR(VLOOKUP(R270, Item_Category!A:B, 2, FALSE), "Uncategorized")</f>
        <v>Coal materials</v>
      </c>
      <c r="Y270" s="5">
        <f t="shared" si="72"/>
        <v>0</v>
      </c>
      <c r="Z270">
        <f t="shared" si="73"/>
        <v>5</v>
      </c>
      <c r="AA270">
        <f t="shared" si="74"/>
        <v>-8</v>
      </c>
      <c r="AB270">
        <f t="shared" si="75"/>
        <v>5</v>
      </c>
      <c r="AC270" s="10">
        <f t="shared" si="76"/>
        <v>2</v>
      </c>
      <c r="AD270" s="5">
        <f t="shared" si="77"/>
        <v>1</v>
      </c>
      <c r="AE270" s="5">
        <f t="shared" si="78"/>
        <v>1</v>
      </c>
      <c r="AF270" s="5">
        <f t="shared" si="79"/>
        <v>0</v>
      </c>
      <c r="AG270">
        <f>IF(B270&lt;&gt;"", COUNTIFS($B$2:B270, B270), "")</f>
        <v>14</v>
      </c>
      <c r="AH270">
        <f t="shared" si="80"/>
        <v>5</v>
      </c>
      <c r="AI270" t="str">
        <f>VLOOKUP(B270, Currency!A:B, 2, FALSE)</f>
        <v>INR</v>
      </c>
      <c r="AJ270">
        <f t="shared" si="81"/>
        <v>5</v>
      </c>
      <c r="AK270">
        <f t="shared" si="82"/>
        <v>6</v>
      </c>
      <c r="AL270" t="str">
        <f t="shared" si="83"/>
        <v>June</v>
      </c>
      <c r="AM270">
        <f t="shared" si="86"/>
        <v>2023</v>
      </c>
      <c r="AN270" t="str">
        <f t="shared" si="84"/>
        <v>30Venkatadurga Enterprises</v>
      </c>
      <c r="AO270">
        <f>IF(COUNTIF($AN$2:AN270, AN270)=1, 1, 0)</f>
        <v>0</v>
      </c>
      <c r="AP270" t="str">
        <f t="shared" si="87"/>
        <v>&gt;3</v>
      </c>
      <c r="AQ270" t="str">
        <f t="shared" si="88"/>
        <v>&gt;3</v>
      </c>
      <c r="AR270" t="str">
        <f t="shared" si="89"/>
        <v>&gt;3</v>
      </c>
    </row>
    <row r="271" spans="1:44" x14ac:dyDescent="0.3">
      <c r="A271" t="s">
        <v>33</v>
      </c>
      <c r="B271" t="s">
        <v>150</v>
      </c>
      <c r="C271" t="s">
        <v>182</v>
      </c>
      <c r="D271">
        <v>2409</v>
      </c>
      <c r="E271">
        <v>23110192</v>
      </c>
      <c r="F271" t="s">
        <v>135</v>
      </c>
      <c r="G271" t="s">
        <v>136</v>
      </c>
      <c r="H271">
        <v>200</v>
      </c>
      <c r="I271">
        <v>6904.76</v>
      </c>
      <c r="J271">
        <v>1380952</v>
      </c>
      <c r="K271" s="7" t="str">
        <f>IFERROR(IF(B271&lt;&gt;"", TEXT(VLOOKUP(B271, 'Expected Date'!A:B, 2, FALSE) + DATE(RIGHT(C271,2),MID(C271,4,2),LEFT(C271,2)), "dd/mm/yy"), ""), "")</f>
        <v>23/06/23</v>
      </c>
      <c r="L271" t="s">
        <v>38</v>
      </c>
      <c r="M271" t="s">
        <v>48</v>
      </c>
      <c r="N271" t="s">
        <v>183</v>
      </c>
      <c r="O271" t="s">
        <v>195</v>
      </c>
      <c r="P271">
        <v>23190435</v>
      </c>
      <c r="Q271" t="s">
        <v>135</v>
      </c>
      <c r="R271" t="s">
        <v>136</v>
      </c>
      <c r="S271">
        <v>20</v>
      </c>
      <c r="T271">
        <v>6904.76</v>
      </c>
      <c r="U271">
        <v>138095.20000000001</v>
      </c>
      <c r="V271" t="str">
        <f t="shared" si="85"/>
        <v>Accepted</v>
      </c>
      <c r="W271">
        <f>IFERROR(VLOOKUP(N271, Payment_Terms!A:B, 2, FALSE), "Payment term not found!")</f>
        <v>30</v>
      </c>
      <c r="X271" t="str">
        <f>IFERROR(VLOOKUP(R271, Item_Category!A:B, 2, FALSE), "Uncategorized")</f>
        <v>Coal materials</v>
      </c>
      <c r="Y271" s="5">
        <f t="shared" si="72"/>
        <v>0</v>
      </c>
      <c r="Z271">
        <f t="shared" si="73"/>
        <v>5</v>
      </c>
      <c r="AA271">
        <f t="shared" si="74"/>
        <v>-8</v>
      </c>
      <c r="AB271">
        <f t="shared" si="75"/>
        <v>5</v>
      </c>
      <c r="AC271" s="10">
        <f t="shared" si="76"/>
        <v>2</v>
      </c>
      <c r="AD271" s="5">
        <f t="shared" si="77"/>
        <v>1</v>
      </c>
      <c r="AE271" s="5">
        <f t="shared" si="78"/>
        <v>1</v>
      </c>
      <c r="AF271" s="5">
        <f t="shared" si="79"/>
        <v>0</v>
      </c>
      <c r="AG271">
        <f>IF(B271&lt;&gt;"", COUNTIFS($B$2:B271, B271), "")</f>
        <v>15</v>
      </c>
      <c r="AH271">
        <f t="shared" si="80"/>
        <v>5</v>
      </c>
      <c r="AI271" t="str">
        <f>VLOOKUP(B271, Currency!A:B, 2, FALSE)</f>
        <v>INR</v>
      </c>
      <c r="AJ271">
        <f t="shared" si="81"/>
        <v>5</v>
      </c>
      <c r="AK271">
        <f t="shared" si="82"/>
        <v>6</v>
      </c>
      <c r="AL271" t="str">
        <f t="shared" si="83"/>
        <v>June</v>
      </c>
      <c r="AM271">
        <f t="shared" si="86"/>
        <v>2023</v>
      </c>
      <c r="AN271" t="str">
        <f t="shared" si="84"/>
        <v>30Venkatadurga Enterprises</v>
      </c>
      <c r="AO271">
        <f>IF(COUNTIF($AN$2:AN271, AN271)=1, 1, 0)</f>
        <v>0</v>
      </c>
      <c r="AP271" t="str">
        <f t="shared" si="87"/>
        <v>&gt;3</v>
      </c>
      <c r="AQ271" t="str">
        <f t="shared" si="88"/>
        <v>&gt;3</v>
      </c>
      <c r="AR271" t="str">
        <f t="shared" si="89"/>
        <v>&gt;3</v>
      </c>
    </row>
    <row r="272" spans="1:44" x14ac:dyDescent="0.3">
      <c r="A272" t="s">
        <v>33</v>
      </c>
      <c r="B272" t="s">
        <v>337</v>
      </c>
      <c r="C272" t="s">
        <v>281</v>
      </c>
      <c r="D272">
        <v>4179</v>
      </c>
      <c r="E272">
        <v>23110398</v>
      </c>
      <c r="F272" t="s">
        <v>282</v>
      </c>
      <c r="G272" t="s">
        <v>283</v>
      </c>
      <c r="H272">
        <v>192</v>
      </c>
      <c r="I272">
        <v>397.1875</v>
      </c>
      <c r="J272">
        <v>76260</v>
      </c>
      <c r="K272" s="7" t="str">
        <f>IFERROR(IF(B272&lt;&gt;"", TEXT(VLOOKUP(B272, 'Expected Date'!A:B, 2, FALSE) + DATE(RIGHT(C272,2),MID(C272,4,2),LEFT(C272,2)), "dd/mm/yy"), ""), "")</f>
        <v>07/09/23</v>
      </c>
      <c r="L272" t="s">
        <v>38</v>
      </c>
      <c r="M272" t="s">
        <v>285</v>
      </c>
      <c r="N272" t="s">
        <v>109</v>
      </c>
      <c r="O272" t="s">
        <v>286</v>
      </c>
      <c r="P272">
        <v>23191011</v>
      </c>
      <c r="Q272" t="s">
        <v>282</v>
      </c>
      <c r="R272" t="s">
        <v>283</v>
      </c>
      <c r="S272">
        <v>192</v>
      </c>
      <c r="T272">
        <v>397.1875</v>
      </c>
      <c r="U272">
        <v>76260</v>
      </c>
      <c r="V272" t="str">
        <f t="shared" si="85"/>
        <v>Accepted</v>
      </c>
      <c r="W272">
        <f>IFERROR(VLOOKUP(N272, Payment_Terms!A:B, 2, FALSE), "Payment term not found!")</f>
        <v>0</v>
      </c>
      <c r="X272" t="str">
        <f>IFERROR(VLOOKUP(R272, Item_Category!A:B, 2, FALSE), "Uncategorized")</f>
        <v>R O water</v>
      </c>
      <c r="Y272" s="5">
        <f t="shared" si="72"/>
        <v>0</v>
      </c>
      <c r="Z272">
        <f t="shared" si="73"/>
        <v>5</v>
      </c>
      <c r="AA272">
        <f t="shared" si="74"/>
        <v>-7</v>
      </c>
      <c r="AB272">
        <f t="shared" si="75"/>
        <v>5</v>
      </c>
      <c r="AC272" s="10">
        <f t="shared" si="76"/>
        <v>5</v>
      </c>
      <c r="AD272" s="5">
        <f t="shared" si="77"/>
        <v>1</v>
      </c>
      <c r="AE272" s="5">
        <f t="shared" si="78"/>
        <v>1</v>
      </c>
      <c r="AF272" s="5">
        <f t="shared" si="79"/>
        <v>0</v>
      </c>
      <c r="AG272">
        <f>IF(B272&lt;&gt;"", COUNTIFS($B$2:B272, B272), "")</f>
        <v>1</v>
      </c>
      <c r="AH272">
        <f t="shared" si="80"/>
        <v>5</v>
      </c>
      <c r="AI272" t="str">
        <f>VLOOKUP(B272, Currency!A:B, 2, FALSE)</f>
        <v>INR</v>
      </c>
      <c r="AJ272">
        <f t="shared" si="81"/>
        <v>5</v>
      </c>
      <c r="AK272">
        <f t="shared" si="82"/>
        <v>9</v>
      </c>
      <c r="AL272" t="str">
        <f t="shared" si="83"/>
        <v>September</v>
      </c>
      <c r="AM272">
        <f t="shared" si="86"/>
        <v>2023</v>
      </c>
      <c r="AN272" t="str">
        <f t="shared" si="84"/>
        <v>0S S Enterprises (Water)</v>
      </c>
      <c r="AO272">
        <f>IF(COUNTIF($AN$2:AN272, AN272)=1, 1, 0)</f>
        <v>1</v>
      </c>
      <c r="AP272" t="str">
        <f t="shared" si="87"/>
        <v>&gt;3</v>
      </c>
      <c r="AQ272" t="str">
        <f t="shared" si="88"/>
        <v>&gt;3</v>
      </c>
      <c r="AR272" t="str">
        <f t="shared" si="89"/>
        <v>&gt;3</v>
      </c>
    </row>
    <row r="273" spans="1:44" x14ac:dyDescent="0.3">
      <c r="A273" t="s">
        <v>33</v>
      </c>
      <c r="B273" t="s">
        <v>337</v>
      </c>
      <c r="C273" t="s">
        <v>281</v>
      </c>
      <c r="D273">
        <v>4179</v>
      </c>
      <c r="E273">
        <v>23110398</v>
      </c>
      <c r="F273" t="s">
        <v>282</v>
      </c>
      <c r="G273" t="s">
        <v>283</v>
      </c>
      <c r="H273">
        <v>192</v>
      </c>
      <c r="I273">
        <v>397.1875</v>
      </c>
      <c r="J273">
        <v>76260</v>
      </c>
      <c r="K273" s="7" t="str">
        <f>IFERROR(IF(B273&lt;&gt;"", TEXT(VLOOKUP(B273, 'Expected Date'!A:B, 2, FALSE) + DATE(RIGHT(C273,2),MID(C273,4,2),LEFT(C273,2)), "dd/mm/yy"), ""), "")</f>
        <v>07/09/23</v>
      </c>
      <c r="L273" t="s">
        <v>38</v>
      </c>
      <c r="M273" t="s">
        <v>285</v>
      </c>
      <c r="N273" t="s">
        <v>109</v>
      </c>
      <c r="O273" t="s">
        <v>286</v>
      </c>
      <c r="P273">
        <v>23191015</v>
      </c>
      <c r="Q273" t="s">
        <v>282</v>
      </c>
      <c r="R273" t="s">
        <v>283</v>
      </c>
      <c r="S273">
        <v>192</v>
      </c>
      <c r="T273">
        <v>397.1875</v>
      </c>
      <c r="U273">
        <v>76260</v>
      </c>
      <c r="V273" t="str">
        <f t="shared" si="85"/>
        <v>Accepted</v>
      </c>
      <c r="W273">
        <f>IFERROR(VLOOKUP(N273, Payment_Terms!A:B, 2, FALSE), "Payment term not found!")</f>
        <v>0</v>
      </c>
      <c r="X273" t="str">
        <f>IFERROR(VLOOKUP(R273, Item_Category!A:B, 2, FALSE), "Uncategorized")</f>
        <v>R O water</v>
      </c>
      <c r="Y273" s="5">
        <f t="shared" si="72"/>
        <v>0</v>
      </c>
      <c r="Z273">
        <f t="shared" si="73"/>
        <v>5</v>
      </c>
      <c r="AA273">
        <f t="shared" si="74"/>
        <v>-7</v>
      </c>
      <c r="AB273">
        <f t="shared" si="75"/>
        <v>5</v>
      </c>
      <c r="AC273" s="10">
        <f t="shared" si="76"/>
        <v>5</v>
      </c>
      <c r="AD273" s="5">
        <f t="shared" si="77"/>
        <v>1</v>
      </c>
      <c r="AE273" s="5">
        <f t="shared" si="78"/>
        <v>1</v>
      </c>
      <c r="AF273" s="5">
        <f t="shared" si="79"/>
        <v>0</v>
      </c>
      <c r="AG273">
        <f>IF(B273&lt;&gt;"", COUNTIFS($B$2:B273, B273), "")</f>
        <v>2</v>
      </c>
      <c r="AH273">
        <f t="shared" si="80"/>
        <v>5</v>
      </c>
      <c r="AI273" t="str">
        <f>VLOOKUP(B273, Currency!A:B, 2, FALSE)</f>
        <v>INR</v>
      </c>
      <c r="AJ273">
        <f t="shared" si="81"/>
        <v>5</v>
      </c>
      <c r="AK273">
        <f t="shared" si="82"/>
        <v>9</v>
      </c>
      <c r="AL273" t="str">
        <f t="shared" si="83"/>
        <v>September</v>
      </c>
      <c r="AM273">
        <f t="shared" si="86"/>
        <v>2023</v>
      </c>
      <c r="AN273" t="str">
        <f t="shared" si="84"/>
        <v>0S S Enterprises (Water)</v>
      </c>
      <c r="AO273">
        <f>IF(COUNTIF($AN$2:AN273, AN273)=1, 1, 0)</f>
        <v>0</v>
      </c>
      <c r="AP273" t="str">
        <f t="shared" si="87"/>
        <v>&gt;3</v>
      </c>
      <c r="AQ273" t="str">
        <f t="shared" si="88"/>
        <v>&gt;3</v>
      </c>
      <c r="AR273" t="str">
        <f t="shared" si="89"/>
        <v>&gt;3</v>
      </c>
    </row>
    <row r="274" spans="1:44" x14ac:dyDescent="0.3">
      <c r="A274" t="s">
        <v>33</v>
      </c>
      <c r="B274" t="s">
        <v>150</v>
      </c>
      <c r="C274" t="s">
        <v>182</v>
      </c>
      <c r="D274">
        <v>2409</v>
      </c>
      <c r="E274">
        <v>23110192</v>
      </c>
      <c r="F274" t="s">
        <v>135</v>
      </c>
      <c r="G274" t="s">
        <v>136</v>
      </c>
      <c r="H274">
        <v>200</v>
      </c>
      <c r="I274">
        <v>6904.76</v>
      </c>
      <c r="J274">
        <v>1380952</v>
      </c>
      <c r="K274" s="7" t="str">
        <f>IFERROR(IF(B274&lt;&gt;"", TEXT(VLOOKUP(B274, 'Expected Date'!A:B, 2, FALSE) + DATE(RIGHT(C274,2),MID(C274,4,2),LEFT(C274,2)), "dd/mm/yy"), ""), "")</f>
        <v>23/06/23</v>
      </c>
      <c r="L274" t="s">
        <v>38</v>
      </c>
      <c r="M274" t="s">
        <v>48</v>
      </c>
      <c r="N274" t="s">
        <v>183</v>
      </c>
      <c r="O274" t="s">
        <v>249</v>
      </c>
      <c r="P274">
        <v>23190468</v>
      </c>
      <c r="Q274" t="s">
        <v>135</v>
      </c>
      <c r="R274" t="s">
        <v>136</v>
      </c>
      <c r="S274">
        <v>20</v>
      </c>
      <c r="T274">
        <v>6904.76</v>
      </c>
      <c r="U274">
        <v>138095.20000000001</v>
      </c>
      <c r="V274" t="str">
        <f t="shared" si="85"/>
        <v>Accepted</v>
      </c>
      <c r="W274">
        <f>IFERROR(VLOOKUP(N274, Payment_Terms!A:B, 2, FALSE), "Payment term not found!")</f>
        <v>30</v>
      </c>
      <c r="X274" t="str">
        <f>IFERROR(VLOOKUP(R274, Item_Category!A:B, 2, FALSE), "Uncategorized")</f>
        <v>Coal materials</v>
      </c>
      <c r="Y274" s="5">
        <f t="shared" si="72"/>
        <v>0</v>
      </c>
      <c r="Z274">
        <f t="shared" si="73"/>
        <v>5</v>
      </c>
      <c r="AA274">
        <f t="shared" si="74"/>
        <v>-2</v>
      </c>
      <c r="AB274">
        <f t="shared" si="75"/>
        <v>5</v>
      </c>
      <c r="AC274" s="10">
        <f t="shared" si="76"/>
        <v>8</v>
      </c>
      <c r="AD274" s="5">
        <f t="shared" si="77"/>
        <v>1</v>
      </c>
      <c r="AE274" s="5">
        <f t="shared" si="78"/>
        <v>1</v>
      </c>
      <c r="AF274" s="5">
        <f t="shared" si="79"/>
        <v>0</v>
      </c>
      <c r="AG274">
        <f>IF(B274&lt;&gt;"", COUNTIFS($B$2:B274, B274), "")</f>
        <v>16</v>
      </c>
      <c r="AH274">
        <f t="shared" si="80"/>
        <v>5</v>
      </c>
      <c r="AI274" t="str">
        <f>VLOOKUP(B274, Currency!A:B, 2, FALSE)</f>
        <v>INR</v>
      </c>
      <c r="AJ274">
        <f t="shared" si="81"/>
        <v>5</v>
      </c>
      <c r="AK274">
        <f t="shared" si="82"/>
        <v>6</v>
      </c>
      <c r="AL274" t="str">
        <f t="shared" si="83"/>
        <v>June</v>
      </c>
      <c r="AM274">
        <f t="shared" si="86"/>
        <v>2023</v>
      </c>
      <c r="AN274" t="str">
        <f t="shared" si="84"/>
        <v>30Venkatadurga Enterprises</v>
      </c>
      <c r="AO274">
        <f>IF(COUNTIF($AN$2:AN274, AN274)=1, 1, 0)</f>
        <v>0</v>
      </c>
      <c r="AP274" t="str">
        <f t="shared" si="87"/>
        <v>&gt;3</v>
      </c>
      <c r="AQ274" t="str">
        <f t="shared" si="88"/>
        <v>&gt;3</v>
      </c>
      <c r="AR274" t="str">
        <f t="shared" si="89"/>
        <v>&gt;3</v>
      </c>
    </row>
    <row r="275" spans="1:44" x14ac:dyDescent="0.3">
      <c r="A275" t="s">
        <v>33</v>
      </c>
      <c r="B275" t="s">
        <v>150</v>
      </c>
      <c r="C275" t="s">
        <v>182</v>
      </c>
      <c r="D275">
        <v>2409</v>
      </c>
      <c r="E275">
        <v>23110192</v>
      </c>
      <c r="F275" t="s">
        <v>135</v>
      </c>
      <c r="G275" t="s">
        <v>136</v>
      </c>
      <c r="H275">
        <v>200</v>
      </c>
      <c r="I275">
        <v>6904.76</v>
      </c>
      <c r="J275">
        <v>1380952</v>
      </c>
      <c r="K275" s="7" t="str">
        <f>IFERROR(IF(B275&lt;&gt;"", TEXT(VLOOKUP(B275, 'Expected Date'!A:B, 2, FALSE) + DATE(RIGHT(C275,2),MID(C275,4,2),LEFT(C275,2)), "dd/mm/yy"), ""), "")</f>
        <v>23/06/23</v>
      </c>
      <c r="L275" t="s">
        <v>38</v>
      </c>
      <c r="M275" t="s">
        <v>48</v>
      </c>
      <c r="N275" t="s">
        <v>183</v>
      </c>
      <c r="O275" t="s">
        <v>249</v>
      </c>
      <c r="P275">
        <v>23190469</v>
      </c>
      <c r="Q275" t="s">
        <v>135</v>
      </c>
      <c r="R275" t="s">
        <v>136</v>
      </c>
      <c r="S275">
        <v>19</v>
      </c>
      <c r="T275">
        <v>6904.76</v>
      </c>
      <c r="U275">
        <v>131190.44</v>
      </c>
      <c r="V275" t="str">
        <f t="shared" si="85"/>
        <v>Accepted</v>
      </c>
      <c r="W275">
        <f>IFERROR(VLOOKUP(N275, Payment_Terms!A:B, 2, FALSE), "Payment term not found!")</f>
        <v>30</v>
      </c>
      <c r="X275" t="str">
        <f>IFERROR(VLOOKUP(R275, Item_Category!A:B, 2, FALSE), "Uncategorized")</f>
        <v>Coal materials</v>
      </c>
      <c r="Y275" s="5">
        <f t="shared" si="72"/>
        <v>0</v>
      </c>
      <c r="Z275">
        <f t="shared" si="73"/>
        <v>5</v>
      </c>
      <c r="AA275">
        <f t="shared" si="74"/>
        <v>-2</v>
      </c>
      <c r="AB275">
        <f t="shared" si="75"/>
        <v>5</v>
      </c>
      <c r="AC275" s="10">
        <f t="shared" si="76"/>
        <v>8</v>
      </c>
      <c r="AD275" s="5">
        <f t="shared" si="77"/>
        <v>1</v>
      </c>
      <c r="AE275" s="5">
        <f t="shared" si="78"/>
        <v>1</v>
      </c>
      <c r="AF275" s="5">
        <f t="shared" si="79"/>
        <v>0</v>
      </c>
      <c r="AG275">
        <f>IF(B275&lt;&gt;"", COUNTIFS($B$2:B275, B275), "")</f>
        <v>17</v>
      </c>
      <c r="AH275">
        <f t="shared" si="80"/>
        <v>5</v>
      </c>
      <c r="AI275" t="str">
        <f>VLOOKUP(B275, Currency!A:B, 2, FALSE)</f>
        <v>INR</v>
      </c>
      <c r="AJ275">
        <f t="shared" si="81"/>
        <v>5</v>
      </c>
      <c r="AK275">
        <f t="shared" si="82"/>
        <v>6</v>
      </c>
      <c r="AL275" t="str">
        <f t="shared" si="83"/>
        <v>June</v>
      </c>
      <c r="AM275">
        <f t="shared" si="86"/>
        <v>2023</v>
      </c>
      <c r="AN275" t="str">
        <f t="shared" si="84"/>
        <v>30Venkatadurga Enterprises</v>
      </c>
      <c r="AO275">
        <f>IF(COUNTIF($AN$2:AN275, AN275)=1, 1, 0)</f>
        <v>0</v>
      </c>
      <c r="AP275" t="str">
        <f t="shared" si="87"/>
        <v>&gt;3</v>
      </c>
      <c r="AQ275" t="str">
        <f t="shared" si="88"/>
        <v>&gt;3</v>
      </c>
      <c r="AR275" t="str">
        <f t="shared" si="89"/>
        <v>&gt;3</v>
      </c>
    </row>
    <row r="276" spans="1:44" x14ac:dyDescent="0.3">
      <c r="A276" t="s">
        <v>33</v>
      </c>
      <c r="B276" t="s">
        <v>79</v>
      </c>
      <c r="C276" t="s">
        <v>56</v>
      </c>
      <c r="D276">
        <v>3566</v>
      </c>
      <c r="E276">
        <v>23110328</v>
      </c>
      <c r="F276" t="s">
        <v>81</v>
      </c>
      <c r="G276" t="s">
        <v>82</v>
      </c>
      <c r="H276">
        <v>21000</v>
      </c>
      <c r="I276">
        <v>1.9</v>
      </c>
      <c r="J276">
        <v>39900</v>
      </c>
      <c r="K276" s="7" t="str">
        <f>IFERROR(IF(B276&lt;&gt;"", TEXT(VLOOKUP(B276, 'Expected Date'!A:B, 2, FALSE) + DATE(RIGHT(C276,2),MID(C276,4,2),LEFT(C276,2)), "dd/mm/yy"), ""), "")</f>
        <v>24/08/23</v>
      </c>
      <c r="L276" t="s">
        <v>38</v>
      </c>
      <c r="M276" t="s">
        <v>48</v>
      </c>
      <c r="N276" t="s">
        <v>83</v>
      </c>
      <c r="O276" t="s">
        <v>59</v>
      </c>
      <c r="P276">
        <v>23190982</v>
      </c>
      <c r="Q276" t="s">
        <v>81</v>
      </c>
      <c r="R276" t="s">
        <v>82</v>
      </c>
      <c r="S276">
        <v>27280</v>
      </c>
      <c r="T276">
        <v>1.9</v>
      </c>
      <c r="U276">
        <v>51832</v>
      </c>
      <c r="V276" t="str">
        <f t="shared" si="85"/>
        <v>Accepted</v>
      </c>
      <c r="W276">
        <f>IFERROR(VLOOKUP(N276, Payment_Terms!A:B, 2, FALSE), "Payment term not found!")</f>
        <v>0</v>
      </c>
      <c r="X276" t="str">
        <f>IFERROR(VLOOKUP(R276, Item_Category!A:B, 2, FALSE), "Uncategorized")</f>
        <v>HCL</v>
      </c>
      <c r="Y276" s="5">
        <f t="shared" si="72"/>
        <v>0</v>
      </c>
      <c r="Z276">
        <f t="shared" si="73"/>
        <v>5</v>
      </c>
      <c r="AA276">
        <f t="shared" si="74"/>
        <v>-19</v>
      </c>
      <c r="AB276">
        <f t="shared" si="75"/>
        <v>5</v>
      </c>
      <c r="AC276" s="10">
        <f t="shared" si="76"/>
        <v>1</v>
      </c>
      <c r="AD276" s="5">
        <f t="shared" si="77"/>
        <v>1</v>
      </c>
      <c r="AE276" s="5">
        <f t="shared" si="78"/>
        <v>1</v>
      </c>
      <c r="AF276" s="5">
        <f t="shared" si="79"/>
        <v>0</v>
      </c>
      <c r="AG276">
        <f>IF(B276&lt;&gt;"", COUNTIFS($B$2:B276, B276), "")</f>
        <v>6</v>
      </c>
      <c r="AH276">
        <f t="shared" si="80"/>
        <v>5</v>
      </c>
      <c r="AI276" t="str">
        <f>VLOOKUP(B276, Currency!A:B, 2, FALSE)</f>
        <v>INR</v>
      </c>
      <c r="AJ276">
        <f t="shared" si="81"/>
        <v>5</v>
      </c>
      <c r="AK276">
        <f t="shared" si="82"/>
        <v>8</v>
      </c>
      <c r="AL276" t="str">
        <f t="shared" si="83"/>
        <v>August</v>
      </c>
      <c r="AM276">
        <f t="shared" si="86"/>
        <v>2023</v>
      </c>
      <c r="AN276" t="str">
        <f t="shared" si="84"/>
        <v>0R L Chloro Sales Pvt Ltd</v>
      </c>
      <c r="AO276">
        <f>IF(COUNTIF($AN$2:AN276, AN276)=1, 1, 0)</f>
        <v>0</v>
      </c>
      <c r="AP276" t="str">
        <f t="shared" si="87"/>
        <v>&gt;3</v>
      </c>
      <c r="AQ276" t="str">
        <f t="shared" si="88"/>
        <v>&gt;3</v>
      </c>
      <c r="AR276" t="str">
        <f t="shared" si="89"/>
        <v>&gt;3</v>
      </c>
    </row>
    <row r="277" spans="1:44" x14ac:dyDescent="0.3">
      <c r="A277" t="str">
        <f>A226</f>
        <v>Woodpulp</v>
      </c>
      <c r="B277" t="s">
        <v>140</v>
      </c>
      <c r="C277" t="s">
        <v>71</v>
      </c>
      <c r="D277">
        <v>2721</v>
      </c>
      <c r="E277">
        <v>23120070</v>
      </c>
      <c r="F277" t="s">
        <v>142</v>
      </c>
      <c r="G277" t="s">
        <v>360</v>
      </c>
      <c r="H277">
        <v>125</v>
      </c>
      <c r="I277">
        <v>830</v>
      </c>
      <c r="J277">
        <v>8476375</v>
      </c>
      <c r="K277" s="7" t="str">
        <f>IFERROR(IF(B277&lt;&gt;"", TEXT(VLOOKUP(B277, 'Expected Date'!A:B, 2, FALSE) + DATE(RIGHT(C277,2),MID(C277,4,2),LEFT(C277,2)), "dd/mm/yy"), ""), "")</f>
        <v>06/08/23</v>
      </c>
      <c r="L277" t="s">
        <v>68</v>
      </c>
      <c r="M277" t="str">
        <f>M197</f>
        <v>MT</v>
      </c>
      <c r="N277" t="s">
        <v>190</v>
      </c>
      <c r="O277" t="s">
        <v>332</v>
      </c>
      <c r="P277">
        <v>23190984</v>
      </c>
      <c r="Q277" t="s">
        <v>142</v>
      </c>
      <c r="R277" t="s">
        <v>143</v>
      </c>
      <c r="S277">
        <v>122.256</v>
      </c>
      <c r="T277">
        <v>830</v>
      </c>
      <c r="U277">
        <v>8341037.8600000003</v>
      </c>
      <c r="V277" t="str">
        <f t="shared" si="85"/>
        <v>Accepted</v>
      </c>
      <c r="W277">
        <f>IFERROR(VLOOKUP(N277, Payment_Terms!A:B, 2, FALSE), "Payment term not found!")</f>
        <v>0</v>
      </c>
      <c r="X277" t="str">
        <f>IFERROR(VLOOKUP(R277, Item_Category!A:B, 2, FALSE), "Uncategorized")</f>
        <v>Wood pulp</v>
      </c>
      <c r="Y277" s="5">
        <f t="shared" si="72"/>
        <v>2.1951999999999999E-2</v>
      </c>
      <c r="Z277">
        <f t="shared" si="73"/>
        <v>3</v>
      </c>
      <c r="AA277">
        <f t="shared" si="74"/>
        <v>23</v>
      </c>
      <c r="AB277">
        <f t="shared" si="75"/>
        <v>1</v>
      </c>
      <c r="AC277" s="10">
        <f t="shared" si="76"/>
        <v>68</v>
      </c>
      <c r="AD277" s="5">
        <f t="shared" si="77"/>
        <v>1</v>
      </c>
      <c r="AE277" s="5">
        <f t="shared" si="78"/>
        <v>1</v>
      </c>
      <c r="AF277" s="5">
        <f t="shared" si="79"/>
        <v>0</v>
      </c>
      <c r="AG277">
        <f>IF(B277&lt;&gt;"", COUNTIFS($B$2:B277, B277), "")</f>
        <v>16</v>
      </c>
      <c r="AH277">
        <f t="shared" si="80"/>
        <v>5</v>
      </c>
      <c r="AI277" t="str">
        <f>VLOOKUP(B277, Currency!A:B, 2, FALSE)</f>
        <v>USD</v>
      </c>
      <c r="AJ277">
        <f t="shared" si="81"/>
        <v>4</v>
      </c>
      <c r="AK277">
        <f t="shared" si="82"/>
        <v>6</v>
      </c>
      <c r="AL277" t="str">
        <f t="shared" si="83"/>
        <v>June</v>
      </c>
      <c r="AM277">
        <f t="shared" si="86"/>
        <v>2023</v>
      </c>
      <c r="AN277" t="str">
        <f t="shared" si="84"/>
        <v>0Sappi Paper Holdings GMBH</v>
      </c>
      <c r="AO277">
        <f>IF(COUNTIF($AN$2:AN277, AN277)=1, 1, 0)</f>
        <v>0</v>
      </c>
      <c r="AP277" t="str">
        <f t="shared" si="87"/>
        <v>&gt;3</v>
      </c>
      <c r="AQ277" t="str">
        <f t="shared" si="88"/>
        <v>&lt;=3</v>
      </c>
      <c r="AR277" t="str">
        <f t="shared" si="89"/>
        <v>&lt;=3</v>
      </c>
    </row>
    <row r="278" spans="1:44" x14ac:dyDescent="0.3">
      <c r="A278" t="s">
        <v>33</v>
      </c>
      <c r="B278" t="s">
        <v>107</v>
      </c>
      <c r="C278" t="s">
        <v>228</v>
      </c>
      <c r="D278">
        <v>4550</v>
      </c>
      <c r="E278">
        <v>23120127</v>
      </c>
      <c r="F278" t="s">
        <v>92</v>
      </c>
      <c r="G278" t="s">
        <v>93</v>
      </c>
      <c r="H278">
        <v>10000</v>
      </c>
      <c r="I278">
        <v>33.75</v>
      </c>
      <c r="J278">
        <v>337500</v>
      </c>
      <c r="K278" s="7" t="str">
        <f>IFERROR(IF(B278&lt;&gt;"", TEXT(VLOOKUP(B278, 'Expected Date'!A:B, 2, FALSE) + DATE(RIGHT(C278,2),MID(C278,4,2),LEFT(C278,2)), "dd/mm/yy"), ""), "")</f>
        <v>02/10/23</v>
      </c>
      <c r="L278" t="s">
        <v>38</v>
      </c>
      <c r="M278" t="s">
        <v>39</v>
      </c>
      <c r="N278" t="s">
        <v>109</v>
      </c>
      <c r="O278" t="s">
        <v>325</v>
      </c>
      <c r="P278">
        <v>23191353</v>
      </c>
      <c r="Q278" t="s">
        <v>92</v>
      </c>
      <c r="R278" t="s">
        <v>93</v>
      </c>
      <c r="S278">
        <v>12819</v>
      </c>
      <c r="T278">
        <v>33.75</v>
      </c>
      <c r="U278">
        <v>432641.25</v>
      </c>
      <c r="V278" t="str">
        <f t="shared" si="85"/>
        <v>Accepted</v>
      </c>
      <c r="W278">
        <f>IFERROR(VLOOKUP(N278, Payment_Terms!A:B, 2, FALSE), "Payment term not found!")</f>
        <v>0</v>
      </c>
      <c r="X278" t="str">
        <f>IFERROR(VLOOKUP(R278, Item_Category!A:B, 2, FALSE), "Uncategorized")</f>
        <v>Bags</v>
      </c>
      <c r="Y278" s="5">
        <f t="shared" si="72"/>
        <v>0</v>
      </c>
      <c r="Z278">
        <f t="shared" si="73"/>
        <v>5</v>
      </c>
      <c r="AA278">
        <f t="shared" si="74"/>
        <v>14</v>
      </c>
      <c r="AB278">
        <f t="shared" si="75"/>
        <v>1</v>
      </c>
      <c r="AC278" s="10">
        <f t="shared" si="76"/>
        <v>24</v>
      </c>
      <c r="AD278" s="5">
        <f t="shared" si="77"/>
        <v>1</v>
      </c>
      <c r="AE278" s="5">
        <f t="shared" si="78"/>
        <v>1</v>
      </c>
      <c r="AF278" s="5">
        <f t="shared" si="79"/>
        <v>0</v>
      </c>
      <c r="AG278">
        <f>IF(B278&lt;&gt;"", COUNTIFS($B$2:B278, B278), "")</f>
        <v>22</v>
      </c>
      <c r="AH278">
        <f t="shared" si="80"/>
        <v>5</v>
      </c>
      <c r="AI278" t="str">
        <f>VLOOKUP(B278, Currency!A:B, 2, FALSE)</f>
        <v>INR</v>
      </c>
      <c r="AJ278">
        <f t="shared" si="81"/>
        <v>4</v>
      </c>
      <c r="AK278">
        <f t="shared" si="82"/>
        <v>9</v>
      </c>
      <c r="AL278" t="str">
        <f t="shared" si="83"/>
        <v>September</v>
      </c>
      <c r="AM278">
        <f t="shared" si="86"/>
        <v>2023</v>
      </c>
      <c r="AN278" t="str">
        <f t="shared" si="84"/>
        <v>0KAPILA INDUSTRIES</v>
      </c>
      <c r="AO278">
        <f>IF(COUNTIF($AN$2:AN278, AN278)=1, 1, 0)</f>
        <v>0</v>
      </c>
      <c r="AP278" t="str">
        <f t="shared" si="87"/>
        <v>&gt;3</v>
      </c>
      <c r="AQ278" t="str">
        <f t="shared" si="88"/>
        <v>&gt;3</v>
      </c>
      <c r="AR278" t="str">
        <f t="shared" si="89"/>
        <v>&lt;=3</v>
      </c>
    </row>
    <row r="279" spans="1:44" x14ac:dyDescent="0.3">
      <c r="A279" t="s">
        <v>33</v>
      </c>
      <c r="B279" t="s">
        <v>64</v>
      </c>
      <c r="C279" t="s">
        <v>65</v>
      </c>
      <c r="D279">
        <v>1352</v>
      </c>
      <c r="E279">
        <v>23120006</v>
      </c>
      <c r="F279" t="s">
        <v>170</v>
      </c>
      <c r="G279" t="s">
        <v>171</v>
      </c>
      <c r="H279">
        <v>2000</v>
      </c>
      <c r="I279">
        <v>22.25</v>
      </c>
      <c r="J279">
        <v>44500</v>
      </c>
      <c r="K279" s="7" t="str">
        <f>IFERROR(IF(B279&lt;&gt;"", TEXT(VLOOKUP(B279, 'Expected Date'!A:B, 2, FALSE) + DATE(RIGHT(C279,2),MID(C279,4,2),LEFT(C279,2)), "dd/mm/yy"), ""), "")</f>
        <v>29/04/23</v>
      </c>
      <c r="L279" t="s">
        <v>68</v>
      </c>
      <c r="M279" t="s">
        <v>48</v>
      </c>
      <c r="N279" t="s">
        <v>69</v>
      </c>
      <c r="O279" t="s">
        <v>70</v>
      </c>
      <c r="P279">
        <v>23190106</v>
      </c>
      <c r="Q279" t="s">
        <v>170</v>
      </c>
      <c r="R279" t="s">
        <v>171</v>
      </c>
      <c r="S279">
        <v>1200</v>
      </c>
      <c r="T279">
        <v>22.25</v>
      </c>
      <c r="U279">
        <v>26700</v>
      </c>
      <c r="V279" t="str">
        <f t="shared" si="85"/>
        <v>Accepted</v>
      </c>
      <c r="W279">
        <f>IFERROR(VLOOKUP(N279, Payment_Terms!A:B, 2, FALSE), "Payment term not found!")</f>
        <v>30</v>
      </c>
      <c r="X279" t="str">
        <f>IFERROR(VLOOKUP(R279, Item_Category!A:B, 2, FALSE), "Uncategorized")</f>
        <v>Bags</v>
      </c>
      <c r="Y279" s="5">
        <f t="shared" si="72"/>
        <v>0.4</v>
      </c>
      <c r="Z279">
        <f t="shared" si="73"/>
        <v>1</v>
      </c>
      <c r="AA279">
        <f t="shared" si="74"/>
        <v>-5</v>
      </c>
      <c r="AB279">
        <f t="shared" si="75"/>
        <v>5</v>
      </c>
      <c r="AC279" s="10">
        <f t="shared" si="76"/>
        <v>5</v>
      </c>
      <c r="AD279" s="5">
        <f t="shared" si="77"/>
        <v>1</v>
      </c>
      <c r="AE279" s="5">
        <f t="shared" si="78"/>
        <v>1</v>
      </c>
      <c r="AF279" s="5">
        <f t="shared" si="79"/>
        <v>0</v>
      </c>
      <c r="AG279">
        <f>IF(B279&lt;&gt;"", COUNTIFS($B$2:B279, B279), "")</f>
        <v>24</v>
      </c>
      <c r="AH279">
        <f t="shared" si="80"/>
        <v>5</v>
      </c>
      <c r="AI279" t="str">
        <f>VLOOKUP(B279, Currency!A:B, 2, FALSE)</f>
        <v>INR</v>
      </c>
      <c r="AJ279">
        <f t="shared" si="81"/>
        <v>4</v>
      </c>
      <c r="AK279">
        <f t="shared" si="82"/>
        <v>4</v>
      </c>
      <c r="AL279" t="str">
        <f t="shared" si="83"/>
        <v>April</v>
      </c>
      <c r="AM279">
        <f t="shared" si="86"/>
        <v>2023</v>
      </c>
      <c r="AN279" t="str">
        <f t="shared" si="84"/>
        <v>30Epic Polymers</v>
      </c>
      <c r="AO279">
        <f>IF(COUNTIF($AN$2:AN279, AN279)=1, 1, 0)</f>
        <v>0</v>
      </c>
      <c r="AP279" t="str">
        <f t="shared" si="87"/>
        <v>&gt;3</v>
      </c>
      <c r="AQ279" t="str">
        <f t="shared" si="88"/>
        <v>&lt;=3</v>
      </c>
      <c r="AR279" t="str">
        <f t="shared" si="89"/>
        <v>&gt;3</v>
      </c>
    </row>
    <row r="280" spans="1:44" x14ac:dyDescent="0.3">
      <c r="A280" t="s">
        <v>111</v>
      </c>
      <c r="B280" t="s">
        <v>264</v>
      </c>
      <c r="C280" t="s">
        <v>338</v>
      </c>
      <c r="D280">
        <v>1671</v>
      </c>
      <c r="E280">
        <v>23120017</v>
      </c>
      <c r="F280" t="s">
        <v>266</v>
      </c>
      <c r="G280" t="s">
        <v>267</v>
      </c>
      <c r="H280">
        <v>8000</v>
      </c>
      <c r="I280">
        <v>131</v>
      </c>
      <c r="J280">
        <v>1048000</v>
      </c>
      <c r="K280" s="7" t="str">
        <f>IFERROR(IF(B280&lt;&gt;"", TEXT(VLOOKUP(B280, 'Expected Date'!A:B, 2, FALSE) + DATE(RIGHT(C280,2),MID(C280,4,2),LEFT(C280,2)), "dd/mm/yy"), ""), "")</f>
        <v>13/05/23</v>
      </c>
      <c r="L280" t="s">
        <v>38</v>
      </c>
      <c r="M280" t="s">
        <v>48</v>
      </c>
      <c r="N280" t="s">
        <v>268</v>
      </c>
      <c r="O280" t="s">
        <v>210</v>
      </c>
      <c r="P280">
        <v>23190275</v>
      </c>
      <c r="Q280" t="s">
        <v>266</v>
      </c>
      <c r="R280" t="s">
        <v>267</v>
      </c>
      <c r="S280">
        <v>8000</v>
      </c>
      <c r="T280">
        <v>131</v>
      </c>
      <c r="U280">
        <v>1048000</v>
      </c>
      <c r="V280" t="str">
        <f t="shared" si="85"/>
        <v>Accepted</v>
      </c>
      <c r="W280">
        <f>IFERROR(VLOOKUP(N280, Payment_Terms!A:B, 2, FALSE), "Payment term not found!")</f>
        <v>0</v>
      </c>
      <c r="X280" t="str">
        <f>IFERROR(VLOOKUP(R280, Item_Category!A:B, 2, FALSE), "Uncategorized")</f>
        <v>Magnesium stearate</v>
      </c>
      <c r="Y280" s="5">
        <f t="shared" si="72"/>
        <v>0</v>
      </c>
      <c r="Z280">
        <f t="shared" si="73"/>
        <v>5</v>
      </c>
      <c r="AA280">
        <f t="shared" si="74"/>
        <v>0</v>
      </c>
      <c r="AB280">
        <f t="shared" si="75"/>
        <v>5</v>
      </c>
      <c r="AC280" s="10">
        <f t="shared" si="76"/>
        <v>10</v>
      </c>
      <c r="AD280" s="5">
        <f t="shared" si="77"/>
        <v>1</v>
      </c>
      <c r="AE280" s="5">
        <f t="shared" si="78"/>
        <v>1</v>
      </c>
      <c r="AF280" s="5">
        <f t="shared" si="79"/>
        <v>0</v>
      </c>
      <c r="AG280">
        <f>IF(B280&lt;&gt;"", COUNTIFS($B$2:B280, B280), "")</f>
        <v>3</v>
      </c>
      <c r="AH280">
        <f t="shared" si="80"/>
        <v>5</v>
      </c>
      <c r="AI280" t="str">
        <f>VLOOKUP(B280, Currency!A:B, 2, FALSE)</f>
        <v>INR</v>
      </c>
      <c r="AJ280">
        <f t="shared" si="81"/>
        <v>5</v>
      </c>
      <c r="AK280">
        <f t="shared" si="82"/>
        <v>5</v>
      </c>
      <c r="AL280" t="str">
        <f t="shared" si="83"/>
        <v>May</v>
      </c>
      <c r="AM280">
        <f t="shared" si="86"/>
        <v>2023</v>
      </c>
      <c r="AN280" t="str">
        <f t="shared" si="84"/>
        <v>0Sunshine Organic Pvt Ltd</v>
      </c>
      <c r="AO280">
        <f>IF(COUNTIF($AN$2:AN280, AN280)=1, 1, 0)</f>
        <v>0</v>
      </c>
      <c r="AP280" t="str">
        <f t="shared" si="87"/>
        <v>&gt;3</v>
      </c>
      <c r="AQ280" t="str">
        <f t="shared" si="88"/>
        <v>&gt;3</v>
      </c>
      <c r="AR280" t="str">
        <f t="shared" si="89"/>
        <v>&gt;3</v>
      </c>
    </row>
    <row r="281" spans="1:44" x14ac:dyDescent="0.3">
      <c r="A281" t="s">
        <v>33</v>
      </c>
      <c r="B281" t="s">
        <v>150</v>
      </c>
      <c r="C281" t="s">
        <v>182</v>
      </c>
      <c r="D281">
        <v>2409</v>
      </c>
      <c r="E281">
        <v>23110192</v>
      </c>
      <c r="F281" t="s">
        <v>135</v>
      </c>
      <c r="G281" t="s">
        <v>136</v>
      </c>
      <c r="H281">
        <v>200</v>
      </c>
      <c r="I281">
        <v>6904.76</v>
      </c>
      <c r="J281">
        <v>1380952</v>
      </c>
      <c r="K281" s="7" t="str">
        <f>IFERROR(IF(B281&lt;&gt;"", TEXT(VLOOKUP(B281, 'Expected Date'!A:B, 2, FALSE) + DATE(RIGHT(C281,2),MID(C281,4,2),LEFT(C281,2)), "dd/mm/yy"), ""), "")</f>
        <v>23/06/23</v>
      </c>
      <c r="L281" t="s">
        <v>38</v>
      </c>
      <c r="M281" t="s">
        <v>48</v>
      </c>
      <c r="N281" t="s">
        <v>183</v>
      </c>
      <c r="O281" t="s">
        <v>63</v>
      </c>
      <c r="P281">
        <v>23190477</v>
      </c>
      <c r="Q281" t="s">
        <v>135</v>
      </c>
      <c r="R281" t="s">
        <v>136</v>
      </c>
      <c r="S281">
        <v>25</v>
      </c>
      <c r="T281">
        <v>6904.76</v>
      </c>
      <c r="U281">
        <v>172619</v>
      </c>
      <c r="V281" t="str">
        <f t="shared" si="85"/>
        <v>Accepted</v>
      </c>
      <c r="W281">
        <f>IFERROR(VLOOKUP(N281, Payment_Terms!A:B, 2, FALSE), "Payment term not found!")</f>
        <v>30</v>
      </c>
      <c r="X281" t="str">
        <f>IFERROR(VLOOKUP(R281, Item_Category!A:B, 2, FALSE), "Uncategorized")</f>
        <v>Coal materials</v>
      </c>
      <c r="Y281" s="5">
        <f t="shared" si="72"/>
        <v>0</v>
      </c>
      <c r="Z281">
        <f t="shared" si="73"/>
        <v>5</v>
      </c>
      <c r="AA281">
        <f t="shared" si="74"/>
        <v>1</v>
      </c>
      <c r="AB281">
        <f t="shared" si="75"/>
        <v>5</v>
      </c>
      <c r="AC281" s="10">
        <f t="shared" si="76"/>
        <v>11</v>
      </c>
      <c r="AD281" s="5">
        <f t="shared" si="77"/>
        <v>1</v>
      </c>
      <c r="AE281" s="5">
        <f t="shared" si="78"/>
        <v>1</v>
      </c>
      <c r="AF281" s="5">
        <f t="shared" si="79"/>
        <v>0</v>
      </c>
      <c r="AG281">
        <f>IF(B281&lt;&gt;"", COUNTIFS($B$2:B281, B281), "")</f>
        <v>18</v>
      </c>
      <c r="AH281">
        <f t="shared" si="80"/>
        <v>5</v>
      </c>
      <c r="AI281" t="str">
        <f>VLOOKUP(B281, Currency!A:B, 2, FALSE)</f>
        <v>INR</v>
      </c>
      <c r="AJ281">
        <f t="shared" si="81"/>
        <v>5</v>
      </c>
      <c r="AK281">
        <f t="shared" si="82"/>
        <v>6</v>
      </c>
      <c r="AL281" t="str">
        <f t="shared" si="83"/>
        <v>June</v>
      </c>
      <c r="AM281">
        <f t="shared" si="86"/>
        <v>2023</v>
      </c>
      <c r="AN281" t="str">
        <f t="shared" si="84"/>
        <v>30Venkatadurga Enterprises</v>
      </c>
      <c r="AO281">
        <f>IF(COUNTIF($AN$2:AN281, AN281)=1, 1, 0)</f>
        <v>0</v>
      </c>
      <c r="AP281" t="str">
        <f t="shared" si="87"/>
        <v>&gt;3</v>
      </c>
      <c r="AQ281" t="str">
        <f t="shared" si="88"/>
        <v>&gt;3</v>
      </c>
      <c r="AR281" t="str">
        <f t="shared" si="89"/>
        <v>&gt;3</v>
      </c>
    </row>
    <row r="282" spans="1:44" x14ac:dyDescent="0.3">
      <c r="A282" t="s">
        <v>33</v>
      </c>
      <c r="B282" t="s">
        <v>150</v>
      </c>
      <c r="C282" t="s">
        <v>182</v>
      </c>
      <c r="D282">
        <v>2409</v>
      </c>
      <c r="E282">
        <v>23110192</v>
      </c>
      <c r="F282" t="s">
        <v>135</v>
      </c>
      <c r="G282" t="s">
        <v>136</v>
      </c>
      <c r="H282">
        <v>200</v>
      </c>
      <c r="I282">
        <v>6904.76</v>
      </c>
      <c r="J282">
        <v>1380952</v>
      </c>
      <c r="K282" s="7" t="str">
        <f>IFERROR(IF(B282&lt;&gt;"", TEXT(VLOOKUP(B282, 'Expected Date'!A:B, 2, FALSE) + DATE(RIGHT(C282,2),MID(C282,4,2),LEFT(C282,2)), "dd/mm/yy"), ""), "")</f>
        <v>23/06/23</v>
      </c>
      <c r="L282" t="s">
        <v>38</v>
      </c>
      <c r="M282" t="s">
        <v>48</v>
      </c>
      <c r="N282" t="s">
        <v>183</v>
      </c>
      <c r="O282" t="s">
        <v>63</v>
      </c>
      <c r="P282">
        <v>23190478</v>
      </c>
      <c r="Q282" t="s">
        <v>135</v>
      </c>
      <c r="R282" t="s">
        <v>136</v>
      </c>
      <c r="S282">
        <v>25</v>
      </c>
      <c r="T282">
        <v>6904.76</v>
      </c>
      <c r="U282">
        <v>172619</v>
      </c>
      <c r="V282" t="str">
        <f t="shared" si="85"/>
        <v>Accepted</v>
      </c>
      <c r="W282">
        <f>IFERROR(VLOOKUP(N282, Payment_Terms!A:B, 2, FALSE), "Payment term not found!")</f>
        <v>30</v>
      </c>
      <c r="X282" t="str">
        <f>IFERROR(VLOOKUP(R282, Item_Category!A:B, 2, FALSE), "Uncategorized")</f>
        <v>Coal materials</v>
      </c>
      <c r="Y282" s="5">
        <f t="shared" si="72"/>
        <v>0</v>
      </c>
      <c r="Z282">
        <f t="shared" si="73"/>
        <v>5</v>
      </c>
      <c r="AA282">
        <f t="shared" si="74"/>
        <v>1</v>
      </c>
      <c r="AB282">
        <f t="shared" si="75"/>
        <v>5</v>
      </c>
      <c r="AC282" s="10">
        <f t="shared" si="76"/>
        <v>11</v>
      </c>
      <c r="AD282" s="5">
        <f t="shared" si="77"/>
        <v>1</v>
      </c>
      <c r="AE282" s="5">
        <f t="shared" si="78"/>
        <v>1</v>
      </c>
      <c r="AF282" s="5">
        <f t="shared" si="79"/>
        <v>0</v>
      </c>
      <c r="AG282">
        <f>IF(B282&lt;&gt;"", COUNTIFS($B$2:B282, B282), "")</f>
        <v>19</v>
      </c>
      <c r="AH282">
        <f t="shared" si="80"/>
        <v>5</v>
      </c>
      <c r="AI282" t="str">
        <f>VLOOKUP(B282, Currency!A:B, 2, FALSE)</f>
        <v>INR</v>
      </c>
      <c r="AJ282">
        <f t="shared" si="81"/>
        <v>5</v>
      </c>
      <c r="AK282">
        <f t="shared" si="82"/>
        <v>6</v>
      </c>
      <c r="AL282" t="str">
        <f t="shared" si="83"/>
        <v>June</v>
      </c>
      <c r="AM282">
        <f t="shared" si="86"/>
        <v>2023</v>
      </c>
      <c r="AN282" t="str">
        <f t="shared" si="84"/>
        <v>30Venkatadurga Enterprises</v>
      </c>
      <c r="AO282">
        <f>IF(COUNTIF($AN$2:AN282, AN282)=1, 1, 0)</f>
        <v>0</v>
      </c>
      <c r="AP282" t="str">
        <f t="shared" si="87"/>
        <v>&gt;3</v>
      </c>
      <c r="AQ282" t="str">
        <f t="shared" si="88"/>
        <v>&gt;3</v>
      </c>
      <c r="AR282" t="str">
        <f t="shared" si="89"/>
        <v>&gt;3</v>
      </c>
    </row>
    <row r="283" spans="1:44" x14ac:dyDescent="0.3">
      <c r="A283" t="str">
        <f>A219</f>
        <v>Woodpulp</v>
      </c>
      <c r="B283" t="s">
        <v>96</v>
      </c>
      <c r="C283" t="s">
        <v>71</v>
      </c>
      <c r="D283">
        <v>2696</v>
      </c>
      <c r="E283">
        <v>23120063</v>
      </c>
      <c r="F283" t="s">
        <v>98</v>
      </c>
      <c r="G283" t="s">
        <v>99</v>
      </c>
      <c r="H283">
        <v>78</v>
      </c>
      <c r="I283">
        <v>670</v>
      </c>
      <c r="J283">
        <v>4269642</v>
      </c>
      <c r="K283" s="7" t="str">
        <f>IFERROR(IF(B283&lt;&gt;"", TEXT(VLOOKUP(B283, 'Expected Date'!A:B, 2, FALSE) + DATE(RIGHT(C283,2),MID(C283,4,2),LEFT(C283,2)), "dd/mm/yy"), ""), "")</f>
        <v>21/08/23</v>
      </c>
      <c r="L283" t="s">
        <v>68</v>
      </c>
      <c r="M283" t="str">
        <f>M197</f>
        <v>MT</v>
      </c>
      <c r="N283" t="s">
        <v>102</v>
      </c>
      <c r="O283" t="s">
        <v>330</v>
      </c>
      <c r="P283">
        <v>23191163</v>
      </c>
      <c r="Q283" t="s">
        <v>98</v>
      </c>
      <c r="R283" t="s">
        <v>99</v>
      </c>
      <c r="S283">
        <v>77.061999999999998</v>
      </c>
      <c r="T283">
        <v>670</v>
      </c>
      <c r="U283">
        <v>4249275.74</v>
      </c>
      <c r="V283" t="str">
        <f t="shared" si="85"/>
        <v>Accepted</v>
      </c>
      <c r="W283">
        <f>IFERROR(VLOOKUP(N283, Payment_Terms!A:B, 2, FALSE), "Payment term not found!")</f>
        <v>60</v>
      </c>
      <c r="X283" t="str">
        <f>IFERROR(VLOOKUP(R283, Item_Category!A:B, 2, FALSE), "Uncategorized")</f>
        <v>Wood pulp</v>
      </c>
      <c r="Y283" s="5">
        <f t="shared" si="72"/>
        <v>1.2025641025641057E-2</v>
      </c>
      <c r="Z283">
        <f t="shared" si="73"/>
        <v>4</v>
      </c>
      <c r="AA283">
        <f t="shared" si="74"/>
        <v>33</v>
      </c>
      <c r="AB283">
        <f t="shared" si="75"/>
        <v>1</v>
      </c>
      <c r="AC283" s="10">
        <f t="shared" si="76"/>
        <v>93</v>
      </c>
      <c r="AD283" s="5">
        <f t="shared" si="77"/>
        <v>1</v>
      </c>
      <c r="AE283" s="5">
        <f t="shared" si="78"/>
        <v>1</v>
      </c>
      <c r="AF283" s="5">
        <f t="shared" si="79"/>
        <v>0</v>
      </c>
      <c r="AG283">
        <f>IF(B283&lt;&gt;"", COUNTIFS($B$2:B283, B283), "")</f>
        <v>6</v>
      </c>
      <c r="AH283">
        <f t="shared" si="80"/>
        <v>5</v>
      </c>
      <c r="AI283" t="str">
        <f>VLOOKUP(B283, Currency!A:B, 2, FALSE)</f>
        <v>USD</v>
      </c>
      <c r="AJ283">
        <f t="shared" si="81"/>
        <v>4</v>
      </c>
      <c r="AK283">
        <f t="shared" si="82"/>
        <v>6</v>
      </c>
      <c r="AL283" t="str">
        <f t="shared" si="83"/>
        <v>June</v>
      </c>
      <c r="AM283">
        <f t="shared" si="86"/>
        <v>2023</v>
      </c>
      <c r="AN283" t="str">
        <f t="shared" si="84"/>
        <v>60G P Cellulose GMBH</v>
      </c>
      <c r="AO283">
        <f>IF(COUNTIF($AN$2:AN283, AN283)=1, 1, 0)</f>
        <v>0</v>
      </c>
      <c r="AP283" t="str">
        <f t="shared" si="87"/>
        <v>&gt;3</v>
      </c>
      <c r="AQ283" t="str">
        <f t="shared" si="88"/>
        <v>&gt;3</v>
      </c>
      <c r="AR283" t="str">
        <f t="shared" si="89"/>
        <v>&lt;=3</v>
      </c>
    </row>
  </sheetData>
  <autoFilter ref="A1:AR283" xr:uid="{6B73B5E0-73EE-46C9-8A88-9867EA03DA10}"/>
  <sortState xmlns:xlrd2="http://schemas.microsoft.com/office/spreadsheetml/2017/richdata2" ref="AK2:AK283">
    <sortCondition ref="AK1:AK283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F361-64AF-43D4-A67A-11F9170780F0}">
  <sheetPr>
    <tabColor theme="7" tint="0.39997558519241921"/>
  </sheetPr>
  <dimension ref="A1:AR341"/>
  <sheetViews>
    <sheetView workbookViewId="0"/>
  </sheetViews>
  <sheetFormatPr defaultRowHeight="14.4" x14ac:dyDescent="0.3"/>
  <cols>
    <col min="1" max="1" width="18.44140625" customWidth="1"/>
    <col min="2" max="2" width="39.88671875" customWidth="1"/>
    <col min="3" max="3" width="22.6640625" customWidth="1"/>
    <col min="4" max="4" width="22.88671875" customWidth="1"/>
    <col min="5" max="5" width="16.109375" customWidth="1"/>
    <col min="6" max="6" width="17.6640625" customWidth="1"/>
    <col min="7" max="7" width="40" customWidth="1"/>
    <col min="8" max="8" width="21.33203125" customWidth="1"/>
    <col min="9" max="9" width="20.33203125" customWidth="1"/>
    <col min="10" max="10" width="22.33203125" customWidth="1"/>
    <col min="11" max="11" width="19.33203125" customWidth="1"/>
    <col min="12" max="12" width="14.33203125" customWidth="1"/>
    <col min="13" max="13" width="17.33203125" customWidth="1"/>
    <col min="14" max="14" width="60.88671875" customWidth="1"/>
    <col min="15" max="15" width="16.5546875" customWidth="1"/>
    <col min="16" max="16" width="20.44140625" customWidth="1"/>
    <col min="17" max="17" width="14.5546875" customWidth="1"/>
    <col min="18" max="18" width="31.6640625" customWidth="1"/>
    <col min="19" max="19" width="21.33203125" customWidth="1"/>
    <col min="20" max="20" width="13.6640625" customWidth="1"/>
    <col min="21" max="21" width="21.5546875" customWidth="1"/>
    <col min="22" max="22" width="17.5546875" customWidth="1"/>
    <col min="23" max="23" width="16.5546875" customWidth="1"/>
    <col min="24" max="24" width="25.109375" customWidth="1"/>
    <col min="25" max="25" width="22.5546875" style="5" customWidth="1"/>
    <col min="26" max="26" width="15.6640625" customWidth="1"/>
    <col min="27" max="27" width="22.33203125" customWidth="1"/>
    <col min="28" max="28" width="15.33203125" customWidth="1"/>
    <col min="29" max="29" width="18.5546875" customWidth="1"/>
    <col min="30" max="30" width="18.109375" style="5" customWidth="1"/>
    <col min="31" max="31" width="22.21875" style="5" customWidth="1"/>
    <col min="32" max="32" width="24.33203125" style="5" customWidth="1"/>
    <col min="33" max="33" width="18.109375" customWidth="1"/>
    <col min="34" max="34" width="16.33203125" customWidth="1"/>
    <col min="35" max="35" width="14.44140625" customWidth="1"/>
    <col min="36" max="38" width="17" customWidth="1"/>
    <col min="39" max="39" width="9.6640625" customWidth="1"/>
    <col min="40" max="40" width="38.5546875" customWidth="1"/>
    <col min="41" max="41" width="17.5546875" customWidth="1"/>
    <col min="42" max="42" width="18.77734375" customWidth="1"/>
    <col min="43" max="43" width="19.77734375" customWidth="1"/>
    <col min="44" max="44" width="16.664062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7</v>
      </c>
      <c r="T1" s="1" t="s">
        <v>8</v>
      </c>
      <c r="U1" s="1" t="s">
        <v>9</v>
      </c>
      <c r="V1" s="1" t="s">
        <v>17</v>
      </c>
      <c r="W1" s="1" t="s">
        <v>18</v>
      </c>
      <c r="X1" s="3" t="s">
        <v>19</v>
      </c>
      <c r="Y1" s="6" t="s">
        <v>20</v>
      </c>
      <c r="Z1" s="3" t="s">
        <v>21</v>
      </c>
      <c r="AA1" s="3" t="s">
        <v>339</v>
      </c>
      <c r="AB1" s="3" t="s">
        <v>23</v>
      </c>
      <c r="AC1" s="3" t="s">
        <v>24</v>
      </c>
      <c r="AD1" s="6" t="s">
        <v>25</v>
      </c>
      <c r="AE1" s="6" t="s">
        <v>868</v>
      </c>
      <c r="AF1" s="6" t="s">
        <v>865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869</v>
      </c>
      <c r="AL1" s="3" t="s">
        <v>866</v>
      </c>
      <c r="AM1" s="3" t="s">
        <v>30</v>
      </c>
      <c r="AN1" s="3" t="s">
        <v>31</v>
      </c>
      <c r="AO1" s="3" t="s">
        <v>32</v>
      </c>
      <c r="AP1" s="3" t="s">
        <v>873</v>
      </c>
      <c r="AQ1" s="3" t="s">
        <v>874</v>
      </c>
      <c r="AR1" s="3" t="s">
        <v>875</v>
      </c>
    </row>
    <row r="2" spans="1:44" x14ac:dyDescent="0.3">
      <c r="A2" t="s">
        <v>33</v>
      </c>
      <c r="B2" t="s">
        <v>34</v>
      </c>
      <c r="C2" t="s">
        <v>265</v>
      </c>
      <c r="D2">
        <v>1245</v>
      </c>
      <c r="E2">
        <v>23210019</v>
      </c>
      <c r="F2" t="s">
        <v>340</v>
      </c>
      <c r="G2" t="s">
        <v>341</v>
      </c>
      <c r="H2">
        <v>1055</v>
      </c>
      <c r="I2">
        <v>35</v>
      </c>
      <c r="J2">
        <v>36925</v>
      </c>
      <c r="K2" t="str">
        <f>IFERROR(IF(B2&lt;&gt;"", TEXT(VLOOKUP(B2, 'Expected Date'!A:B, 2, FALSE) + DATE(RIGHT(C2,2),MID(C2,4,2),LEFT(C2,2)), "dd/mm/yy"), ""), "")</f>
        <v>20/04/23</v>
      </c>
      <c r="L2" t="s">
        <v>38</v>
      </c>
      <c r="M2" t="s">
        <v>39</v>
      </c>
      <c r="N2" t="s">
        <v>342</v>
      </c>
      <c r="O2" t="s">
        <v>343</v>
      </c>
      <c r="P2">
        <v>23290080</v>
      </c>
      <c r="Q2" t="s">
        <v>340</v>
      </c>
      <c r="R2" t="s">
        <v>341</v>
      </c>
      <c r="S2">
        <v>1055</v>
      </c>
      <c r="T2">
        <v>35</v>
      </c>
      <c r="U2">
        <v>36925</v>
      </c>
      <c r="V2" t="s">
        <v>42</v>
      </c>
      <c r="W2">
        <f>IFERROR(VLOOKUP(N2, Payment_Terms!A:B, 2, FALSE), "Payment term not found!")</f>
        <v>30</v>
      </c>
      <c r="X2" t="str">
        <f>IFERROR(VLOOKUP(R2, Item_Category!A:B, 2, FALSE), "Uncategorized")</f>
        <v>Bags</v>
      </c>
      <c r="Y2" s="5">
        <f>IFERROR(IF(AND(E2&lt;&gt;"", G2&lt;&gt;""), MAX(0, (H2-SUMIFS(S:S, E:E, E2, G:G, G2))/H2), ""), (H2-S2)/H2)</f>
        <v>0</v>
      </c>
      <c r="Z2">
        <f>IF(Y2&lt;=0%,5,(IF(AND(Y2&gt;0%,Y2&lt;=2%),4,IF(AND(Y2&gt;2%,Y2&lt;=5%),3,IF(AND(Y2&gt;5%,Y2&lt;10%),2,1)))))</f>
        <v>5</v>
      </c>
      <c r="AA2">
        <f>DATE(RIGHT(O2,2),MID(O2,4,2),LEFT(O2,2)) - DATE(RIGHT(K2,2),MID(K2,4,2),LEFT(K2,2))</f>
        <v>-8</v>
      </c>
      <c r="AB2">
        <f>IF(AA2 &lt;= 2, 5, IF(AA2 &lt;= 4, 4, IF(AA2 &lt;= 7, 3, IF(AA2&lt;=10,2,1))))</f>
        <v>5</v>
      </c>
      <c r="AC2" s="10">
        <f>ABS(DATE(RIGHT(O2,2),MID(O2,4,2),LEFT(O2,2)) - DATE(RIGHT(C2,2),MID(C2,4,2),LEFT(C2,2)))</f>
        <v>2</v>
      </c>
      <c r="AD2" s="5">
        <f t="shared" ref="AD2:AD65" si="0">IF(V2="Accepted",1,0)</f>
        <v>1</v>
      </c>
      <c r="AE2" s="5">
        <f t="shared" ref="AE2:AE65" si="1">ROUNDUP((SUMIFS(S:S, B:B, B2, V:V, "Accepted")/SUMIF(B:B,B2,S:S)),2)</f>
        <v>1</v>
      </c>
      <c r="AF2" s="5">
        <f>ROUNDUP(ABS(100%-AE2),2)</f>
        <v>0</v>
      </c>
      <c r="AG2">
        <f>IF(B2&lt;&gt;"", COUNTIFS($B$2:B2, B2), "")</f>
        <v>1</v>
      </c>
      <c r="AH2">
        <f>IF(AF2=0%,5,IF(AND(AF2&gt;0%,AF2&lt;=2%),4,IF(AND(AF2&gt;2%,AF2&lt;=5%),3,IF(AND(AF2&gt;5%,AF2&lt;10%),2,1))))</f>
        <v>5</v>
      </c>
      <c r="AI2" t="str">
        <f>VLOOKUP(B2, Currency!A:B, 2, FALSE)</f>
        <v>INR</v>
      </c>
      <c r="AJ2">
        <f t="shared" ref="AJ2:AJ65" si="2">_xlfn.CEILING.MATH(((0.4*AH2)+(0.3*Z2)+(0.3*AB2)),1)</f>
        <v>5</v>
      </c>
      <c r="AK2">
        <f>MONTH(DATE(RIGHT(C2,2),MID(C2,4,2),LEFT(C2,2)))</f>
        <v>4</v>
      </c>
      <c r="AL2" t="str">
        <f>TEXT(DATE(RIGHT(C2,2),MID(C2,4,2),LEFT(C2,2)),"mmmm")</f>
        <v>April</v>
      </c>
      <c r="AM2">
        <f>YEAR(DATE(VALUE(MID(C2,7,2))+2000, MID(C2,4,2), MID(C2,1,2)))</f>
        <v>2023</v>
      </c>
      <c r="AN2" t="str">
        <f t="shared" ref="AN2:AN65" si="3">W2&amp;B2</f>
        <v>30Ami Enterprises</v>
      </c>
      <c r="AO2">
        <f>IF(COUNTIF($AN$2:AN2, AN2)=1, 1, 0)</f>
        <v>1</v>
      </c>
      <c r="AP2" t="str">
        <f>IF(AH2&lt;=3,"&lt;=3","&gt;3")</f>
        <v>&gt;3</v>
      </c>
      <c r="AQ2" t="str">
        <f>IF(Z2&lt;=3,"&lt;=3","&gt;3")</f>
        <v>&gt;3</v>
      </c>
      <c r="AR2" t="str">
        <f>IF(AB2&lt;=3,"&lt;=3","&gt;3")</f>
        <v>&gt;3</v>
      </c>
    </row>
    <row r="3" spans="1:44" x14ac:dyDescent="0.3">
      <c r="A3" t="s">
        <v>33</v>
      </c>
      <c r="B3" t="str">
        <f>B2</f>
        <v>Ami Enterprises</v>
      </c>
      <c r="C3" t="s">
        <v>344</v>
      </c>
      <c r="D3">
        <v>1458</v>
      </c>
      <c r="E3">
        <v>23210064</v>
      </c>
      <c r="F3" t="s">
        <v>345</v>
      </c>
      <c r="G3" t="s">
        <v>346</v>
      </c>
      <c r="H3">
        <v>1050</v>
      </c>
      <c r="I3">
        <v>28</v>
      </c>
      <c r="J3">
        <v>29400</v>
      </c>
      <c r="K3" t="str">
        <f>IFERROR(IF(B3&lt;&gt;"", TEXT(VLOOKUP(B3, 'Expected Date'!A:B, 2, FALSE) + DATE(RIGHT(C3,2),MID(C3,4,2),LEFT(C3,2)), "dd/mm/yy"), ""), "")</f>
        <v>14/04/23</v>
      </c>
      <c r="L3" t="s">
        <v>68</v>
      </c>
      <c r="M3" t="s">
        <v>39</v>
      </c>
      <c r="N3" t="s">
        <v>318</v>
      </c>
      <c r="O3" t="s">
        <v>172</v>
      </c>
      <c r="P3">
        <v>23290081</v>
      </c>
      <c r="Q3" t="s">
        <v>345</v>
      </c>
      <c r="R3" t="s">
        <v>346</v>
      </c>
      <c r="S3">
        <v>1036</v>
      </c>
      <c r="T3">
        <v>28</v>
      </c>
      <c r="U3">
        <v>29008</v>
      </c>
      <c r="V3" t="str">
        <f>V2</f>
        <v>Accepted</v>
      </c>
      <c r="W3">
        <f>IFERROR(VLOOKUP(N3, Payment_Terms!A:B, 2, FALSE), "Payment term not found!")</f>
        <v>30</v>
      </c>
      <c r="X3" t="str">
        <f>IFERROR(VLOOKUP(R3, Item_Category!A:B, 2, FALSE), "Uncategorized")</f>
        <v>Bags</v>
      </c>
      <c r="Y3" s="5">
        <f t="shared" ref="Y3:Y66" si="4">IFERROR(IF(AND(E3&lt;&gt;"", G3&lt;&gt;""), MAX(0, (H3-SUMIFS(S:S, E:E, E3, G:G, G3))/H3), ""), (H3-S3)/H3)</f>
        <v>1.3333333333333334E-2</v>
      </c>
      <c r="Z3">
        <f t="shared" ref="Z3:Z66" si="5">IF(Y3&lt;=0%,5,(IF(AND(Y3&gt;0%,Y3&lt;=2%),4,IF(AND(Y3&gt;2%,Y3&lt;=5%),3,IF(AND(Y3&gt;5%,Y3&lt;10%),2,1)))))</f>
        <v>4</v>
      </c>
      <c r="AA3">
        <f t="shared" ref="AA3:AA66" si="6">DATE(RIGHT(O3,2),MID(O3,4,2),LEFT(O3,2)) - DATE(RIGHT(K3,2),MID(K3,4,2),LEFT(K3,2))</f>
        <v>-8</v>
      </c>
      <c r="AB3">
        <f t="shared" ref="AB3:AB66" si="7">IF(AA3 &lt;= 2, 5, IF(AA3 &lt;= 4, 4, IF(AA3 &lt;= 7, 3, IF(AA3&lt;=10,2,1))))</f>
        <v>5</v>
      </c>
      <c r="AC3" s="10">
        <f t="shared" ref="AC3:AC66" si="8">ABS(DATE(RIGHT(O3,2),MID(O3,4,2),LEFT(O3,2)) - DATE(RIGHT(C3,2),MID(C3,4,2),LEFT(C3,2)))</f>
        <v>2</v>
      </c>
      <c r="AD3" s="5">
        <f t="shared" si="0"/>
        <v>1</v>
      </c>
      <c r="AE3" s="5">
        <f t="shared" si="1"/>
        <v>1</v>
      </c>
      <c r="AF3" s="5">
        <f t="shared" ref="AF3:AF66" si="9">ROUNDUP(ABS(100%-AE3),2)</f>
        <v>0</v>
      </c>
      <c r="AG3">
        <f>IF(B3&lt;&gt;"", COUNTIFS($B$2:B3, B3), "")</f>
        <v>2</v>
      </c>
      <c r="AH3">
        <f t="shared" ref="AH3:AH66" si="10">IF(AF3=0%,5,IF(AND(AF3&gt;0%,AF3&lt;=2%),4,IF(AND(AF3&gt;2%,AF3&lt;=5%),3,IF(AND(AF3&gt;5%,AF3&lt;10%),2,1))))</f>
        <v>5</v>
      </c>
      <c r="AI3" t="str">
        <f>VLOOKUP(B3, Currency!A:B, 2, FALSE)</f>
        <v>INR</v>
      </c>
      <c r="AJ3">
        <f t="shared" si="2"/>
        <v>5</v>
      </c>
      <c r="AK3">
        <f t="shared" ref="AK3:AK66" si="11">MONTH(DATE(RIGHT(C3,2),MID(C3,4,2),LEFT(C3,2)))</f>
        <v>4</v>
      </c>
      <c r="AL3" t="str">
        <f t="shared" ref="AL3:AL66" si="12">TEXT(DATE(RIGHT(C3,2),MID(C3,4,2),LEFT(C3,2)),"mmmm")</f>
        <v>April</v>
      </c>
      <c r="AM3">
        <f t="shared" ref="AM3:AM66" si="13">YEAR(DATE(VALUE(MID(C3,7,2))+2000, MID(C3,4,2), MID(C3,1,2)))</f>
        <v>2023</v>
      </c>
      <c r="AN3" t="str">
        <f t="shared" si="3"/>
        <v>30Ami Enterprises</v>
      </c>
      <c r="AO3">
        <f>IF(COUNTIF($AN$2:AN3, AN3)=1, 1, 0)</f>
        <v>0</v>
      </c>
      <c r="AP3" t="str">
        <f t="shared" ref="AP3:AP66" si="14">IF(AH3&lt;=3,"&lt;=3","&gt;3")</f>
        <v>&gt;3</v>
      </c>
      <c r="AQ3" t="str">
        <f t="shared" ref="AQ3:AQ66" si="15">IF(Z3&lt;=3,"&lt;=3","&gt;3")</f>
        <v>&gt;3</v>
      </c>
      <c r="AR3" t="str">
        <f t="shared" ref="AR3:AR66" si="16">IF(AB3&lt;=3,"&lt;=3","&gt;3")</f>
        <v>&gt;3</v>
      </c>
    </row>
    <row r="4" spans="1:44" x14ac:dyDescent="0.3">
      <c r="A4" t="s">
        <v>33</v>
      </c>
      <c r="B4" t="s">
        <v>347</v>
      </c>
      <c r="C4" t="s">
        <v>348</v>
      </c>
      <c r="D4">
        <v>2179</v>
      </c>
      <c r="E4">
        <v>23210207</v>
      </c>
      <c r="F4" t="s">
        <v>349</v>
      </c>
      <c r="G4" t="s">
        <v>350</v>
      </c>
      <c r="H4">
        <v>24</v>
      </c>
      <c r="I4">
        <v>44770</v>
      </c>
      <c r="J4">
        <v>1074480</v>
      </c>
      <c r="K4" t="str">
        <f>IFERROR(IF(B4&lt;&gt;"", TEXT(VLOOKUP(B4, 'Expected Date'!A:B, 2, FALSE) + DATE(RIGHT(C4,2),MID(C4,4,2),LEFT(C4,2)), "dd/mm/yy"), ""), "")</f>
        <v>28/05/23</v>
      </c>
      <c r="L4" t="s">
        <v>68</v>
      </c>
      <c r="M4" t="s">
        <v>285</v>
      </c>
      <c r="N4" t="s">
        <v>351</v>
      </c>
      <c r="O4" t="s">
        <v>352</v>
      </c>
      <c r="P4">
        <v>23290435</v>
      </c>
      <c r="Q4" t="s">
        <v>349</v>
      </c>
      <c r="R4" t="s">
        <v>350</v>
      </c>
      <c r="S4">
        <v>23.64</v>
      </c>
      <c r="T4">
        <v>44770</v>
      </c>
      <c r="U4">
        <v>1058362.8</v>
      </c>
      <c r="V4" t="str">
        <f t="shared" ref="V4:V67" si="17">V3</f>
        <v>Accepted</v>
      </c>
      <c r="W4">
        <f>IFERROR(VLOOKUP(N4, Payment_Terms!A:B, 2, FALSE), "Payment term not found!")</f>
        <v>0</v>
      </c>
      <c r="X4" t="str">
        <f>IFERROR(VLOOKUP(R4, Item_Category!A:B, 2, FALSE), "Uncategorized")</f>
        <v>Oil</v>
      </c>
      <c r="Y4" s="5">
        <f t="shared" si="4"/>
        <v>1.4999999999999977E-2</v>
      </c>
      <c r="Z4">
        <f t="shared" si="5"/>
        <v>4</v>
      </c>
      <c r="AA4">
        <f t="shared" si="6"/>
        <v>5</v>
      </c>
      <c r="AB4">
        <f t="shared" si="7"/>
        <v>3</v>
      </c>
      <c r="AC4" s="10">
        <f t="shared" si="8"/>
        <v>6</v>
      </c>
      <c r="AD4" s="5">
        <f t="shared" si="0"/>
        <v>1</v>
      </c>
      <c r="AE4" s="5">
        <f t="shared" si="1"/>
        <v>1</v>
      </c>
      <c r="AF4" s="5">
        <f t="shared" si="9"/>
        <v>0</v>
      </c>
      <c r="AG4">
        <f>IF(B4&lt;&gt;"", COUNTIFS($B$2:B4, B4), "")</f>
        <v>1</v>
      </c>
      <c r="AH4">
        <f t="shared" si="10"/>
        <v>5</v>
      </c>
      <c r="AI4" t="str">
        <f>VLOOKUP(B4, Currency!A:B, 2, FALSE)</f>
        <v>INR</v>
      </c>
      <c r="AJ4">
        <f t="shared" si="2"/>
        <v>5</v>
      </c>
      <c r="AK4">
        <f t="shared" si="11"/>
        <v>5</v>
      </c>
      <c r="AL4" t="str">
        <f t="shared" si="12"/>
        <v>May</v>
      </c>
      <c r="AM4">
        <f t="shared" si="13"/>
        <v>2023</v>
      </c>
      <c r="AN4" t="str">
        <f t="shared" si="3"/>
        <v>0Bharat Petroleum Corporation Ltd</v>
      </c>
      <c r="AO4">
        <f>IF(COUNTIF($AN$2:AN4, AN4)=1, 1, 0)</f>
        <v>1</v>
      </c>
      <c r="AP4" t="str">
        <f t="shared" si="14"/>
        <v>&gt;3</v>
      </c>
      <c r="AQ4" t="str">
        <f t="shared" si="15"/>
        <v>&gt;3</v>
      </c>
      <c r="AR4" t="str">
        <f t="shared" si="16"/>
        <v>&lt;=3</v>
      </c>
    </row>
    <row r="5" spans="1:44" x14ac:dyDescent="0.3">
      <c r="A5" t="s">
        <v>33</v>
      </c>
      <c r="B5" t="s">
        <v>353</v>
      </c>
      <c r="C5" t="s">
        <v>354</v>
      </c>
      <c r="D5">
        <v>2799</v>
      </c>
      <c r="E5">
        <v>23210355</v>
      </c>
      <c r="F5" t="s">
        <v>355</v>
      </c>
      <c r="G5" t="s">
        <v>356</v>
      </c>
      <c r="H5">
        <v>40000</v>
      </c>
      <c r="I5">
        <v>1.1000000000000001</v>
      </c>
      <c r="J5">
        <v>44000</v>
      </c>
      <c r="K5" t="str">
        <f>IFERROR(IF(B5&lt;&gt;"", TEXT(VLOOKUP(B5, 'Expected Date'!A:B, 2, FALSE) + DATE(RIGHT(C5,2),MID(C5,4,2),LEFT(C5,2)), "dd/mm/yy"), ""), "")</f>
        <v>05/07/23</v>
      </c>
      <c r="L5" t="s">
        <v>38</v>
      </c>
      <c r="M5" t="s">
        <v>39</v>
      </c>
      <c r="N5" t="s">
        <v>342</v>
      </c>
      <c r="O5" t="s">
        <v>89</v>
      </c>
      <c r="P5">
        <v>23290669</v>
      </c>
      <c r="Q5" t="s">
        <v>355</v>
      </c>
      <c r="R5" t="s">
        <v>356</v>
      </c>
      <c r="S5">
        <v>34000</v>
      </c>
      <c r="T5">
        <v>1.1000000000000001</v>
      </c>
      <c r="U5">
        <v>37400</v>
      </c>
      <c r="V5" t="str">
        <f t="shared" si="17"/>
        <v>Accepted</v>
      </c>
      <c r="W5">
        <f>IFERROR(VLOOKUP(N5, Payment_Terms!A:B, 2, FALSE), "Payment term not found!")</f>
        <v>30</v>
      </c>
      <c r="X5" t="str">
        <f>IFERROR(VLOOKUP(R5, Item_Category!A:B, 2, FALSE), "Uncategorized")</f>
        <v>Sticker</v>
      </c>
      <c r="Y5" s="5">
        <f t="shared" si="4"/>
        <v>0</v>
      </c>
      <c r="Z5">
        <f t="shared" si="5"/>
        <v>5</v>
      </c>
      <c r="AA5">
        <f t="shared" si="6"/>
        <v>0</v>
      </c>
      <c r="AB5">
        <f t="shared" si="7"/>
        <v>5</v>
      </c>
      <c r="AC5" s="10">
        <f t="shared" si="8"/>
        <v>2</v>
      </c>
      <c r="AD5" s="5">
        <f t="shared" si="0"/>
        <v>1</v>
      </c>
      <c r="AE5" s="5">
        <f t="shared" si="1"/>
        <v>1</v>
      </c>
      <c r="AF5" s="5">
        <f t="shared" si="9"/>
        <v>0</v>
      </c>
      <c r="AG5">
        <f>IF(B5&lt;&gt;"", COUNTIFS($B$2:B5, B5), "")</f>
        <v>1</v>
      </c>
      <c r="AH5">
        <f t="shared" si="10"/>
        <v>5</v>
      </c>
      <c r="AI5" t="str">
        <f>VLOOKUP(B5, Currency!A:B, 2, FALSE)</f>
        <v>INR</v>
      </c>
      <c r="AJ5">
        <f t="shared" si="2"/>
        <v>5</v>
      </c>
      <c r="AK5">
        <f t="shared" si="11"/>
        <v>7</v>
      </c>
      <c r="AL5" t="str">
        <f t="shared" si="12"/>
        <v>July</v>
      </c>
      <c r="AM5">
        <f t="shared" si="13"/>
        <v>2023</v>
      </c>
      <c r="AN5" t="str">
        <f t="shared" si="3"/>
        <v>30Akar Multi Form</v>
      </c>
      <c r="AO5">
        <f>IF(COUNTIF($AN$2:AN5, AN5)=1, 1, 0)</f>
        <v>1</v>
      </c>
      <c r="AP5" t="str">
        <f t="shared" si="14"/>
        <v>&gt;3</v>
      </c>
      <c r="AQ5" t="str">
        <f t="shared" si="15"/>
        <v>&gt;3</v>
      </c>
      <c r="AR5" t="str">
        <f t="shared" si="16"/>
        <v>&gt;3</v>
      </c>
    </row>
    <row r="6" spans="1:44" x14ac:dyDescent="0.3">
      <c r="A6" t="s">
        <v>33</v>
      </c>
      <c r="B6" t="s">
        <v>353</v>
      </c>
      <c r="C6" t="s">
        <v>269</v>
      </c>
      <c r="D6">
        <v>2139</v>
      </c>
      <c r="E6">
        <v>23210186</v>
      </c>
      <c r="F6" t="s">
        <v>355</v>
      </c>
      <c r="G6" t="s">
        <v>356</v>
      </c>
      <c r="H6">
        <v>40000</v>
      </c>
      <c r="I6">
        <v>1.1000000000000001</v>
      </c>
      <c r="J6">
        <v>44000</v>
      </c>
      <c r="K6" t="str">
        <f>IFERROR(IF(B6&lt;&gt;"", TEXT(VLOOKUP(B6, 'Expected Date'!A:B, 2, FALSE) + DATE(RIGHT(C6,2),MID(C6,4,2),LEFT(C6,2)), "dd/mm/yy"), ""), "")</f>
        <v>17/05/23</v>
      </c>
      <c r="L6" t="s">
        <v>68</v>
      </c>
      <c r="M6" t="s">
        <v>39</v>
      </c>
      <c r="N6" t="s">
        <v>342</v>
      </c>
      <c r="O6" t="s">
        <v>357</v>
      </c>
      <c r="P6">
        <v>23290415</v>
      </c>
      <c r="Q6" t="s">
        <v>355</v>
      </c>
      <c r="R6" t="s">
        <v>356</v>
      </c>
      <c r="S6">
        <v>20000</v>
      </c>
      <c r="T6">
        <v>1.1000000000000001</v>
      </c>
      <c r="U6">
        <v>22000</v>
      </c>
      <c r="V6" t="str">
        <f t="shared" si="17"/>
        <v>Accepted</v>
      </c>
      <c r="W6">
        <f>IFERROR(VLOOKUP(N6, Payment_Terms!A:B, 2, FALSE), "Payment term not found!")</f>
        <v>30</v>
      </c>
      <c r="X6" t="str">
        <f>IFERROR(VLOOKUP(R6, Item_Category!A:B, 2, FALSE), "Uncategorized")</f>
        <v>Sticker</v>
      </c>
      <c r="Y6" s="5">
        <f t="shared" si="4"/>
        <v>0.27500000000000002</v>
      </c>
      <c r="Z6">
        <f t="shared" si="5"/>
        <v>1</v>
      </c>
      <c r="AA6">
        <f t="shared" si="6"/>
        <v>13</v>
      </c>
      <c r="AB6">
        <f t="shared" si="7"/>
        <v>1</v>
      </c>
      <c r="AC6" s="10">
        <f t="shared" si="8"/>
        <v>15</v>
      </c>
      <c r="AD6" s="5">
        <f t="shared" si="0"/>
        <v>1</v>
      </c>
      <c r="AE6" s="5">
        <f t="shared" si="1"/>
        <v>1</v>
      </c>
      <c r="AF6" s="5">
        <f t="shared" si="9"/>
        <v>0</v>
      </c>
      <c r="AG6">
        <f>IF(B6&lt;&gt;"", COUNTIFS($B$2:B6, B6), "")</f>
        <v>2</v>
      </c>
      <c r="AH6">
        <f t="shared" si="10"/>
        <v>5</v>
      </c>
      <c r="AI6" t="str">
        <f>VLOOKUP(B6, Currency!A:B, 2, FALSE)</f>
        <v>INR</v>
      </c>
      <c r="AJ6">
        <f t="shared" si="2"/>
        <v>3</v>
      </c>
      <c r="AK6">
        <f t="shared" si="11"/>
        <v>5</v>
      </c>
      <c r="AL6" t="str">
        <f t="shared" si="12"/>
        <v>May</v>
      </c>
      <c r="AM6">
        <f t="shared" si="13"/>
        <v>2023</v>
      </c>
      <c r="AN6" t="str">
        <f t="shared" si="3"/>
        <v>30Akar Multi Form</v>
      </c>
      <c r="AO6">
        <f>IF(COUNTIF($AN$2:AN6, AN6)=1, 1, 0)</f>
        <v>0</v>
      </c>
      <c r="AP6" t="str">
        <f t="shared" si="14"/>
        <v>&gt;3</v>
      </c>
      <c r="AQ6" t="str">
        <f t="shared" si="15"/>
        <v>&lt;=3</v>
      </c>
      <c r="AR6" t="str">
        <f t="shared" si="16"/>
        <v>&lt;=3</v>
      </c>
    </row>
    <row r="7" spans="1:44" x14ac:dyDescent="0.3">
      <c r="A7" t="s">
        <v>33</v>
      </c>
      <c r="B7" t="s">
        <v>358</v>
      </c>
      <c r="C7" t="s">
        <v>252</v>
      </c>
      <c r="D7">
        <v>2845</v>
      </c>
      <c r="E7">
        <v>23220047</v>
      </c>
      <c r="F7" t="s">
        <v>359</v>
      </c>
      <c r="G7" t="s">
        <v>360</v>
      </c>
      <c r="H7">
        <v>100</v>
      </c>
      <c r="I7">
        <v>75800</v>
      </c>
      <c r="J7">
        <v>7580000</v>
      </c>
      <c r="K7" t="str">
        <f>IFERROR(IF(B7&lt;&gt;"", TEXT(VLOOKUP(B7, 'Expected Date'!A:B, 2, FALSE) + DATE(RIGHT(C7,2),MID(C7,4,2),LEFT(C7,2)), "dd/mm/yy"), ""), "")</f>
        <v>02/07/23</v>
      </c>
      <c r="L7" t="s">
        <v>68</v>
      </c>
      <c r="M7" t="s">
        <v>48</v>
      </c>
      <c r="N7" t="s">
        <v>361</v>
      </c>
      <c r="O7" t="s">
        <v>117</v>
      </c>
      <c r="P7">
        <v>23290682</v>
      </c>
      <c r="Q7" t="s">
        <v>359</v>
      </c>
      <c r="R7" t="s">
        <v>360</v>
      </c>
      <c r="S7">
        <v>98.537999999999997</v>
      </c>
      <c r="T7">
        <v>75800</v>
      </c>
      <c r="U7">
        <v>7469180.4000000004</v>
      </c>
      <c r="V7" t="str">
        <f t="shared" si="17"/>
        <v>Accepted</v>
      </c>
      <c r="W7">
        <f>IFERROR(VLOOKUP(N7, Payment_Terms!A:B, 2, FALSE), "Payment term not found!")</f>
        <v>0</v>
      </c>
      <c r="X7" t="str">
        <f>IFERROR(VLOOKUP(R7, Item_Category!A:B, 2, FALSE), "Uncategorized")</f>
        <v>Wood pulp</v>
      </c>
      <c r="Y7" s="5">
        <f t="shared" si="4"/>
        <v>1.4620000000000032E-2</v>
      </c>
      <c r="Z7">
        <f t="shared" si="5"/>
        <v>4</v>
      </c>
      <c r="AA7">
        <f t="shared" si="6"/>
        <v>5</v>
      </c>
      <c r="AB7">
        <f t="shared" si="7"/>
        <v>3</v>
      </c>
      <c r="AC7" s="10">
        <f t="shared" si="8"/>
        <v>7</v>
      </c>
      <c r="AD7" s="5">
        <f t="shared" si="0"/>
        <v>1</v>
      </c>
      <c r="AE7" s="5">
        <f t="shared" si="1"/>
        <v>1</v>
      </c>
      <c r="AF7" s="5">
        <f t="shared" si="9"/>
        <v>0</v>
      </c>
      <c r="AG7">
        <f>IF(B7&lt;&gt;"", COUNTIFS($B$2:B7, B7), "")</f>
        <v>1</v>
      </c>
      <c r="AH7">
        <f t="shared" si="10"/>
        <v>5</v>
      </c>
      <c r="AI7" t="str">
        <f>VLOOKUP(B7, Currency!A:B, 2, FALSE)</f>
        <v>INR</v>
      </c>
      <c r="AJ7">
        <f t="shared" si="2"/>
        <v>5</v>
      </c>
      <c r="AK7">
        <f t="shared" si="11"/>
        <v>6</v>
      </c>
      <c r="AL7" t="str">
        <f t="shared" si="12"/>
        <v>June</v>
      </c>
      <c r="AM7">
        <f t="shared" si="13"/>
        <v>2023</v>
      </c>
      <c r="AN7" t="str">
        <f t="shared" si="3"/>
        <v>0Sigachi Industries Limited</v>
      </c>
      <c r="AO7">
        <f>IF(COUNTIF($AN$2:AN7, AN7)=1, 1, 0)</f>
        <v>1</v>
      </c>
      <c r="AP7" t="str">
        <f t="shared" si="14"/>
        <v>&gt;3</v>
      </c>
      <c r="AQ7" t="str">
        <f t="shared" si="15"/>
        <v>&gt;3</v>
      </c>
      <c r="AR7" t="str">
        <f t="shared" si="16"/>
        <v>&lt;=3</v>
      </c>
    </row>
    <row r="8" spans="1:44" x14ac:dyDescent="0.3">
      <c r="A8" t="s">
        <v>33</v>
      </c>
      <c r="B8" t="s">
        <v>122</v>
      </c>
      <c r="C8" t="s">
        <v>324</v>
      </c>
      <c r="D8">
        <v>2545</v>
      </c>
      <c r="E8">
        <v>23210316</v>
      </c>
      <c r="F8" t="s">
        <v>362</v>
      </c>
      <c r="G8" t="s">
        <v>363</v>
      </c>
      <c r="H8">
        <v>400</v>
      </c>
      <c r="I8">
        <v>1900</v>
      </c>
      <c r="J8">
        <v>760000</v>
      </c>
      <c r="K8" t="str">
        <f>IFERROR(IF(B8&lt;&gt;"", TEXT(VLOOKUP(B8, 'Expected Date'!A:B, 2, FALSE) + DATE(RIGHT(C8,2),MID(C8,4,2),LEFT(C8,2)), "dd/mm/yy"), ""), "")</f>
        <v>05/07/23</v>
      </c>
      <c r="L8" t="s">
        <v>38</v>
      </c>
      <c r="M8" t="s">
        <v>39</v>
      </c>
      <c r="N8" t="s">
        <v>364</v>
      </c>
      <c r="O8" t="s">
        <v>117</v>
      </c>
      <c r="P8">
        <v>23290679</v>
      </c>
      <c r="Q8" t="s">
        <v>362</v>
      </c>
      <c r="R8" t="s">
        <v>363</v>
      </c>
      <c r="S8">
        <v>180</v>
      </c>
      <c r="T8">
        <v>1900</v>
      </c>
      <c r="U8">
        <v>342000</v>
      </c>
      <c r="V8" t="str">
        <f t="shared" si="17"/>
        <v>Accepted</v>
      </c>
      <c r="W8">
        <f>IFERROR(VLOOKUP(N8, Payment_Terms!A:B, 2, FALSE), "Payment term not found!")</f>
        <v>30</v>
      </c>
      <c r="X8" t="str">
        <f>IFERROR(VLOOKUP(R8, Item_Category!A:B, 2, FALSE), "Uncategorized")</f>
        <v>Pallets</v>
      </c>
      <c r="Y8" s="5">
        <f t="shared" si="4"/>
        <v>0</v>
      </c>
      <c r="Z8">
        <f t="shared" si="5"/>
        <v>5</v>
      </c>
      <c r="AA8">
        <f t="shared" si="6"/>
        <v>2</v>
      </c>
      <c r="AB8">
        <f t="shared" si="7"/>
        <v>5</v>
      </c>
      <c r="AC8" s="10">
        <f t="shared" si="8"/>
        <v>17</v>
      </c>
      <c r="AD8" s="5">
        <f t="shared" si="0"/>
        <v>1</v>
      </c>
      <c r="AE8" s="5">
        <f t="shared" si="1"/>
        <v>1</v>
      </c>
      <c r="AF8" s="5">
        <f t="shared" si="9"/>
        <v>0</v>
      </c>
      <c r="AG8">
        <f>IF(B8&lt;&gt;"", COUNTIFS($B$2:B8, B8), "")</f>
        <v>1</v>
      </c>
      <c r="AH8">
        <f t="shared" si="10"/>
        <v>5</v>
      </c>
      <c r="AI8" t="str">
        <f>VLOOKUP(B8, Currency!A:B, 2, FALSE)</f>
        <v>INR</v>
      </c>
      <c r="AJ8">
        <f t="shared" si="2"/>
        <v>5</v>
      </c>
      <c r="AK8">
        <f t="shared" si="11"/>
        <v>6</v>
      </c>
      <c r="AL8" t="str">
        <f t="shared" si="12"/>
        <v>June</v>
      </c>
      <c r="AM8">
        <f t="shared" si="13"/>
        <v>2023</v>
      </c>
      <c r="AN8" t="str">
        <f t="shared" si="3"/>
        <v>30Plastocon Industries Pvt Ltd</v>
      </c>
      <c r="AO8">
        <f>IF(COUNTIF($AN$2:AN8, AN8)=1, 1, 0)</f>
        <v>1</v>
      </c>
      <c r="AP8" t="str">
        <f t="shared" si="14"/>
        <v>&gt;3</v>
      </c>
      <c r="AQ8" t="str">
        <f t="shared" si="15"/>
        <v>&gt;3</v>
      </c>
      <c r="AR8" t="str">
        <f t="shared" si="16"/>
        <v>&gt;3</v>
      </c>
    </row>
    <row r="9" spans="1:44" x14ac:dyDescent="0.3">
      <c r="A9" t="s">
        <v>33</v>
      </c>
      <c r="B9" t="s">
        <v>347</v>
      </c>
      <c r="C9" t="s">
        <v>131</v>
      </c>
      <c r="D9">
        <v>3259</v>
      </c>
      <c r="E9">
        <v>23210442</v>
      </c>
      <c r="F9" t="s">
        <v>349</v>
      </c>
      <c r="G9" t="s">
        <v>350</v>
      </c>
      <c r="H9">
        <v>24</v>
      </c>
      <c r="I9">
        <v>46890</v>
      </c>
      <c r="J9">
        <v>1125360</v>
      </c>
      <c r="K9" t="str">
        <f>IFERROR(IF(B9&lt;&gt;"", TEXT(VLOOKUP(B9, 'Expected Date'!A:B, 2, FALSE) + DATE(RIGHT(C9,2),MID(C9,4,2),LEFT(C9,2)), "dd/mm/yy"), ""), "")</f>
        <v>25/07/23</v>
      </c>
      <c r="L9" t="s">
        <v>68</v>
      </c>
      <c r="M9" t="s">
        <v>285</v>
      </c>
      <c r="N9" t="s">
        <v>351</v>
      </c>
      <c r="O9" t="s">
        <v>365</v>
      </c>
      <c r="P9">
        <v>23290962</v>
      </c>
      <c r="Q9" t="s">
        <v>349</v>
      </c>
      <c r="R9" t="s">
        <v>350</v>
      </c>
      <c r="S9">
        <v>20.934999999999999</v>
      </c>
      <c r="T9">
        <v>46890</v>
      </c>
      <c r="U9">
        <v>981642.15</v>
      </c>
      <c r="V9" t="str">
        <f t="shared" si="17"/>
        <v>Accepted</v>
      </c>
      <c r="W9">
        <f>IFERROR(VLOOKUP(N9, Payment_Terms!A:B, 2, FALSE), "Payment term not found!")</f>
        <v>0</v>
      </c>
      <c r="X9" t="str">
        <f>IFERROR(VLOOKUP(R9, Item_Category!A:B, 2, FALSE), "Uncategorized")</f>
        <v>Oil</v>
      </c>
      <c r="Y9" s="5">
        <f t="shared" si="4"/>
        <v>0.1277083333333334</v>
      </c>
      <c r="Z9">
        <f t="shared" si="5"/>
        <v>1</v>
      </c>
      <c r="AA9">
        <f t="shared" si="6"/>
        <v>4</v>
      </c>
      <c r="AB9">
        <f t="shared" si="7"/>
        <v>4</v>
      </c>
      <c r="AC9" s="10">
        <f t="shared" si="8"/>
        <v>5</v>
      </c>
      <c r="AD9" s="5">
        <f t="shared" si="0"/>
        <v>1</v>
      </c>
      <c r="AE9" s="5">
        <f t="shared" si="1"/>
        <v>1</v>
      </c>
      <c r="AF9" s="5">
        <f t="shared" si="9"/>
        <v>0</v>
      </c>
      <c r="AG9">
        <f>IF(B9&lt;&gt;"", COUNTIFS($B$2:B9, B9), "")</f>
        <v>2</v>
      </c>
      <c r="AH9">
        <f t="shared" si="10"/>
        <v>5</v>
      </c>
      <c r="AI9" t="str">
        <f>VLOOKUP(B9, Currency!A:B, 2, FALSE)</f>
        <v>INR</v>
      </c>
      <c r="AJ9">
        <f t="shared" si="2"/>
        <v>4</v>
      </c>
      <c r="AK9">
        <f t="shared" si="11"/>
        <v>7</v>
      </c>
      <c r="AL9" t="str">
        <f t="shared" si="12"/>
        <v>July</v>
      </c>
      <c r="AM9">
        <f t="shared" si="13"/>
        <v>2023</v>
      </c>
      <c r="AN9" t="str">
        <f t="shared" si="3"/>
        <v>0Bharat Petroleum Corporation Ltd</v>
      </c>
      <c r="AO9">
        <f>IF(COUNTIF($AN$2:AN9, AN9)=1, 1, 0)</f>
        <v>0</v>
      </c>
      <c r="AP9" t="str">
        <f t="shared" si="14"/>
        <v>&gt;3</v>
      </c>
      <c r="AQ9" t="str">
        <f t="shared" si="15"/>
        <v>&lt;=3</v>
      </c>
      <c r="AR9" t="str">
        <f t="shared" si="16"/>
        <v>&gt;3</v>
      </c>
    </row>
    <row r="10" spans="1:44" x14ac:dyDescent="0.3">
      <c r="A10" t="s">
        <v>33</v>
      </c>
      <c r="B10" t="s">
        <v>366</v>
      </c>
      <c r="C10" t="s">
        <v>367</v>
      </c>
      <c r="D10">
        <v>2421</v>
      </c>
      <c r="E10">
        <v>23210273</v>
      </c>
      <c r="F10" t="s">
        <v>368</v>
      </c>
      <c r="G10" t="s">
        <v>369</v>
      </c>
      <c r="H10">
        <v>150000</v>
      </c>
      <c r="I10">
        <v>9.1</v>
      </c>
      <c r="J10">
        <v>1365000</v>
      </c>
      <c r="K10" t="str">
        <f>IFERROR(IF(B10&lt;&gt;"", TEXT(VLOOKUP(B10, 'Expected Date'!A:B, 2, FALSE) + DATE(RIGHT(C10,2),MID(C10,4,2),LEFT(C10,2)), "dd/mm/yy"), ""), "")</f>
        <v>31/05/23</v>
      </c>
      <c r="L10" t="s">
        <v>68</v>
      </c>
      <c r="M10" t="s">
        <v>48</v>
      </c>
      <c r="N10" t="s">
        <v>370</v>
      </c>
      <c r="O10" t="s">
        <v>367</v>
      </c>
      <c r="P10">
        <v>23290503</v>
      </c>
      <c r="Q10" t="s">
        <v>368</v>
      </c>
      <c r="R10" t="s">
        <v>369</v>
      </c>
      <c r="S10">
        <v>29810</v>
      </c>
      <c r="T10">
        <v>9.1</v>
      </c>
      <c r="U10">
        <v>271271</v>
      </c>
      <c r="V10" t="str">
        <f t="shared" si="17"/>
        <v>Accepted</v>
      </c>
      <c r="W10">
        <f>IFERROR(VLOOKUP(N10, Payment_Terms!A:B, 2, FALSE), "Payment term not found!")</f>
        <v>15</v>
      </c>
      <c r="X10" t="str">
        <f>IFERROR(VLOOKUP(R10, Item_Category!A:B, 2, FALSE), "Uncategorized")</f>
        <v>Coal materials</v>
      </c>
      <c r="Y10" s="5">
        <f t="shared" si="4"/>
        <v>0</v>
      </c>
      <c r="Z10">
        <f t="shared" si="5"/>
        <v>5</v>
      </c>
      <c r="AA10">
        <f t="shared" si="6"/>
        <v>-2</v>
      </c>
      <c r="AB10">
        <f t="shared" si="7"/>
        <v>5</v>
      </c>
      <c r="AC10" s="10">
        <f t="shared" si="8"/>
        <v>0</v>
      </c>
      <c r="AD10" s="5">
        <f t="shared" si="0"/>
        <v>1</v>
      </c>
      <c r="AE10" s="5">
        <f t="shared" si="1"/>
        <v>1</v>
      </c>
      <c r="AF10" s="5">
        <f t="shared" si="9"/>
        <v>0</v>
      </c>
      <c r="AG10">
        <f>IF(B10&lt;&gt;"", COUNTIFS($B$2:B10, B10), "")</f>
        <v>1</v>
      </c>
      <c r="AH10">
        <f t="shared" si="10"/>
        <v>5</v>
      </c>
      <c r="AI10" t="str">
        <f>VLOOKUP(B10, Currency!A:B, 2, FALSE)</f>
        <v>INR</v>
      </c>
      <c r="AJ10">
        <f t="shared" si="2"/>
        <v>5</v>
      </c>
      <c r="AK10">
        <f t="shared" si="11"/>
        <v>5</v>
      </c>
      <c r="AL10" t="str">
        <f t="shared" si="12"/>
        <v>May</v>
      </c>
      <c r="AM10">
        <f t="shared" si="13"/>
        <v>2023</v>
      </c>
      <c r="AN10" t="str">
        <f t="shared" si="3"/>
        <v>15SKYWIN ENTERPRISE</v>
      </c>
      <c r="AO10">
        <f>IF(COUNTIF($AN$2:AN10, AN10)=1, 1, 0)</f>
        <v>1</v>
      </c>
      <c r="AP10" t="str">
        <f t="shared" si="14"/>
        <v>&gt;3</v>
      </c>
      <c r="AQ10" t="str">
        <f t="shared" si="15"/>
        <v>&gt;3</v>
      </c>
      <c r="AR10" t="str">
        <f t="shared" si="16"/>
        <v>&gt;3</v>
      </c>
    </row>
    <row r="11" spans="1:44" x14ac:dyDescent="0.3">
      <c r="A11" t="s">
        <v>33</v>
      </c>
      <c r="B11" t="s">
        <v>366</v>
      </c>
      <c r="C11" t="s">
        <v>367</v>
      </c>
      <c r="D11">
        <v>2421</v>
      </c>
      <c r="E11">
        <v>23210273</v>
      </c>
      <c r="F11" t="s">
        <v>368</v>
      </c>
      <c r="G11" t="s">
        <v>369</v>
      </c>
      <c r="H11">
        <v>150000</v>
      </c>
      <c r="I11">
        <v>9.1</v>
      </c>
      <c r="J11">
        <v>1365000</v>
      </c>
      <c r="K11" t="str">
        <f>IFERROR(IF(B11&lt;&gt;"", TEXT(VLOOKUP(B11, 'Expected Date'!A:B, 2, FALSE) + DATE(RIGHT(C11,2),MID(C11,4,2),LEFT(C11,2)), "dd/mm/yy"), ""), "")</f>
        <v>31/05/23</v>
      </c>
      <c r="L11" t="s">
        <v>68</v>
      </c>
      <c r="M11" t="s">
        <v>48</v>
      </c>
      <c r="N11" t="s">
        <v>370</v>
      </c>
      <c r="O11" t="s">
        <v>110</v>
      </c>
      <c r="P11">
        <v>23290504</v>
      </c>
      <c r="Q11" t="s">
        <v>368</v>
      </c>
      <c r="R11" t="s">
        <v>369</v>
      </c>
      <c r="S11">
        <v>32480</v>
      </c>
      <c r="T11">
        <v>9.1</v>
      </c>
      <c r="U11">
        <v>295568</v>
      </c>
      <c r="V11" t="str">
        <f t="shared" si="17"/>
        <v>Accepted</v>
      </c>
      <c r="W11">
        <f>IFERROR(VLOOKUP(N11, Payment_Terms!A:B, 2, FALSE), "Payment term not found!")</f>
        <v>15</v>
      </c>
      <c r="X11" t="str">
        <f>IFERROR(VLOOKUP(R11, Item_Category!A:B, 2, FALSE), "Uncategorized")</f>
        <v>Coal materials</v>
      </c>
      <c r="Y11" s="5">
        <f t="shared" si="4"/>
        <v>0</v>
      </c>
      <c r="Z11">
        <f t="shared" si="5"/>
        <v>5</v>
      </c>
      <c r="AA11">
        <f t="shared" si="6"/>
        <v>0</v>
      </c>
      <c r="AB11">
        <f t="shared" si="7"/>
        <v>5</v>
      </c>
      <c r="AC11" s="10">
        <f t="shared" si="8"/>
        <v>2</v>
      </c>
      <c r="AD11" s="5">
        <f t="shared" si="0"/>
        <v>1</v>
      </c>
      <c r="AE11" s="5">
        <f t="shared" si="1"/>
        <v>1</v>
      </c>
      <c r="AF11" s="5">
        <f t="shared" si="9"/>
        <v>0</v>
      </c>
      <c r="AG11">
        <f>IF(B11&lt;&gt;"", COUNTIFS($B$2:B11, B11), "")</f>
        <v>2</v>
      </c>
      <c r="AH11">
        <f t="shared" si="10"/>
        <v>5</v>
      </c>
      <c r="AI11" t="str">
        <f>VLOOKUP(B11, Currency!A:B, 2, FALSE)</f>
        <v>INR</v>
      </c>
      <c r="AJ11">
        <f t="shared" si="2"/>
        <v>5</v>
      </c>
      <c r="AK11">
        <f t="shared" si="11"/>
        <v>5</v>
      </c>
      <c r="AL11" t="str">
        <f t="shared" si="12"/>
        <v>May</v>
      </c>
      <c r="AM11">
        <f t="shared" si="13"/>
        <v>2023</v>
      </c>
      <c r="AN11" t="str">
        <f t="shared" si="3"/>
        <v>15SKYWIN ENTERPRISE</v>
      </c>
      <c r="AO11">
        <f>IF(COUNTIF($AN$2:AN11, AN11)=1, 1, 0)</f>
        <v>0</v>
      </c>
      <c r="AP11" t="str">
        <f t="shared" si="14"/>
        <v>&gt;3</v>
      </c>
      <c r="AQ11" t="str">
        <f t="shared" si="15"/>
        <v>&gt;3</v>
      </c>
      <c r="AR11" t="str">
        <f t="shared" si="16"/>
        <v>&gt;3</v>
      </c>
    </row>
    <row r="12" spans="1:44" x14ac:dyDescent="0.3">
      <c r="A12" t="s">
        <v>33</v>
      </c>
      <c r="B12" t="s">
        <v>366</v>
      </c>
      <c r="C12" t="s">
        <v>367</v>
      </c>
      <c r="D12">
        <v>2421</v>
      </c>
      <c r="E12">
        <v>23210273</v>
      </c>
      <c r="F12" t="s">
        <v>368</v>
      </c>
      <c r="G12" t="s">
        <v>369</v>
      </c>
      <c r="H12">
        <v>150000</v>
      </c>
      <c r="I12">
        <v>9.1</v>
      </c>
      <c r="J12">
        <v>1365000</v>
      </c>
      <c r="K12" t="str">
        <f>IFERROR(IF(B12&lt;&gt;"", TEXT(VLOOKUP(B12, 'Expected Date'!A:B, 2, FALSE) + DATE(RIGHT(C12,2),MID(C12,4,2),LEFT(C12,2)), "dd/mm/yy"), ""), "")</f>
        <v>31/05/23</v>
      </c>
      <c r="L12" t="s">
        <v>68</v>
      </c>
      <c r="M12" t="s">
        <v>48</v>
      </c>
      <c r="N12" t="s">
        <v>370</v>
      </c>
      <c r="O12" t="s">
        <v>182</v>
      </c>
      <c r="P12">
        <v>23290506</v>
      </c>
      <c r="Q12" t="s">
        <v>368</v>
      </c>
      <c r="R12" t="s">
        <v>369</v>
      </c>
      <c r="S12">
        <v>34000</v>
      </c>
      <c r="T12">
        <v>9.1</v>
      </c>
      <c r="U12">
        <v>309400</v>
      </c>
      <c r="V12" t="str">
        <f t="shared" si="17"/>
        <v>Accepted</v>
      </c>
      <c r="W12">
        <f>IFERROR(VLOOKUP(N12, Payment_Terms!A:B, 2, FALSE), "Payment term not found!")</f>
        <v>15</v>
      </c>
      <c r="X12" t="str">
        <f>IFERROR(VLOOKUP(R12, Item_Category!A:B, 2, FALSE), "Uncategorized")</f>
        <v>Coal materials</v>
      </c>
      <c r="Y12" s="5">
        <f t="shared" si="4"/>
        <v>0</v>
      </c>
      <c r="Z12">
        <f t="shared" si="5"/>
        <v>5</v>
      </c>
      <c r="AA12">
        <f t="shared" si="6"/>
        <v>13</v>
      </c>
      <c r="AB12">
        <f t="shared" si="7"/>
        <v>1</v>
      </c>
      <c r="AC12" s="10">
        <f t="shared" si="8"/>
        <v>15</v>
      </c>
      <c r="AD12" s="5">
        <f t="shared" si="0"/>
        <v>1</v>
      </c>
      <c r="AE12" s="5">
        <f t="shared" si="1"/>
        <v>1</v>
      </c>
      <c r="AF12" s="5">
        <f t="shared" si="9"/>
        <v>0</v>
      </c>
      <c r="AG12">
        <f>IF(B12&lt;&gt;"", COUNTIFS($B$2:B12, B12), "")</f>
        <v>3</v>
      </c>
      <c r="AH12">
        <f t="shared" si="10"/>
        <v>5</v>
      </c>
      <c r="AI12" t="str">
        <f>VLOOKUP(B12, Currency!A:B, 2, FALSE)</f>
        <v>INR</v>
      </c>
      <c r="AJ12">
        <f t="shared" si="2"/>
        <v>4</v>
      </c>
      <c r="AK12">
        <f t="shared" si="11"/>
        <v>5</v>
      </c>
      <c r="AL12" t="str">
        <f t="shared" si="12"/>
        <v>May</v>
      </c>
      <c r="AM12">
        <f t="shared" si="13"/>
        <v>2023</v>
      </c>
      <c r="AN12" t="str">
        <f t="shared" si="3"/>
        <v>15SKYWIN ENTERPRISE</v>
      </c>
      <c r="AO12">
        <f>IF(COUNTIF($AN$2:AN12, AN12)=1, 1, 0)</f>
        <v>0</v>
      </c>
      <c r="AP12" t="str">
        <f t="shared" si="14"/>
        <v>&gt;3</v>
      </c>
      <c r="AQ12" t="str">
        <f t="shared" si="15"/>
        <v>&gt;3</v>
      </c>
      <c r="AR12" t="str">
        <f t="shared" si="16"/>
        <v>&lt;=3</v>
      </c>
    </row>
    <row r="13" spans="1:44" x14ac:dyDescent="0.3">
      <c r="A13" t="s">
        <v>33</v>
      </c>
      <c r="B13" t="s">
        <v>366</v>
      </c>
      <c r="C13" t="s">
        <v>367</v>
      </c>
      <c r="D13">
        <v>2421</v>
      </c>
      <c r="E13">
        <v>23210273</v>
      </c>
      <c r="F13" t="s">
        <v>368</v>
      </c>
      <c r="G13" t="s">
        <v>369</v>
      </c>
      <c r="H13">
        <v>150000</v>
      </c>
      <c r="I13">
        <v>9.1</v>
      </c>
      <c r="J13">
        <v>1365000</v>
      </c>
      <c r="K13" t="str">
        <f>IFERROR(IF(B13&lt;&gt;"", TEXT(VLOOKUP(B13, 'Expected Date'!A:B, 2, FALSE) + DATE(RIGHT(C13,2),MID(C13,4,2),LEFT(C13,2)), "dd/mm/yy"), ""), "")</f>
        <v>31/05/23</v>
      </c>
      <c r="L13" t="s">
        <v>68</v>
      </c>
      <c r="M13" t="s">
        <v>48</v>
      </c>
      <c r="N13" t="s">
        <v>370</v>
      </c>
      <c r="O13" t="s">
        <v>328</v>
      </c>
      <c r="P13">
        <v>23290526</v>
      </c>
      <c r="Q13" t="s">
        <v>368</v>
      </c>
      <c r="R13" t="s">
        <v>369</v>
      </c>
      <c r="S13">
        <v>34220</v>
      </c>
      <c r="T13">
        <v>9.1</v>
      </c>
      <c r="U13">
        <v>311402</v>
      </c>
      <c r="V13" t="str">
        <f t="shared" si="17"/>
        <v>Accepted</v>
      </c>
      <c r="W13">
        <f>IFERROR(VLOOKUP(N13, Payment_Terms!A:B, 2, FALSE), "Payment term not found!")</f>
        <v>15</v>
      </c>
      <c r="X13" t="str">
        <f>IFERROR(VLOOKUP(R13, Item_Category!A:B, 2, FALSE), "Uncategorized")</f>
        <v>Coal materials</v>
      </c>
      <c r="Y13" s="5">
        <f t="shared" si="4"/>
        <v>0</v>
      </c>
      <c r="Z13">
        <f t="shared" si="5"/>
        <v>5</v>
      </c>
      <c r="AA13">
        <f t="shared" si="6"/>
        <v>14</v>
      </c>
      <c r="AB13">
        <f t="shared" si="7"/>
        <v>1</v>
      </c>
      <c r="AC13" s="10">
        <f t="shared" si="8"/>
        <v>16</v>
      </c>
      <c r="AD13" s="5">
        <f t="shared" si="0"/>
        <v>1</v>
      </c>
      <c r="AE13" s="5">
        <f t="shared" si="1"/>
        <v>1</v>
      </c>
      <c r="AF13" s="5">
        <f t="shared" si="9"/>
        <v>0</v>
      </c>
      <c r="AG13">
        <f>IF(B13&lt;&gt;"", COUNTIFS($B$2:B13, B13), "")</f>
        <v>4</v>
      </c>
      <c r="AH13">
        <f t="shared" si="10"/>
        <v>5</v>
      </c>
      <c r="AI13" t="str">
        <f>VLOOKUP(B13, Currency!A:B, 2, FALSE)</f>
        <v>INR</v>
      </c>
      <c r="AJ13">
        <f t="shared" si="2"/>
        <v>4</v>
      </c>
      <c r="AK13">
        <f t="shared" si="11"/>
        <v>5</v>
      </c>
      <c r="AL13" t="str">
        <f t="shared" si="12"/>
        <v>May</v>
      </c>
      <c r="AM13">
        <f t="shared" si="13"/>
        <v>2023</v>
      </c>
      <c r="AN13" t="str">
        <f t="shared" si="3"/>
        <v>15SKYWIN ENTERPRISE</v>
      </c>
      <c r="AO13">
        <f>IF(COUNTIF($AN$2:AN13, AN13)=1, 1, 0)</f>
        <v>0</v>
      </c>
      <c r="AP13" t="str">
        <f t="shared" si="14"/>
        <v>&gt;3</v>
      </c>
      <c r="AQ13" t="str">
        <f t="shared" si="15"/>
        <v>&gt;3</v>
      </c>
      <c r="AR13" t="str">
        <f t="shared" si="16"/>
        <v>&lt;=3</v>
      </c>
    </row>
    <row r="14" spans="1:44" x14ac:dyDescent="0.3">
      <c r="A14" t="s">
        <v>33</v>
      </c>
      <c r="B14" t="s">
        <v>366</v>
      </c>
      <c r="C14" t="s">
        <v>367</v>
      </c>
      <c r="D14">
        <v>2421</v>
      </c>
      <c r="E14">
        <v>23210273</v>
      </c>
      <c r="F14" t="s">
        <v>368</v>
      </c>
      <c r="G14" t="s">
        <v>369</v>
      </c>
      <c r="H14">
        <v>150000</v>
      </c>
      <c r="I14">
        <v>9.1</v>
      </c>
      <c r="J14">
        <v>1365000</v>
      </c>
      <c r="K14" t="str">
        <f>IFERROR(IF(B14&lt;&gt;"", TEXT(VLOOKUP(B14, 'Expected Date'!A:B, 2, FALSE) + DATE(RIGHT(C14,2),MID(C14,4,2),LEFT(C14,2)), "dd/mm/yy"), ""), "")</f>
        <v>31/05/23</v>
      </c>
      <c r="L14" t="s">
        <v>68</v>
      </c>
      <c r="M14" t="s">
        <v>48</v>
      </c>
      <c r="N14" t="s">
        <v>370</v>
      </c>
      <c r="O14" t="s">
        <v>328</v>
      </c>
      <c r="P14">
        <v>23290527</v>
      </c>
      <c r="Q14" t="s">
        <v>368</v>
      </c>
      <c r="R14" t="s">
        <v>369</v>
      </c>
      <c r="S14">
        <v>33800</v>
      </c>
      <c r="T14">
        <v>9.1</v>
      </c>
      <c r="U14">
        <v>307580</v>
      </c>
      <c r="V14" t="str">
        <f t="shared" si="17"/>
        <v>Accepted</v>
      </c>
      <c r="W14">
        <f>IFERROR(VLOOKUP(N14, Payment_Terms!A:B, 2, FALSE), "Payment term not found!")</f>
        <v>15</v>
      </c>
      <c r="X14" t="str">
        <f>IFERROR(VLOOKUP(R14, Item_Category!A:B, 2, FALSE), "Uncategorized")</f>
        <v>Coal materials</v>
      </c>
      <c r="Y14" s="5">
        <f t="shared" si="4"/>
        <v>0</v>
      </c>
      <c r="Z14">
        <f t="shared" si="5"/>
        <v>5</v>
      </c>
      <c r="AA14">
        <f t="shared" si="6"/>
        <v>14</v>
      </c>
      <c r="AB14">
        <f t="shared" si="7"/>
        <v>1</v>
      </c>
      <c r="AC14" s="10">
        <f t="shared" si="8"/>
        <v>16</v>
      </c>
      <c r="AD14" s="5">
        <f t="shared" si="0"/>
        <v>1</v>
      </c>
      <c r="AE14" s="5">
        <f t="shared" si="1"/>
        <v>1</v>
      </c>
      <c r="AF14" s="5">
        <f t="shared" si="9"/>
        <v>0</v>
      </c>
      <c r="AG14">
        <f>IF(B14&lt;&gt;"", COUNTIFS($B$2:B14, B14), "")</f>
        <v>5</v>
      </c>
      <c r="AH14">
        <f t="shared" si="10"/>
        <v>5</v>
      </c>
      <c r="AI14" t="str">
        <f>VLOOKUP(B14, Currency!A:B, 2, FALSE)</f>
        <v>INR</v>
      </c>
      <c r="AJ14">
        <f t="shared" si="2"/>
        <v>4</v>
      </c>
      <c r="AK14">
        <f t="shared" si="11"/>
        <v>5</v>
      </c>
      <c r="AL14" t="str">
        <f t="shared" si="12"/>
        <v>May</v>
      </c>
      <c r="AM14">
        <f t="shared" si="13"/>
        <v>2023</v>
      </c>
      <c r="AN14" t="str">
        <f t="shared" si="3"/>
        <v>15SKYWIN ENTERPRISE</v>
      </c>
      <c r="AO14">
        <f>IF(COUNTIF($AN$2:AN14, AN14)=1, 1, 0)</f>
        <v>0</v>
      </c>
      <c r="AP14" t="str">
        <f t="shared" si="14"/>
        <v>&gt;3</v>
      </c>
      <c r="AQ14" t="str">
        <f t="shared" si="15"/>
        <v>&gt;3</v>
      </c>
      <c r="AR14" t="str">
        <f t="shared" si="16"/>
        <v>&lt;=3</v>
      </c>
    </row>
    <row r="15" spans="1:44" x14ac:dyDescent="0.3">
      <c r="A15" t="s">
        <v>33</v>
      </c>
      <c r="B15" t="s">
        <v>371</v>
      </c>
      <c r="C15" t="s">
        <v>365</v>
      </c>
      <c r="D15">
        <v>3436</v>
      </c>
      <c r="E15">
        <v>23210463</v>
      </c>
      <c r="F15" t="s">
        <v>372</v>
      </c>
      <c r="G15" t="s">
        <v>373</v>
      </c>
      <c r="H15">
        <v>20</v>
      </c>
      <c r="I15">
        <v>1100</v>
      </c>
      <c r="J15">
        <v>22000</v>
      </c>
      <c r="K15" t="str">
        <f>IFERROR(IF(B15&lt;&gt;"", TEXT(VLOOKUP(B15, 'Expected Date'!A:B, 2, FALSE) + DATE(RIGHT(C15,2),MID(C15,4,2),LEFT(C15,2)), "dd/mm/yy"), ""), "")</f>
        <v>03/08/23</v>
      </c>
      <c r="L15" t="s">
        <v>38</v>
      </c>
      <c r="M15" t="s">
        <v>48</v>
      </c>
      <c r="N15" t="s">
        <v>342</v>
      </c>
      <c r="O15" t="s">
        <v>100</v>
      </c>
      <c r="P15">
        <v>23290973</v>
      </c>
      <c r="Q15" t="s">
        <v>372</v>
      </c>
      <c r="R15" t="s">
        <v>373</v>
      </c>
      <c r="S15">
        <v>10</v>
      </c>
      <c r="T15">
        <v>1100</v>
      </c>
      <c r="U15">
        <v>11000</v>
      </c>
      <c r="V15" t="str">
        <f t="shared" si="17"/>
        <v>Accepted</v>
      </c>
      <c r="W15">
        <f>IFERROR(VLOOKUP(N15, Payment_Terms!A:B, 2, FALSE), "Payment term not found!")</f>
        <v>30</v>
      </c>
      <c r="X15" t="str">
        <f>IFERROR(VLOOKUP(R15, Item_Category!A:B, 2, FALSE), "Uncategorized")</f>
        <v>HCL</v>
      </c>
      <c r="Y15" s="5">
        <f t="shared" si="4"/>
        <v>0</v>
      </c>
      <c r="Z15">
        <f t="shared" si="5"/>
        <v>5</v>
      </c>
      <c r="AA15">
        <f t="shared" si="6"/>
        <v>-4</v>
      </c>
      <c r="AB15">
        <f t="shared" si="7"/>
        <v>5</v>
      </c>
      <c r="AC15" s="10">
        <f t="shared" si="8"/>
        <v>1</v>
      </c>
      <c r="AD15" s="5">
        <f t="shared" si="0"/>
        <v>1</v>
      </c>
      <c r="AE15" s="5">
        <f t="shared" si="1"/>
        <v>1</v>
      </c>
      <c r="AF15" s="5">
        <f t="shared" si="9"/>
        <v>0</v>
      </c>
      <c r="AG15">
        <f>IF(B15&lt;&gt;"", COUNTIFS($B$2:B15, B15), "")</f>
        <v>1</v>
      </c>
      <c r="AH15">
        <f t="shared" si="10"/>
        <v>5</v>
      </c>
      <c r="AI15" t="str">
        <f>VLOOKUP(B15, Currency!A:B, 2, FALSE)</f>
        <v>INR</v>
      </c>
      <c r="AJ15">
        <f t="shared" si="2"/>
        <v>5</v>
      </c>
      <c r="AK15">
        <f t="shared" si="11"/>
        <v>7</v>
      </c>
      <c r="AL15" t="str">
        <f t="shared" si="12"/>
        <v>July</v>
      </c>
      <c r="AM15">
        <f t="shared" si="13"/>
        <v>2023</v>
      </c>
      <c r="AN15" t="str">
        <f t="shared" si="3"/>
        <v>30SHREE ACID AND CHEMICALS</v>
      </c>
      <c r="AO15">
        <f>IF(COUNTIF($AN$2:AN15, AN15)=1, 1, 0)</f>
        <v>1</v>
      </c>
      <c r="AP15" t="str">
        <f t="shared" si="14"/>
        <v>&gt;3</v>
      </c>
      <c r="AQ15" t="str">
        <f t="shared" si="15"/>
        <v>&gt;3</v>
      </c>
      <c r="AR15" t="str">
        <f t="shared" si="16"/>
        <v>&gt;3</v>
      </c>
    </row>
    <row r="16" spans="1:44" x14ac:dyDescent="0.3">
      <c r="A16" t="s">
        <v>111</v>
      </c>
      <c r="B16" t="s">
        <v>309</v>
      </c>
      <c r="C16" t="s">
        <v>374</v>
      </c>
      <c r="D16">
        <v>1252</v>
      </c>
      <c r="E16">
        <v>23220009</v>
      </c>
      <c r="F16" t="s">
        <v>375</v>
      </c>
      <c r="G16" t="s">
        <v>311</v>
      </c>
      <c r="H16">
        <v>4000</v>
      </c>
      <c r="I16">
        <v>310</v>
      </c>
      <c r="J16">
        <v>1240000</v>
      </c>
      <c r="K16" t="str">
        <f>IFERROR(IF(B16&lt;&gt;"", TEXT(VLOOKUP(B16, 'Expected Date'!A:B, 2, FALSE) + DATE(RIGHT(C16,2),MID(C16,4,2),LEFT(C16,2)), "dd/mm/yy"), ""), "")</f>
        <v>23/04/23</v>
      </c>
      <c r="L16" t="s">
        <v>38</v>
      </c>
      <c r="M16" t="s">
        <v>48</v>
      </c>
      <c r="N16" t="s">
        <v>377</v>
      </c>
      <c r="O16" t="s">
        <v>378</v>
      </c>
      <c r="P16">
        <v>23290078</v>
      </c>
      <c r="Q16" t="s">
        <v>375</v>
      </c>
      <c r="R16" t="s">
        <v>376</v>
      </c>
      <c r="S16">
        <v>4000</v>
      </c>
      <c r="T16">
        <v>310</v>
      </c>
      <c r="U16">
        <v>1240000</v>
      </c>
      <c r="V16" t="str">
        <f t="shared" si="17"/>
        <v>Accepted</v>
      </c>
      <c r="W16">
        <f>IFERROR(VLOOKUP(N16, Payment_Terms!A:B, 2, FALSE), "Payment term not found!")</f>
        <v>30</v>
      </c>
      <c r="X16" t="str">
        <f>IFERROR(VLOOKUP(R16, Item_Category!A:B, 2, FALSE), "Uncategorized")</f>
        <v>CROSSCARMELLOSE SODIUM</v>
      </c>
      <c r="Y16" s="5">
        <f t="shared" si="4"/>
        <v>0</v>
      </c>
      <c r="Z16">
        <f t="shared" si="5"/>
        <v>5</v>
      </c>
      <c r="AA16">
        <f t="shared" si="6"/>
        <v>-8</v>
      </c>
      <c r="AB16">
        <f t="shared" si="7"/>
        <v>5</v>
      </c>
      <c r="AC16" s="10">
        <f t="shared" si="8"/>
        <v>2</v>
      </c>
      <c r="AD16" s="5">
        <f t="shared" si="0"/>
        <v>1</v>
      </c>
      <c r="AE16" s="5">
        <f t="shared" si="1"/>
        <v>0.64</v>
      </c>
      <c r="AF16" s="5">
        <f t="shared" si="9"/>
        <v>0.36</v>
      </c>
      <c r="AG16">
        <f>IF(B16&lt;&gt;"", COUNTIFS($B$2:B16, B16), "")</f>
        <v>1</v>
      </c>
      <c r="AH16">
        <f t="shared" si="10"/>
        <v>1</v>
      </c>
      <c r="AI16" t="str">
        <f>VLOOKUP(B16, Currency!A:B, 2, FALSE)</f>
        <v>INR</v>
      </c>
      <c r="AJ16">
        <f t="shared" si="2"/>
        <v>4</v>
      </c>
      <c r="AK16">
        <f t="shared" si="11"/>
        <v>4</v>
      </c>
      <c r="AL16" t="str">
        <f t="shared" si="12"/>
        <v>April</v>
      </c>
      <c r="AM16">
        <f t="shared" si="13"/>
        <v>2023</v>
      </c>
      <c r="AN16" t="str">
        <f t="shared" si="3"/>
        <v>30Prachin Chemicals_Vendor</v>
      </c>
      <c r="AO16">
        <f>IF(COUNTIF($AN$2:AN16, AN16)=1, 1, 0)</f>
        <v>1</v>
      </c>
      <c r="AP16" t="str">
        <f t="shared" si="14"/>
        <v>&lt;=3</v>
      </c>
      <c r="AQ16" t="str">
        <f t="shared" si="15"/>
        <v>&gt;3</v>
      </c>
      <c r="AR16" t="str">
        <f t="shared" si="16"/>
        <v>&gt;3</v>
      </c>
    </row>
    <row r="17" spans="1:44" x14ac:dyDescent="0.3">
      <c r="A17" t="s">
        <v>111</v>
      </c>
      <c r="B17" t="s">
        <v>258</v>
      </c>
      <c r="C17" t="s">
        <v>265</v>
      </c>
      <c r="D17">
        <v>1203</v>
      </c>
      <c r="E17">
        <v>23220001</v>
      </c>
      <c r="F17" t="s">
        <v>379</v>
      </c>
      <c r="G17" t="s">
        <v>380</v>
      </c>
      <c r="H17">
        <v>2000</v>
      </c>
      <c r="I17">
        <v>105</v>
      </c>
      <c r="J17">
        <v>210000</v>
      </c>
      <c r="K17" t="str">
        <f>IFERROR(IF(B17&lt;&gt;"", TEXT(VLOOKUP(B17, 'Expected Date'!A:B, 2, FALSE) + DATE(RIGHT(C17,2),MID(C17,4,2),LEFT(C17,2)), "dd/mm/yy"), ""), "")</f>
        <v>20/04/23</v>
      </c>
      <c r="L17" t="s">
        <v>38</v>
      </c>
      <c r="M17" t="s">
        <v>48</v>
      </c>
      <c r="N17" t="s">
        <v>381</v>
      </c>
      <c r="O17" t="s">
        <v>124</v>
      </c>
      <c r="P17">
        <v>23290079</v>
      </c>
      <c r="Q17" t="s">
        <v>379</v>
      </c>
      <c r="R17" t="s">
        <v>380</v>
      </c>
      <c r="S17">
        <v>2000</v>
      </c>
      <c r="T17">
        <v>105</v>
      </c>
      <c r="U17">
        <v>210000</v>
      </c>
      <c r="V17" t="str">
        <f t="shared" si="17"/>
        <v>Accepted</v>
      </c>
      <c r="W17">
        <f>IFERROR(VLOOKUP(N17, Payment_Terms!A:B, 2, FALSE), "Payment term not found!")</f>
        <v>30</v>
      </c>
      <c r="X17" t="str">
        <f>IFERROR(VLOOKUP(R17, Item_Category!A:B, 2, FALSE), "Uncategorized")</f>
        <v>SSG - Maize</v>
      </c>
      <c r="Y17" s="5">
        <f t="shared" si="4"/>
        <v>0</v>
      </c>
      <c r="Z17">
        <f t="shared" si="5"/>
        <v>5</v>
      </c>
      <c r="AA17">
        <f t="shared" si="6"/>
        <v>-2</v>
      </c>
      <c r="AB17">
        <f t="shared" si="7"/>
        <v>5</v>
      </c>
      <c r="AC17" s="10">
        <f t="shared" si="8"/>
        <v>8</v>
      </c>
      <c r="AD17" s="5">
        <f t="shared" si="0"/>
        <v>1</v>
      </c>
      <c r="AE17" s="5">
        <f t="shared" si="1"/>
        <v>1</v>
      </c>
      <c r="AF17" s="5">
        <f t="shared" si="9"/>
        <v>0</v>
      </c>
      <c r="AG17">
        <f>IF(B17&lt;&gt;"", COUNTIFS($B$2:B17, B17), "")</f>
        <v>1</v>
      </c>
      <c r="AH17">
        <f t="shared" si="10"/>
        <v>5</v>
      </c>
      <c r="AI17" t="str">
        <f>VLOOKUP(B17, Currency!A:B, 2, FALSE)</f>
        <v>INR</v>
      </c>
      <c r="AJ17">
        <f t="shared" si="2"/>
        <v>5</v>
      </c>
      <c r="AK17">
        <f t="shared" si="11"/>
        <v>4</v>
      </c>
      <c r="AL17" t="str">
        <f t="shared" si="12"/>
        <v>April</v>
      </c>
      <c r="AM17">
        <f t="shared" si="13"/>
        <v>2023</v>
      </c>
      <c r="AN17" t="str">
        <f t="shared" si="3"/>
        <v>30BLUECRAFT AGRO PRIVATE LIMIMITED</v>
      </c>
      <c r="AO17">
        <f>IF(COUNTIF($AN$2:AN17, AN17)=1, 1, 0)</f>
        <v>1</v>
      </c>
      <c r="AP17" t="str">
        <f t="shared" si="14"/>
        <v>&gt;3</v>
      </c>
      <c r="AQ17" t="str">
        <f t="shared" si="15"/>
        <v>&gt;3</v>
      </c>
      <c r="AR17" t="str">
        <f t="shared" si="16"/>
        <v>&gt;3</v>
      </c>
    </row>
    <row r="18" spans="1:44" x14ac:dyDescent="0.3">
      <c r="A18" t="s">
        <v>33</v>
      </c>
      <c r="B18" t="s">
        <v>382</v>
      </c>
      <c r="C18" t="s">
        <v>80</v>
      </c>
      <c r="D18">
        <v>1263</v>
      </c>
      <c r="E18">
        <v>23210024</v>
      </c>
      <c r="F18" t="s">
        <v>383</v>
      </c>
      <c r="G18" t="s">
        <v>384</v>
      </c>
      <c r="H18">
        <v>250</v>
      </c>
      <c r="I18">
        <v>105.8</v>
      </c>
      <c r="J18">
        <v>26450</v>
      </c>
      <c r="K18" t="str">
        <f>IFERROR(IF(B18&lt;&gt;"", TEXT(VLOOKUP(B18, 'Expected Date'!A:B, 2, FALSE) + DATE(RIGHT(C18,2),MID(C18,4,2),LEFT(C18,2)), "dd/mm/yy"), ""), "")</f>
        <v>24/04/23</v>
      </c>
      <c r="L18" t="s">
        <v>38</v>
      </c>
      <c r="M18" t="s">
        <v>48</v>
      </c>
      <c r="N18" t="s">
        <v>342</v>
      </c>
      <c r="O18" t="s">
        <v>378</v>
      </c>
      <c r="P18">
        <v>23290093</v>
      </c>
      <c r="Q18" t="s">
        <v>383</v>
      </c>
      <c r="R18" t="s">
        <v>384</v>
      </c>
      <c r="S18">
        <v>250</v>
      </c>
      <c r="T18">
        <v>105.8</v>
      </c>
      <c r="U18">
        <v>26450</v>
      </c>
      <c r="V18" t="str">
        <f t="shared" si="17"/>
        <v>Accepted</v>
      </c>
      <c r="W18">
        <f>IFERROR(VLOOKUP(N18, Payment_Terms!A:B, 2, FALSE), "Payment term not found!")</f>
        <v>30</v>
      </c>
      <c r="X18" t="str">
        <f>IFERROR(VLOOKUP(R18, Item_Category!A:B, 2, FALSE), "Uncategorized")</f>
        <v>Gas</v>
      </c>
      <c r="Y18" s="5">
        <f t="shared" si="4"/>
        <v>0</v>
      </c>
      <c r="Z18">
        <f t="shared" si="5"/>
        <v>5</v>
      </c>
      <c r="AA18">
        <f t="shared" si="6"/>
        <v>-9</v>
      </c>
      <c r="AB18">
        <f t="shared" si="7"/>
        <v>5</v>
      </c>
      <c r="AC18" s="10">
        <f t="shared" si="8"/>
        <v>1</v>
      </c>
      <c r="AD18" s="5">
        <f t="shared" si="0"/>
        <v>1</v>
      </c>
      <c r="AE18" s="5">
        <f t="shared" si="1"/>
        <v>1</v>
      </c>
      <c r="AF18" s="5">
        <f t="shared" si="9"/>
        <v>0</v>
      </c>
      <c r="AG18">
        <f>IF(B18&lt;&gt;"", COUNTIFS($B$2:B18, B18), "")</f>
        <v>1</v>
      </c>
      <c r="AH18">
        <f t="shared" si="10"/>
        <v>5</v>
      </c>
      <c r="AI18" t="str">
        <f>VLOOKUP(B18, Currency!A:B, 2, FALSE)</f>
        <v>INR</v>
      </c>
      <c r="AJ18">
        <f t="shared" si="2"/>
        <v>5</v>
      </c>
      <c r="AK18">
        <f t="shared" si="11"/>
        <v>4</v>
      </c>
      <c r="AL18" t="str">
        <f t="shared" si="12"/>
        <v>April</v>
      </c>
      <c r="AM18">
        <f t="shared" si="13"/>
        <v>2023</v>
      </c>
      <c r="AN18" t="str">
        <f t="shared" si="3"/>
        <v>30Aerochem Laboratories</v>
      </c>
      <c r="AO18">
        <f>IF(COUNTIF($AN$2:AN18, AN18)=1, 1, 0)</f>
        <v>1</v>
      </c>
      <c r="AP18" t="str">
        <f t="shared" si="14"/>
        <v>&gt;3</v>
      </c>
      <c r="AQ18" t="str">
        <f t="shared" si="15"/>
        <v>&gt;3</v>
      </c>
      <c r="AR18" t="str">
        <f t="shared" si="16"/>
        <v>&gt;3</v>
      </c>
    </row>
    <row r="19" spans="1:44" x14ac:dyDescent="0.3">
      <c r="A19" t="s">
        <v>33</v>
      </c>
      <c r="B19" t="s">
        <v>366</v>
      </c>
      <c r="C19" t="s">
        <v>195</v>
      </c>
      <c r="D19">
        <v>2492</v>
      </c>
      <c r="E19">
        <v>23210298</v>
      </c>
      <c r="F19" t="s">
        <v>368</v>
      </c>
      <c r="G19" t="s">
        <v>369</v>
      </c>
      <c r="H19">
        <v>150000</v>
      </c>
      <c r="I19">
        <v>9.1</v>
      </c>
      <c r="J19">
        <v>1365000</v>
      </c>
      <c r="K19" t="str">
        <f>IFERROR(IF(B19&lt;&gt;"", TEXT(VLOOKUP(B19, 'Expected Date'!A:B, 2, FALSE) + DATE(RIGHT(C19,2),MID(C19,4,2),LEFT(C19,2)), "dd/mm/yy"), ""), "")</f>
        <v>17/06/23</v>
      </c>
      <c r="L19" t="s">
        <v>68</v>
      </c>
      <c r="M19" t="s">
        <v>48</v>
      </c>
      <c r="N19" t="s">
        <v>370</v>
      </c>
      <c r="O19" t="s">
        <v>324</v>
      </c>
      <c r="P19">
        <v>23290541</v>
      </c>
      <c r="Q19" t="s">
        <v>368</v>
      </c>
      <c r="R19" t="s">
        <v>369</v>
      </c>
      <c r="S19">
        <v>34260</v>
      </c>
      <c r="T19">
        <v>9.1</v>
      </c>
      <c r="U19">
        <v>311766</v>
      </c>
      <c r="V19" t="str">
        <f t="shared" si="17"/>
        <v>Accepted</v>
      </c>
      <c r="W19">
        <f>IFERROR(VLOOKUP(N19, Payment_Terms!A:B, 2, FALSE), "Payment term not found!")</f>
        <v>15</v>
      </c>
      <c r="X19" t="str">
        <f>IFERROR(VLOOKUP(R19, Item_Category!A:B, 2, FALSE), "Uncategorized")</f>
        <v>Coal materials</v>
      </c>
      <c r="Y19" s="5">
        <f t="shared" si="4"/>
        <v>0.77159999999999995</v>
      </c>
      <c r="Z19">
        <f t="shared" si="5"/>
        <v>1</v>
      </c>
      <c r="AA19">
        <f t="shared" si="6"/>
        <v>3</v>
      </c>
      <c r="AB19">
        <f t="shared" si="7"/>
        <v>4</v>
      </c>
      <c r="AC19" s="10">
        <f t="shared" si="8"/>
        <v>5</v>
      </c>
      <c r="AD19" s="5">
        <f t="shared" si="0"/>
        <v>1</v>
      </c>
      <c r="AE19" s="5">
        <f t="shared" si="1"/>
        <v>1</v>
      </c>
      <c r="AF19" s="5">
        <f t="shared" si="9"/>
        <v>0</v>
      </c>
      <c r="AG19">
        <f>IF(B19&lt;&gt;"", COUNTIFS($B$2:B19, B19), "")</f>
        <v>6</v>
      </c>
      <c r="AH19">
        <f t="shared" si="10"/>
        <v>5</v>
      </c>
      <c r="AI19" t="str">
        <f>VLOOKUP(B19, Currency!A:B, 2, FALSE)</f>
        <v>INR</v>
      </c>
      <c r="AJ19">
        <f t="shared" si="2"/>
        <v>4</v>
      </c>
      <c r="AK19">
        <f t="shared" si="11"/>
        <v>6</v>
      </c>
      <c r="AL19" t="str">
        <f t="shared" si="12"/>
        <v>June</v>
      </c>
      <c r="AM19">
        <f t="shared" si="13"/>
        <v>2023</v>
      </c>
      <c r="AN19" t="str">
        <f t="shared" si="3"/>
        <v>15SKYWIN ENTERPRISE</v>
      </c>
      <c r="AO19">
        <f>IF(COUNTIF($AN$2:AN19, AN19)=1, 1, 0)</f>
        <v>0</v>
      </c>
      <c r="AP19" t="str">
        <f t="shared" si="14"/>
        <v>&gt;3</v>
      </c>
      <c r="AQ19" t="str">
        <f t="shared" si="15"/>
        <v>&lt;=3</v>
      </c>
      <c r="AR19" t="str">
        <f t="shared" si="16"/>
        <v>&gt;3</v>
      </c>
    </row>
    <row r="20" spans="1:44" x14ac:dyDescent="0.3">
      <c r="A20" t="s">
        <v>33</v>
      </c>
      <c r="B20" t="s">
        <v>385</v>
      </c>
      <c r="C20" t="s">
        <v>70</v>
      </c>
      <c r="D20">
        <v>1522</v>
      </c>
      <c r="E20">
        <v>23210078</v>
      </c>
      <c r="F20" t="s">
        <v>372</v>
      </c>
      <c r="G20" t="s">
        <v>373</v>
      </c>
      <c r="H20">
        <v>50</v>
      </c>
      <c r="I20">
        <v>250</v>
      </c>
      <c r="J20">
        <v>12500</v>
      </c>
      <c r="K20" t="str">
        <f>IFERROR(IF(B20&lt;&gt;"", TEXT(VLOOKUP(B20, 'Expected Date'!A:B, 2, FALSE) + DATE(RIGHT(C20,2),MID(C20,4,2),LEFT(C20,2)), "dd/mm/yy"), ""), "")</f>
        <v>04/05/23</v>
      </c>
      <c r="L20" t="s">
        <v>68</v>
      </c>
      <c r="M20" t="s">
        <v>48</v>
      </c>
      <c r="N20" t="s">
        <v>342</v>
      </c>
      <c r="O20" t="s">
        <v>262</v>
      </c>
      <c r="P20">
        <v>23290191</v>
      </c>
      <c r="Q20" t="s">
        <v>372</v>
      </c>
      <c r="R20" t="s">
        <v>373</v>
      </c>
      <c r="S20">
        <v>9.5299999999999994</v>
      </c>
      <c r="T20">
        <v>250</v>
      </c>
      <c r="U20">
        <v>2382.5</v>
      </c>
      <c r="V20" t="str">
        <f t="shared" si="17"/>
        <v>Accepted</v>
      </c>
      <c r="W20">
        <f>IFERROR(VLOOKUP(N20, Payment_Terms!A:B, 2, FALSE), "Payment term not found!")</f>
        <v>30</v>
      </c>
      <c r="X20" t="str">
        <f>IFERROR(VLOOKUP(R20, Item_Category!A:B, 2, FALSE), "Uncategorized")</f>
        <v>HCL</v>
      </c>
      <c r="Y20" s="5">
        <f t="shared" si="4"/>
        <v>0.43</v>
      </c>
      <c r="Z20">
        <f t="shared" si="5"/>
        <v>1</v>
      </c>
      <c r="AA20">
        <f t="shared" si="6"/>
        <v>-2</v>
      </c>
      <c r="AB20">
        <f t="shared" si="7"/>
        <v>5</v>
      </c>
      <c r="AC20" s="10">
        <f t="shared" si="8"/>
        <v>8</v>
      </c>
      <c r="AD20" s="5">
        <f t="shared" si="0"/>
        <v>1</v>
      </c>
      <c r="AE20" s="5">
        <f t="shared" si="1"/>
        <v>1</v>
      </c>
      <c r="AF20" s="5">
        <f t="shared" si="9"/>
        <v>0</v>
      </c>
      <c r="AG20">
        <f>IF(B20&lt;&gt;"", COUNTIFS($B$2:B20, B20), "")</f>
        <v>1</v>
      </c>
      <c r="AH20">
        <f t="shared" si="10"/>
        <v>5</v>
      </c>
      <c r="AI20" t="str">
        <f>VLOOKUP(B20, Currency!A:B, 2, FALSE)</f>
        <v>INR</v>
      </c>
      <c r="AJ20">
        <f t="shared" si="2"/>
        <v>4</v>
      </c>
      <c r="AK20">
        <f t="shared" si="11"/>
        <v>4</v>
      </c>
      <c r="AL20" t="str">
        <f t="shared" si="12"/>
        <v>April</v>
      </c>
      <c r="AM20">
        <f t="shared" si="13"/>
        <v>2023</v>
      </c>
      <c r="AN20" t="str">
        <f t="shared" si="3"/>
        <v>30Duttchem Enterprise</v>
      </c>
      <c r="AO20">
        <f>IF(COUNTIF($AN$2:AN20, AN20)=1, 1, 0)</f>
        <v>1</v>
      </c>
      <c r="AP20" t="str">
        <f t="shared" si="14"/>
        <v>&gt;3</v>
      </c>
      <c r="AQ20" t="str">
        <f t="shared" si="15"/>
        <v>&lt;=3</v>
      </c>
      <c r="AR20" t="str">
        <f t="shared" si="16"/>
        <v>&gt;3</v>
      </c>
    </row>
    <row r="21" spans="1:44" x14ac:dyDescent="0.3">
      <c r="A21" t="s">
        <v>33</v>
      </c>
      <c r="B21" t="s">
        <v>386</v>
      </c>
      <c r="C21" t="s">
        <v>238</v>
      </c>
      <c r="D21">
        <v>1760</v>
      </c>
      <c r="E21">
        <v>23210140</v>
      </c>
      <c r="F21" t="s">
        <v>387</v>
      </c>
      <c r="G21" t="s">
        <v>388</v>
      </c>
      <c r="H21">
        <v>50</v>
      </c>
      <c r="I21">
        <v>85</v>
      </c>
      <c r="J21">
        <v>4250</v>
      </c>
      <c r="K21" t="str">
        <f>IFERROR(IF(B21&lt;&gt;"", TEXT(VLOOKUP(B21, 'Expected Date'!A:B, 2, FALSE) + DATE(RIGHT(C21,2),MID(C21,4,2),LEFT(C21,2)), "dd/mm/yy"), ""), "")</f>
        <v>09/05/23</v>
      </c>
      <c r="L21" t="s">
        <v>38</v>
      </c>
      <c r="M21" t="s">
        <v>48</v>
      </c>
      <c r="N21" t="s">
        <v>342</v>
      </c>
      <c r="O21" t="s">
        <v>145</v>
      </c>
      <c r="P21">
        <v>23290232</v>
      </c>
      <c r="Q21" t="s">
        <v>387</v>
      </c>
      <c r="R21" t="s">
        <v>388</v>
      </c>
      <c r="S21">
        <v>50</v>
      </c>
      <c r="T21">
        <v>85</v>
      </c>
      <c r="U21">
        <v>4250</v>
      </c>
      <c r="V21" t="str">
        <f t="shared" si="17"/>
        <v>Accepted</v>
      </c>
      <c r="W21">
        <f>IFERROR(VLOOKUP(N21, Payment_Terms!A:B, 2, FALSE), "Payment term not found!")</f>
        <v>30</v>
      </c>
      <c r="X21" t="str">
        <f>IFERROR(VLOOKUP(R21, Item_Category!A:B, 2, FALSE), "Uncategorized")</f>
        <v>Clips</v>
      </c>
      <c r="Y21" s="5">
        <f t="shared" si="4"/>
        <v>0</v>
      </c>
      <c r="Z21">
        <f t="shared" si="5"/>
        <v>5</v>
      </c>
      <c r="AA21">
        <f t="shared" si="6"/>
        <v>-2</v>
      </c>
      <c r="AB21">
        <f t="shared" si="7"/>
        <v>5</v>
      </c>
      <c r="AC21" s="10">
        <f t="shared" si="8"/>
        <v>3</v>
      </c>
      <c r="AD21" s="5">
        <f t="shared" si="0"/>
        <v>1</v>
      </c>
      <c r="AE21" s="5">
        <f t="shared" si="1"/>
        <v>1</v>
      </c>
      <c r="AF21" s="5">
        <f t="shared" si="9"/>
        <v>0</v>
      </c>
      <c r="AG21">
        <f>IF(B21&lt;&gt;"", COUNTIFS($B$2:B21, B21), "")</f>
        <v>1</v>
      </c>
      <c r="AH21">
        <f t="shared" si="10"/>
        <v>5</v>
      </c>
      <c r="AI21" t="str">
        <f>VLOOKUP(B21, Currency!A:B, 2, FALSE)</f>
        <v>INR</v>
      </c>
      <c r="AJ21">
        <f t="shared" si="2"/>
        <v>5</v>
      </c>
      <c r="AK21">
        <f t="shared" si="11"/>
        <v>5</v>
      </c>
      <c r="AL21" t="str">
        <f t="shared" si="12"/>
        <v>May</v>
      </c>
      <c r="AM21">
        <f t="shared" si="13"/>
        <v>2023</v>
      </c>
      <c r="AN21" t="str">
        <f t="shared" si="3"/>
        <v>30Shree Shyam Enterprises</v>
      </c>
      <c r="AO21">
        <f>IF(COUNTIF($AN$2:AN21, AN21)=1, 1, 0)</f>
        <v>1</v>
      </c>
      <c r="AP21" t="str">
        <f t="shared" si="14"/>
        <v>&gt;3</v>
      </c>
      <c r="AQ21" t="str">
        <f t="shared" si="15"/>
        <v>&gt;3</v>
      </c>
      <c r="AR21" t="str">
        <f t="shared" si="16"/>
        <v>&gt;3</v>
      </c>
    </row>
    <row r="22" spans="1:44" x14ac:dyDescent="0.3">
      <c r="A22" t="s">
        <v>95</v>
      </c>
      <c r="B22" t="s">
        <v>96</v>
      </c>
      <c r="C22" t="s">
        <v>97</v>
      </c>
      <c r="D22">
        <v>1237</v>
      </c>
      <c r="E22">
        <v>23220006</v>
      </c>
      <c r="F22" t="s">
        <v>389</v>
      </c>
      <c r="G22" t="s">
        <v>390</v>
      </c>
      <c r="H22">
        <v>75</v>
      </c>
      <c r="I22">
        <v>1025</v>
      </c>
      <c r="J22">
        <v>6234562.5</v>
      </c>
      <c r="K22" t="str">
        <f>IFERROR(IF(B22&lt;&gt;"", TEXT(VLOOKUP(B22, 'Expected Date'!A:B, 2, FALSE) + DATE(RIGHT(C22,2),MID(C22,4,2),LEFT(C22,2)), "dd/mm/yy"), ""), "")</f>
        <v>10/06/23</v>
      </c>
      <c r="L22" t="s">
        <v>38</v>
      </c>
      <c r="M22" t="s">
        <v>101</v>
      </c>
      <c r="N22" t="s">
        <v>102</v>
      </c>
      <c r="O22" t="s">
        <v>391</v>
      </c>
      <c r="P22">
        <v>23290902</v>
      </c>
      <c r="Q22" t="s">
        <v>389</v>
      </c>
      <c r="R22" t="s">
        <v>390</v>
      </c>
      <c r="S22">
        <v>77.277000000000001</v>
      </c>
      <c r="T22">
        <v>1025</v>
      </c>
      <c r="U22">
        <v>6459488.2400000002</v>
      </c>
      <c r="V22" t="str">
        <f t="shared" si="17"/>
        <v>Accepted</v>
      </c>
      <c r="W22">
        <f>IFERROR(VLOOKUP(N22, Payment_Terms!A:B, 2, FALSE), "Payment term not found!")</f>
        <v>60</v>
      </c>
      <c r="X22" t="str">
        <f>IFERROR(VLOOKUP(R22, Item_Category!A:B, 2, FALSE), "Uncategorized")</f>
        <v>Wood pulp</v>
      </c>
      <c r="Y22" s="5">
        <f t="shared" si="4"/>
        <v>0</v>
      </c>
      <c r="Z22">
        <f t="shared" si="5"/>
        <v>5</v>
      </c>
      <c r="AA22">
        <f t="shared" si="6"/>
        <v>34</v>
      </c>
      <c r="AB22">
        <f t="shared" si="7"/>
        <v>1</v>
      </c>
      <c r="AC22" s="10">
        <f t="shared" si="8"/>
        <v>94</v>
      </c>
      <c r="AD22" s="5">
        <f t="shared" si="0"/>
        <v>1</v>
      </c>
      <c r="AE22" s="5">
        <f t="shared" si="1"/>
        <v>1</v>
      </c>
      <c r="AF22" s="5">
        <f t="shared" si="9"/>
        <v>0</v>
      </c>
      <c r="AG22">
        <f>IF(B22&lt;&gt;"", COUNTIFS($B$2:B22, B22), "")</f>
        <v>1</v>
      </c>
      <c r="AH22">
        <f t="shared" si="10"/>
        <v>5</v>
      </c>
      <c r="AI22" t="str">
        <f>VLOOKUP(B22, Currency!A:B, 2, FALSE)</f>
        <v>USD</v>
      </c>
      <c r="AJ22">
        <f t="shared" si="2"/>
        <v>4</v>
      </c>
      <c r="AK22">
        <f t="shared" si="11"/>
        <v>4</v>
      </c>
      <c r="AL22" t="str">
        <f t="shared" si="12"/>
        <v>April</v>
      </c>
      <c r="AM22">
        <f t="shared" si="13"/>
        <v>2023</v>
      </c>
      <c r="AN22" t="str">
        <f t="shared" si="3"/>
        <v>60G P Cellulose GMBH</v>
      </c>
      <c r="AO22">
        <f>IF(COUNTIF($AN$2:AN22, AN22)=1, 1, 0)</f>
        <v>1</v>
      </c>
      <c r="AP22" t="str">
        <f t="shared" si="14"/>
        <v>&gt;3</v>
      </c>
      <c r="AQ22" t="str">
        <f t="shared" si="15"/>
        <v>&gt;3</v>
      </c>
      <c r="AR22" t="str">
        <f t="shared" si="16"/>
        <v>&lt;=3</v>
      </c>
    </row>
    <row r="23" spans="1:44" x14ac:dyDescent="0.3">
      <c r="A23" t="s">
        <v>33</v>
      </c>
      <c r="B23" t="s">
        <v>366</v>
      </c>
      <c r="C23" t="s">
        <v>52</v>
      </c>
      <c r="D23">
        <v>3770</v>
      </c>
      <c r="E23">
        <v>23210546</v>
      </c>
      <c r="F23" t="s">
        <v>392</v>
      </c>
      <c r="G23" t="s">
        <v>393</v>
      </c>
      <c r="H23">
        <v>150</v>
      </c>
      <c r="I23">
        <v>9850</v>
      </c>
      <c r="J23">
        <v>1477500</v>
      </c>
      <c r="K23" t="str">
        <f>IFERROR(IF(B23&lt;&gt;"", TEXT(VLOOKUP(B23, 'Expected Date'!A:B, 2, FALSE) + DATE(RIGHT(C23,2),MID(C23,4,2),LEFT(C23,2)), "dd/mm/yy"), ""), "")</f>
        <v>18/08/23</v>
      </c>
      <c r="L23" t="s">
        <v>68</v>
      </c>
      <c r="M23" t="s">
        <v>48</v>
      </c>
      <c r="N23" t="s">
        <v>370</v>
      </c>
      <c r="O23" t="s">
        <v>394</v>
      </c>
      <c r="P23">
        <v>23291126</v>
      </c>
      <c r="Q23" t="s">
        <v>392</v>
      </c>
      <c r="R23" t="s">
        <v>393</v>
      </c>
      <c r="S23">
        <v>27.93</v>
      </c>
      <c r="T23">
        <v>9850</v>
      </c>
      <c r="U23">
        <v>275110.5</v>
      </c>
      <c r="V23" t="str">
        <f t="shared" si="17"/>
        <v>Accepted</v>
      </c>
      <c r="W23">
        <f>IFERROR(VLOOKUP(N23, Payment_Terms!A:B, 2, FALSE), "Payment term not found!")</f>
        <v>15</v>
      </c>
      <c r="X23" t="str">
        <f>IFERROR(VLOOKUP(R23, Item_Category!A:B, 2, FALSE), "Uncategorized")</f>
        <v>Coal materials</v>
      </c>
      <c r="Y23" s="5">
        <f t="shared" si="4"/>
        <v>5.1333333333333259E-2</v>
      </c>
      <c r="Z23">
        <f t="shared" si="5"/>
        <v>2</v>
      </c>
      <c r="AA23">
        <f t="shared" si="6"/>
        <v>-1</v>
      </c>
      <c r="AB23">
        <f t="shared" si="7"/>
        <v>5</v>
      </c>
      <c r="AC23" s="10">
        <f t="shared" si="8"/>
        <v>1</v>
      </c>
      <c r="AD23" s="5">
        <f t="shared" si="0"/>
        <v>1</v>
      </c>
      <c r="AE23" s="5">
        <f t="shared" si="1"/>
        <v>1</v>
      </c>
      <c r="AF23" s="5">
        <f t="shared" si="9"/>
        <v>0</v>
      </c>
      <c r="AG23">
        <f>IF(B23&lt;&gt;"", COUNTIFS($B$2:B23, B23), "")</f>
        <v>7</v>
      </c>
      <c r="AH23">
        <f t="shared" si="10"/>
        <v>5</v>
      </c>
      <c r="AI23" t="str">
        <f>VLOOKUP(B23, Currency!A:B, 2, FALSE)</f>
        <v>INR</v>
      </c>
      <c r="AJ23">
        <f t="shared" si="2"/>
        <v>5</v>
      </c>
      <c r="AK23">
        <f t="shared" si="11"/>
        <v>8</v>
      </c>
      <c r="AL23" t="str">
        <f t="shared" si="12"/>
        <v>August</v>
      </c>
      <c r="AM23">
        <f t="shared" si="13"/>
        <v>2023</v>
      </c>
      <c r="AN23" t="str">
        <f t="shared" si="3"/>
        <v>15SKYWIN ENTERPRISE</v>
      </c>
      <c r="AO23">
        <f>IF(COUNTIF($AN$2:AN23, AN23)=1, 1, 0)</f>
        <v>0</v>
      </c>
      <c r="AP23" t="str">
        <f t="shared" si="14"/>
        <v>&gt;3</v>
      </c>
      <c r="AQ23" t="str">
        <f t="shared" si="15"/>
        <v>&lt;=3</v>
      </c>
      <c r="AR23" t="str">
        <f t="shared" si="16"/>
        <v>&gt;3</v>
      </c>
    </row>
    <row r="24" spans="1:44" x14ac:dyDescent="0.3">
      <c r="A24" t="s">
        <v>33</v>
      </c>
      <c r="B24" t="s">
        <v>395</v>
      </c>
      <c r="C24" t="s">
        <v>396</v>
      </c>
      <c r="D24">
        <v>1223</v>
      </c>
      <c r="E24">
        <v>23210016</v>
      </c>
      <c r="F24" t="s">
        <v>392</v>
      </c>
      <c r="G24" t="s">
        <v>393</v>
      </c>
      <c r="H24">
        <v>150</v>
      </c>
      <c r="I24">
        <v>10700</v>
      </c>
      <c r="J24">
        <v>1605000</v>
      </c>
      <c r="K24" t="str">
        <f>IFERROR(IF(B24&lt;&gt;"", TEXT(VLOOKUP(B24, 'Expected Date'!A:B, 2, FALSE) + DATE(RIGHT(C24,2),MID(C24,4,2),LEFT(C24,2)), "dd/mm/yy"), ""), "")</f>
        <v>12/04/23</v>
      </c>
      <c r="L24" t="s">
        <v>68</v>
      </c>
      <c r="M24" t="s">
        <v>48</v>
      </c>
      <c r="N24" t="s">
        <v>318</v>
      </c>
      <c r="O24" t="s">
        <v>97</v>
      </c>
      <c r="P24">
        <v>23290086</v>
      </c>
      <c r="Q24" t="s">
        <v>392</v>
      </c>
      <c r="R24" t="s">
        <v>393</v>
      </c>
      <c r="S24">
        <v>29.23</v>
      </c>
      <c r="T24">
        <v>10700</v>
      </c>
      <c r="U24">
        <v>312761</v>
      </c>
      <c r="V24" t="str">
        <f t="shared" si="17"/>
        <v>Accepted</v>
      </c>
      <c r="W24">
        <f>IFERROR(VLOOKUP(N24, Payment_Terms!A:B, 2, FALSE), "Payment term not found!")</f>
        <v>30</v>
      </c>
      <c r="X24" t="str">
        <f>IFERROR(VLOOKUP(R24, Item_Category!A:B, 2, FALSE), "Uncategorized")</f>
        <v>Coal materials</v>
      </c>
      <c r="Y24" s="5">
        <f t="shared" si="4"/>
        <v>0.41046666666666665</v>
      </c>
      <c r="Z24">
        <f t="shared" si="5"/>
        <v>1</v>
      </c>
      <c r="AA24">
        <f t="shared" si="6"/>
        <v>-1</v>
      </c>
      <c r="AB24">
        <f t="shared" si="7"/>
        <v>5</v>
      </c>
      <c r="AC24" s="10">
        <f t="shared" si="8"/>
        <v>4</v>
      </c>
      <c r="AD24" s="5">
        <f t="shared" si="0"/>
        <v>1</v>
      </c>
      <c r="AE24" s="5">
        <f t="shared" si="1"/>
        <v>1</v>
      </c>
      <c r="AF24" s="5">
        <f t="shared" si="9"/>
        <v>0</v>
      </c>
      <c r="AG24">
        <f>IF(B24&lt;&gt;"", COUNTIFS($B$2:B24, B24), "")</f>
        <v>1</v>
      </c>
      <c r="AH24">
        <f t="shared" si="10"/>
        <v>5</v>
      </c>
      <c r="AI24" t="str">
        <f>VLOOKUP(B24, Currency!A:B, 2, FALSE)</f>
        <v>INR</v>
      </c>
      <c r="AJ24">
        <f t="shared" si="2"/>
        <v>4</v>
      </c>
      <c r="AK24">
        <f t="shared" si="11"/>
        <v>4</v>
      </c>
      <c r="AL24" t="str">
        <f t="shared" si="12"/>
        <v>April</v>
      </c>
      <c r="AM24">
        <f t="shared" si="13"/>
        <v>2023</v>
      </c>
      <c r="AN24" t="str">
        <f t="shared" si="3"/>
        <v>30Crystal coal corporation</v>
      </c>
      <c r="AO24">
        <f>IF(COUNTIF($AN$2:AN24, AN24)=1, 1, 0)</f>
        <v>1</v>
      </c>
      <c r="AP24" t="str">
        <f t="shared" si="14"/>
        <v>&gt;3</v>
      </c>
      <c r="AQ24" t="str">
        <f t="shared" si="15"/>
        <v>&lt;=3</v>
      </c>
      <c r="AR24" t="str">
        <f t="shared" si="16"/>
        <v>&gt;3</v>
      </c>
    </row>
    <row r="25" spans="1:44" x14ac:dyDescent="0.3">
      <c r="A25" t="s">
        <v>33</v>
      </c>
      <c r="B25" t="s">
        <v>395</v>
      </c>
      <c r="C25" t="s">
        <v>396</v>
      </c>
      <c r="D25">
        <v>1223</v>
      </c>
      <c r="E25">
        <v>23210016</v>
      </c>
      <c r="F25" t="s">
        <v>392</v>
      </c>
      <c r="G25" t="s">
        <v>393</v>
      </c>
      <c r="H25">
        <v>150</v>
      </c>
      <c r="I25">
        <v>10700</v>
      </c>
      <c r="J25">
        <v>1605000</v>
      </c>
      <c r="K25" t="str">
        <f>IFERROR(IF(B25&lt;&gt;"", TEXT(VLOOKUP(B25, 'Expected Date'!A:B, 2, FALSE) + DATE(RIGHT(C25,2),MID(C25,4,2),LEFT(C25,2)), "dd/mm/yy"), ""), "")</f>
        <v>12/04/23</v>
      </c>
      <c r="L25" t="s">
        <v>68</v>
      </c>
      <c r="M25" t="s">
        <v>48</v>
      </c>
      <c r="N25" t="s">
        <v>318</v>
      </c>
      <c r="O25" t="s">
        <v>374</v>
      </c>
      <c r="P25">
        <v>23290087</v>
      </c>
      <c r="Q25" t="s">
        <v>392</v>
      </c>
      <c r="R25" t="s">
        <v>393</v>
      </c>
      <c r="S25">
        <v>31.53</v>
      </c>
      <c r="T25">
        <v>10700</v>
      </c>
      <c r="U25">
        <v>337371</v>
      </c>
      <c r="V25" t="str">
        <f t="shared" si="17"/>
        <v>Accepted</v>
      </c>
      <c r="W25">
        <f>IFERROR(VLOOKUP(N25, Payment_Terms!A:B, 2, FALSE), "Payment term not found!")</f>
        <v>30</v>
      </c>
      <c r="X25" t="str">
        <f>IFERROR(VLOOKUP(R25, Item_Category!A:B, 2, FALSE), "Uncategorized")</f>
        <v>Coal materials</v>
      </c>
      <c r="Y25" s="5">
        <f t="shared" si="4"/>
        <v>0.41046666666666665</v>
      </c>
      <c r="Z25">
        <f t="shared" si="5"/>
        <v>1</v>
      </c>
      <c r="AA25">
        <f t="shared" si="6"/>
        <v>1</v>
      </c>
      <c r="AB25">
        <f t="shared" si="7"/>
        <v>5</v>
      </c>
      <c r="AC25" s="10">
        <f t="shared" si="8"/>
        <v>6</v>
      </c>
      <c r="AD25" s="5">
        <f t="shared" si="0"/>
        <v>1</v>
      </c>
      <c r="AE25" s="5">
        <f t="shared" si="1"/>
        <v>1</v>
      </c>
      <c r="AF25" s="5">
        <f t="shared" si="9"/>
        <v>0</v>
      </c>
      <c r="AG25">
        <f>IF(B25&lt;&gt;"", COUNTIFS($B$2:B25, B25), "")</f>
        <v>2</v>
      </c>
      <c r="AH25">
        <f t="shared" si="10"/>
        <v>5</v>
      </c>
      <c r="AI25" t="str">
        <f>VLOOKUP(B25, Currency!A:B, 2, FALSE)</f>
        <v>INR</v>
      </c>
      <c r="AJ25">
        <f t="shared" si="2"/>
        <v>4</v>
      </c>
      <c r="AK25">
        <f t="shared" si="11"/>
        <v>4</v>
      </c>
      <c r="AL25" t="str">
        <f t="shared" si="12"/>
        <v>April</v>
      </c>
      <c r="AM25">
        <f t="shared" si="13"/>
        <v>2023</v>
      </c>
      <c r="AN25" t="str">
        <f t="shared" si="3"/>
        <v>30Crystal coal corporation</v>
      </c>
      <c r="AO25">
        <f>IF(COUNTIF($AN$2:AN25, AN25)=1, 1, 0)</f>
        <v>0</v>
      </c>
      <c r="AP25" t="str">
        <f t="shared" si="14"/>
        <v>&gt;3</v>
      </c>
      <c r="AQ25" t="str">
        <f t="shared" si="15"/>
        <v>&lt;=3</v>
      </c>
      <c r="AR25" t="str">
        <f t="shared" si="16"/>
        <v>&gt;3</v>
      </c>
    </row>
    <row r="26" spans="1:44" x14ac:dyDescent="0.3">
      <c r="A26" t="s">
        <v>33</v>
      </c>
      <c r="B26" t="s">
        <v>347</v>
      </c>
      <c r="C26" t="s">
        <v>397</v>
      </c>
      <c r="D26">
        <v>1179</v>
      </c>
      <c r="E26">
        <v>23210005</v>
      </c>
      <c r="F26" t="s">
        <v>349</v>
      </c>
      <c r="G26" t="s">
        <v>350</v>
      </c>
      <c r="H26">
        <v>24</v>
      </c>
      <c r="I26">
        <v>43080</v>
      </c>
      <c r="J26">
        <v>1033920</v>
      </c>
      <c r="K26" t="str">
        <f>IFERROR(IF(B26&lt;&gt;"", TEXT(VLOOKUP(B26, 'Expected Date'!A:B, 2, FALSE) + DATE(RIGHT(C26,2),MID(C26,4,2),LEFT(C26,2)), "dd/mm/yy"), ""), "")</f>
        <v>06/04/23</v>
      </c>
      <c r="L26" t="s">
        <v>68</v>
      </c>
      <c r="M26" t="s">
        <v>285</v>
      </c>
      <c r="N26" t="s">
        <v>351</v>
      </c>
      <c r="O26" t="s">
        <v>124</v>
      </c>
      <c r="P26">
        <v>23290095</v>
      </c>
      <c r="Q26" t="s">
        <v>349</v>
      </c>
      <c r="R26" t="s">
        <v>350</v>
      </c>
      <c r="S26">
        <v>22.53</v>
      </c>
      <c r="T26">
        <v>43080</v>
      </c>
      <c r="U26">
        <v>970592.4</v>
      </c>
      <c r="V26" t="str">
        <f t="shared" si="17"/>
        <v>Accepted</v>
      </c>
      <c r="W26">
        <f>IFERROR(VLOOKUP(N26, Payment_Terms!A:B, 2, FALSE), "Payment term not found!")</f>
        <v>0</v>
      </c>
      <c r="X26" t="str">
        <f>IFERROR(VLOOKUP(R26, Item_Category!A:B, 2, FALSE), "Uncategorized")</f>
        <v>Oil</v>
      </c>
      <c r="Y26" s="5">
        <f t="shared" si="4"/>
        <v>6.124999999999995E-2</v>
      </c>
      <c r="Z26">
        <f t="shared" si="5"/>
        <v>2</v>
      </c>
      <c r="AA26">
        <f t="shared" si="6"/>
        <v>12</v>
      </c>
      <c r="AB26">
        <f t="shared" si="7"/>
        <v>1</v>
      </c>
      <c r="AC26" s="10">
        <f t="shared" si="8"/>
        <v>13</v>
      </c>
      <c r="AD26" s="5">
        <f t="shared" si="0"/>
        <v>1</v>
      </c>
      <c r="AE26" s="5">
        <f t="shared" si="1"/>
        <v>1</v>
      </c>
      <c r="AF26" s="5">
        <f t="shared" si="9"/>
        <v>0</v>
      </c>
      <c r="AG26">
        <f>IF(B26&lt;&gt;"", COUNTIFS($B$2:B26, B26), "")</f>
        <v>3</v>
      </c>
      <c r="AH26">
        <f t="shared" si="10"/>
        <v>5</v>
      </c>
      <c r="AI26" t="str">
        <f>VLOOKUP(B26, Currency!A:B, 2, FALSE)</f>
        <v>INR</v>
      </c>
      <c r="AJ26">
        <f t="shared" si="2"/>
        <v>3</v>
      </c>
      <c r="AK26">
        <f t="shared" si="11"/>
        <v>4</v>
      </c>
      <c r="AL26" t="str">
        <f t="shared" si="12"/>
        <v>April</v>
      </c>
      <c r="AM26">
        <f t="shared" si="13"/>
        <v>2023</v>
      </c>
      <c r="AN26" t="str">
        <f t="shared" si="3"/>
        <v>0Bharat Petroleum Corporation Ltd</v>
      </c>
      <c r="AO26">
        <f>IF(COUNTIF($AN$2:AN26, AN26)=1, 1, 0)</f>
        <v>0</v>
      </c>
      <c r="AP26" t="str">
        <f t="shared" si="14"/>
        <v>&gt;3</v>
      </c>
      <c r="AQ26" t="str">
        <f t="shared" si="15"/>
        <v>&lt;=3</v>
      </c>
      <c r="AR26" t="str">
        <f t="shared" si="16"/>
        <v>&lt;=3</v>
      </c>
    </row>
    <row r="27" spans="1:44" x14ac:dyDescent="0.3">
      <c r="A27" t="s">
        <v>33</v>
      </c>
      <c r="B27" t="s">
        <v>366</v>
      </c>
      <c r="C27" t="s">
        <v>398</v>
      </c>
      <c r="D27">
        <v>1761</v>
      </c>
      <c r="E27">
        <v>23210141</v>
      </c>
      <c r="F27" t="s">
        <v>368</v>
      </c>
      <c r="G27" t="s">
        <v>369</v>
      </c>
      <c r="H27">
        <v>100000</v>
      </c>
      <c r="I27">
        <v>8.6</v>
      </c>
      <c r="J27">
        <v>860000</v>
      </c>
      <c r="K27" t="str">
        <f>IFERROR(IF(B27&lt;&gt;"", TEXT(VLOOKUP(B27, 'Expected Date'!A:B, 2, FALSE) + DATE(RIGHT(C27,2),MID(C27,4,2),LEFT(C27,2)), "dd/mm/yy"), ""), "")</f>
        <v>03/05/23</v>
      </c>
      <c r="L27" t="s">
        <v>68</v>
      </c>
      <c r="M27" t="s">
        <v>48</v>
      </c>
      <c r="N27" t="s">
        <v>370</v>
      </c>
      <c r="O27" t="s">
        <v>238</v>
      </c>
      <c r="P27">
        <v>23290229</v>
      </c>
      <c r="Q27" t="s">
        <v>368</v>
      </c>
      <c r="R27" t="s">
        <v>369</v>
      </c>
      <c r="S27">
        <v>32730</v>
      </c>
      <c r="T27">
        <v>8.6</v>
      </c>
      <c r="U27">
        <v>281478</v>
      </c>
      <c r="V27" t="str">
        <f t="shared" si="17"/>
        <v>Accepted</v>
      </c>
      <c r="W27">
        <f>IFERROR(VLOOKUP(N27, Payment_Terms!A:B, 2, FALSE), "Payment term not found!")</f>
        <v>15</v>
      </c>
      <c r="X27" t="str">
        <f>IFERROR(VLOOKUP(R27, Item_Category!A:B, 2, FALSE), "Uncategorized")</f>
        <v>Coal materials</v>
      </c>
      <c r="Y27" s="5">
        <f t="shared" si="4"/>
        <v>3.0700000000000002E-2</v>
      </c>
      <c r="Z27">
        <f t="shared" si="5"/>
        <v>3</v>
      </c>
      <c r="AA27">
        <f t="shared" si="6"/>
        <v>1</v>
      </c>
      <c r="AB27">
        <f t="shared" si="7"/>
        <v>5</v>
      </c>
      <c r="AC27" s="10">
        <f t="shared" si="8"/>
        <v>3</v>
      </c>
      <c r="AD27" s="5">
        <f t="shared" si="0"/>
        <v>1</v>
      </c>
      <c r="AE27" s="5">
        <f t="shared" si="1"/>
        <v>1</v>
      </c>
      <c r="AF27" s="5">
        <f t="shared" si="9"/>
        <v>0</v>
      </c>
      <c r="AG27">
        <f>IF(B27&lt;&gt;"", COUNTIFS($B$2:B27, B27), "")</f>
        <v>8</v>
      </c>
      <c r="AH27">
        <f t="shared" si="10"/>
        <v>5</v>
      </c>
      <c r="AI27" t="str">
        <f>VLOOKUP(B27, Currency!A:B, 2, FALSE)</f>
        <v>INR</v>
      </c>
      <c r="AJ27">
        <f t="shared" si="2"/>
        <v>5</v>
      </c>
      <c r="AK27">
        <f t="shared" si="11"/>
        <v>5</v>
      </c>
      <c r="AL27" t="str">
        <f t="shared" si="12"/>
        <v>May</v>
      </c>
      <c r="AM27">
        <f t="shared" si="13"/>
        <v>2023</v>
      </c>
      <c r="AN27" t="str">
        <f t="shared" si="3"/>
        <v>15SKYWIN ENTERPRISE</v>
      </c>
      <c r="AO27">
        <f>IF(COUNTIF($AN$2:AN27, AN27)=1, 1, 0)</f>
        <v>0</v>
      </c>
      <c r="AP27" t="str">
        <f t="shared" si="14"/>
        <v>&gt;3</v>
      </c>
      <c r="AQ27" t="str">
        <f t="shared" si="15"/>
        <v>&lt;=3</v>
      </c>
      <c r="AR27" t="str">
        <f t="shared" si="16"/>
        <v>&gt;3</v>
      </c>
    </row>
    <row r="28" spans="1:44" x14ac:dyDescent="0.3">
      <c r="A28" t="s">
        <v>33</v>
      </c>
      <c r="B28" t="s">
        <v>386</v>
      </c>
      <c r="C28" t="s">
        <v>238</v>
      </c>
      <c r="D28">
        <v>1760</v>
      </c>
      <c r="E28">
        <v>23210140</v>
      </c>
      <c r="F28" t="s">
        <v>399</v>
      </c>
      <c r="G28" t="s">
        <v>400</v>
      </c>
      <c r="H28">
        <v>242</v>
      </c>
      <c r="I28">
        <v>62</v>
      </c>
      <c r="J28">
        <v>15004</v>
      </c>
      <c r="K28" t="str">
        <f>IFERROR(IF(B28&lt;&gt;"", TEXT(VLOOKUP(B28, 'Expected Date'!A:B, 2, FALSE) + DATE(RIGHT(C28,2),MID(C28,4,2),LEFT(C28,2)), "dd/mm/yy"), ""), "")</f>
        <v>09/05/23</v>
      </c>
      <c r="L28" t="s">
        <v>38</v>
      </c>
      <c r="M28" t="s">
        <v>39</v>
      </c>
      <c r="N28" t="s">
        <v>342</v>
      </c>
      <c r="O28" t="s">
        <v>145</v>
      </c>
      <c r="P28">
        <v>23290232</v>
      </c>
      <c r="Q28" t="s">
        <v>399</v>
      </c>
      <c r="R28" t="s">
        <v>400</v>
      </c>
      <c r="S28">
        <v>242</v>
      </c>
      <c r="T28">
        <v>62</v>
      </c>
      <c r="U28">
        <v>15004</v>
      </c>
      <c r="V28" t="str">
        <f t="shared" si="17"/>
        <v>Accepted</v>
      </c>
      <c r="W28">
        <f>IFERROR(VLOOKUP(N28, Payment_Terms!A:B, 2, FALSE), "Payment term not found!")</f>
        <v>30</v>
      </c>
      <c r="X28" t="str">
        <f>IFERROR(VLOOKUP(R28, Item_Category!A:B, 2, FALSE), "Uncategorized")</f>
        <v>Ply sheets</v>
      </c>
      <c r="Y28" s="5">
        <f t="shared" si="4"/>
        <v>0</v>
      </c>
      <c r="Z28">
        <f t="shared" si="5"/>
        <v>5</v>
      </c>
      <c r="AA28">
        <f t="shared" si="6"/>
        <v>-2</v>
      </c>
      <c r="AB28">
        <f t="shared" si="7"/>
        <v>5</v>
      </c>
      <c r="AC28" s="10">
        <f t="shared" si="8"/>
        <v>3</v>
      </c>
      <c r="AD28" s="5">
        <f t="shared" si="0"/>
        <v>1</v>
      </c>
      <c r="AE28" s="5">
        <f t="shared" si="1"/>
        <v>1</v>
      </c>
      <c r="AF28" s="5">
        <f t="shared" si="9"/>
        <v>0</v>
      </c>
      <c r="AG28">
        <f>IF(B28&lt;&gt;"", COUNTIFS($B$2:B28, B28), "")</f>
        <v>2</v>
      </c>
      <c r="AH28">
        <f t="shared" si="10"/>
        <v>5</v>
      </c>
      <c r="AI28" t="str">
        <f>VLOOKUP(B28, Currency!A:B, 2, FALSE)</f>
        <v>INR</v>
      </c>
      <c r="AJ28">
        <f t="shared" si="2"/>
        <v>5</v>
      </c>
      <c r="AK28">
        <f t="shared" si="11"/>
        <v>5</v>
      </c>
      <c r="AL28" t="str">
        <f t="shared" si="12"/>
        <v>May</v>
      </c>
      <c r="AM28">
        <f t="shared" si="13"/>
        <v>2023</v>
      </c>
      <c r="AN28" t="str">
        <f t="shared" si="3"/>
        <v>30Shree Shyam Enterprises</v>
      </c>
      <c r="AO28">
        <f>IF(COUNTIF($AN$2:AN28, AN28)=1, 1, 0)</f>
        <v>0</v>
      </c>
      <c r="AP28" t="str">
        <f t="shared" si="14"/>
        <v>&gt;3</v>
      </c>
      <c r="AQ28" t="str">
        <f t="shared" si="15"/>
        <v>&gt;3</v>
      </c>
      <c r="AR28" t="str">
        <f t="shared" si="16"/>
        <v>&gt;3</v>
      </c>
    </row>
    <row r="29" spans="1:44" x14ac:dyDescent="0.3">
      <c r="A29" t="s">
        <v>33</v>
      </c>
      <c r="B29" t="s">
        <v>366</v>
      </c>
      <c r="C29" t="s">
        <v>398</v>
      </c>
      <c r="D29">
        <v>1761</v>
      </c>
      <c r="E29">
        <v>23210141</v>
      </c>
      <c r="F29" t="s">
        <v>368</v>
      </c>
      <c r="G29" t="s">
        <v>369</v>
      </c>
      <c r="H29">
        <v>100000</v>
      </c>
      <c r="I29">
        <v>8.6</v>
      </c>
      <c r="J29">
        <v>860000</v>
      </c>
      <c r="K29" t="str">
        <f>IFERROR(IF(B29&lt;&gt;"", TEXT(VLOOKUP(B29, 'Expected Date'!A:B, 2, FALSE) + DATE(RIGHT(C29,2),MID(C29,4,2),LEFT(C29,2)), "dd/mm/yy"), ""), "")</f>
        <v>03/05/23</v>
      </c>
      <c r="L29" t="s">
        <v>68</v>
      </c>
      <c r="M29" t="s">
        <v>48</v>
      </c>
      <c r="N29" t="s">
        <v>370</v>
      </c>
      <c r="O29" t="s">
        <v>141</v>
      </c>
      <c r="P29">
        <v>23290233</v>
      </c>
      <c r="Q29" t="s">
        <v>368</v>
      </c>
      <c r="R29" t="s">
        <v>369</v>
      </c>
      <c r="S29">
        <v>29030</v>
      </c>
      <c r="T29">
        <v>8.6</v>
      </c>
      <c r="U29">
        <v>249658</v>
      </c>
      <c r="V29" t="str">
        <f t="shared" si="17"/>
        <v>Accepted</v>
      </c>
      <c r="W29">
        <f>IFERROR(VLOOKUP(N29, Payment_Terms!A:B, 2, FALSE), "Payment term not found!")</f>
        <v>15</v>
      </c>
      <c r="X29" t="str">
        <f>IFERROR(VLOOKUP(R29, Item_Category!A:B, 2, FALSE), "Uncategorized")</f>
        <v>Coal materials</v>
      </c>
      <c r="Y29" s="5">
        <f t="shared" si="4"/>
        <v>3.0700000000000002E-2</v>
      </c>
      <c r="Z29">
        <f t="shared" si="5"/>
        <v>3</v>
      </c>
      <c r="AA29">
        <f t="shared" si="6"/>
        <v>5</v>
      </c>
      <c r="AB29">
        <f t="shared" si="7"/>
        <v>3</v>
      </c>
      <c r="AC29" s="10">
        <f t="shared" si="8"/>
        <v>7</v>
      </c>
      <c r="AD29" s="5">
        <f t="shared" si="0"/>
        <v>1</v>
      </c>
      <c r="AE29" s="5">
        <f t="shared" si="1"/>
        <v>1</v>
      </c>
      <c r="AF29" s="5">
        <f t="shared" si="9"/>
        <v>0</v>
      </c>
      <c r="AG29">
        <f>IF(B29&lt;&gt;"", COUNTIFS($B$2:B29, B29), "")</f>
        <v>9</v>
      </c>
      <c r="AH29">
        <f t="shared" si="10"/>
        <v>5</v>
      </c>
      <c r="AI29" t="str">
        <f>VLOOKUP(B29, Currency!A:B, 2, FALSE)</f>
        <v>INR</v>
      </c>
      <c r="AJ29">
        <f t="shared" si="2"/>
        <v>4</v>
      </c>
      <c r="AK29">
        <f t="shared" si="11"/>
        <v>5</v>
      </c>
      <c r="AL29" t="str">
        <f t="shared" si="12"/>
        <v>May</v>
      </c>
      <c r="AM29">
        <f t="shared" si="13"/>
        <v>2023</v>
      </c>
      <c r="AN29" t="str">
        <f t="shared" si="3"/>
        <v>15SKYWIN ENTERPRISE</v>
      </c>
      <c r="AO29">
        <f>IF(COUNTIF($AN$2:AN29, AN29)=1, 1, 0)</f>
        <v>0</v>
      </c>
      <c r="AP29" t="str">
        <f t="shared" si="14"/>
        <v>&gt;3</v>
      </c>
      <c r="AQ29" t="str">
        <f t="shared" si="15"/>
        <v>&lt;=3</v>
      </c>
      <c r="AR29" t="str">
        <f t="shared" si="16"/>
        <v>&lt;=3</v>
      </c>
    </row>
    <row r="30" spans="1:44" x14ac:dyDescent="0.3">
      <c r="A30" t="s">
        <v>33</v>
      </c>
      <c r="B30" t="s">
        <v>366</v>
      </c>
      <c r="C30" t="s">
        <v>398</v>
      </c>
      <c r="D30">
        <v>1761</v>
      </c>
      <c r="E30">
        <v>23210141</v>
      </c>
      <c r="F30" t="s">
        <v>368</v>
      </c>
      <c r="G30" t="s">
        <v>369</v>
      </c>
      <c r="H30">
        <v>100000</v>
      </c>
      <c r="I30">
        <v>8.6</v>
      </c>
      <c r="J30">
        <v>860000</v>
      </c>
      <c r="K30" t="str">
        <f>IFERROR(IF(B30&lt;&gt;"", TEXT(VLOOKUP(B30, 'Expected Date'!A:B, 2, FALSE) + DATE(RIGHT(C30,2),MID(C30,4,2),LEFT(C30,2)), "dd/mm/yy"), ""), "")</f>
        <v>03/05/23</v>
      </c>
      <c r="L30" t="s">
        <v>68</v>
      </c>
      <c r="M30" t="s">
        <v>48</v>
      </c>
      <c r="N30" t="s">
        <v>370</v>
      </c>
      <c r="O30" t="s">
        <v>108</v>
      </c>
      <c r="P30">
        <v>23290237</v>
      </c>
      <c r="Q30" t="s">
        <v>368</v>
      </c>
      <c r="R30" t="s">
        <v>369</v>
      </c>
      <c r="S30">
        <v>35170</v>
      </c>
      <c r="T30">
        <v>8.6</v>
      </c>
      <c r="U30">
        <v>302462</v>
      </c>
      <c r="V30" t="str">
        <f t="shared" si="17"/>
        <v>Accepted</v>
      </c>
      <c r="W30">
        <f>IFERROR(VLOOKUP(N30, Payment_Terms!A:B, 2, FALSE), "Payment term not found!")</f>
        <v>15</v>
      </c>
      <c r="X30" t="str">
        <f>IFERROR(VLOOKUP(R30, Item_Category!A:B, 2, FALSE), "Uncategorized")</f>
        <v>Coal materials</v>
      </c>
      <c r="Y30" s="5">
        <f t="shared" si="4"/>
        <v>3.0700000000000002E-2</v>
      </c>
      <c r="Z30">
        <f t="shared" si="5"/>
        <v>3</v>
      </c>
      <c r="AA30">
        <f t="shared" si="6"/>
        <v>7</v>
      </c>
      <c r="AB30">
        <f t="shared" si="7"/>
        <v>3</v>
      </c>
      <c r="AC30" s="10">
        <f t="shared" si="8"/>
        <v>9</v>
      </c>
      <c r="AD30" s="5">
        <f t="shared" si="0"/>
        <v>1</v>
      </c>
      <c r="AE30" s="5">
        <f t="shared" si="1"/>
        <v>1</v>
      </c>
      <c r="AF30" s="5">
        <f t="shared" si="9"/>
        <v>0</v>
      </c>
      <c r="AG30">
        <f>IF(B30&lt;&gt;"", COUNTIFS($B$2:B30, B30), "")</f>
        <v>10</v>
      </c>
      <c r="AH30">
        <f t="shared" si="10"/>
        <v>5</v>
      </c>
      <c r="AI30" t="str">
        <f>VLOOKUP(B30, Currency!A:B, 2, FALSE)</f>
        <v>INR</v>
      </c>
      <c r="AJ30">
        <f t="shared" si="2"/>
        <v>4</v>
      </c>
      <c r="AK30">
        <f t="shared" si="11"/>
        <v>5</v>
      </c>
      <c r="AL30" t="str">
        <f t="shared" si="12"/>
        <v>May</v>
      </c>
      <c r="AM30">
        <f t="shared" si="13"/>
        <v>2023</v>
      </c>
      <c r="AN30" t="str">
        <f t="shared" si="3"/>
        <v>15SKYWIN ENTERPRISE</v>
      </c>
      <c r="AO30">
        <f>IF(COUNTIF($AN$2:AN30, AN30)=1, 1, 0)</f>
        <v>0</v>
      </c>
      <c r="AP30" t="str">
        <f t="shared" si="14"/>
        <v>&gt;3</v>
      </c>
      <c r="AQ30" t="str">
        <f t="shared" si="15"/>
        <v>&lt;=3</v>
      </c>
      <c r="AR30" t="str">
        <f t="shared" si="16"/>
        <v>&lt;=3</v>
      </c>
    </row>
    <row r="31" spans="1:44" x14ac:dyDescent="0.3">
      <c r="A31" t="s">
        <v>111</v>
      </c>
      <c r="B31" t="s">
        <v>401</v>
      </c>
      <c r="C31" t="s">
        <v>108</v>
      </c>
      <c r="D31">
        <v>1818</v>
      </c>
      <c r="E31">
        <v>23220019</v>
      </c>
      <c r="F31" t="s">
        <v>402</v>
      </c>
      <c r="G31" t="s">
        <v>403</v>
      </c>
      <c r="H31">
        <v>5</v>
      </c>
      <c r="I31">
        <v>2550</v>
      </c>
      <c r="J31">
        <v>12750</v>
      </c>
      <c r="K31" t="str">
        <f>IFERROR(IF(B31&lt;&gt;"", TEXT(VLOOKUP(B31, 'Expected Date'!A:B, 2, FALSE) + DATE(RIGHT(C31,2),MID(C31,4,2),LEFT(C31,2)), "dd/mm/yy"), ""), "")</f>
        <v>18/05/23</v>
      </c>
      <c r="L31" t="s">
        <v>38</v>
      </c>
      <c r="M31" t="s">
        <v>48</v>
      </c>
      <c r="N31" t="s">
        <v>237</v>
      </c>
      <c r="O31" t="s">
        <v>108</v>
      </c>
      <c r="P31">
        <v>23290240</v>
      </c>
      <c r="Q31" t="s">
        <v>402</v>
      </c>
      <c r="R31" t="s">
        <v>403</v>
      </c>
      <c r="S31">
        <v>5</v>
      </c>
      <c r="T31">
        <v>2550</v>
      </c>
      <c r="U31">
        <v>12750</v>
      </c>
      <c r="V31" t="str">
        <f t="shared" si="17"/>
        <v>Accepted</v>
      </c>
      <c r="W31">
        <f>IFERROR(VLOOKUP(N31, Payment_Terms!A:B, 2, FALSE), "Payment term not found!")</f>
        <v>0</v>
      </c>
      <c r="X31" t="str">
        <f>IFERROR(VLOOKUP(R31, Item_Category!A:B, 2, FALSE), "Uncategorized")</f>
        <v xml:space="preserve">Metoprolol Succinate </v>
      </c>
      <c r="Y31" s="5">
        <f t="shared" si="4"/>
        <v>0</v>
      </c>
      <c r="Z31">
        <f t="shared" si="5"/>
        <v>5</v>
      </c>
      <c r="AA31">
        <f t="shared" si="6"/>
        <v>-8</v>
      </c>
      <c r="AB31">
        <f t="shared" si="7"/>
        <v>5</v>
      </c>
      <c r="AC31" s="10">
        <f t="shared" si="8"/>
        <v>0</v>
      </c>
      <c r="AD31" s="5">
        <f t="shared" si="0"/>
        <v>1</v>
      </c>
      <c r="AE31" s="5">
        <f t="shared" si="1"/>
        <v>1</v>
      </c>
      <c r="AF31" s="5">
        <f t="shared" si="9"/>
        <v>0</v>
      </c>
      <c r="AG31">
        <f>IF(B31&lt;&gt;"", COUNTIFS($B$2:B31, B31), "")</f>
        <v>1</v>
      </c>
      <c r="AH31">
        <f t="shared" si="10"/>
        <v>5</v>
      </c>
      <c r="AI31" t="str">
        <f>VLOOKUP(B31, Currency!A:B, 2, FALSE)</f>
        <v>INR</v>
      </c>
      <c r="AJ31">
        <f t="shared" si="2"/>
        <v>5</v>
      </c>
      <c r="AK31">
        <f t="shared" si="11"/>
        <v>5</v>
      </c>
      <c r="AL31" t="str">
        <f t="shared" si="12"/>
        <v>May</v>
      </c>
      <c r="AM31">
        <f t="shared" si="13"/>
        <v>2023</v>
      </c>
      <c r="AN31" t="str">
        <f t="shared" si="3"/>
        <v>0VITTAL PHARMA CHEM</v>
      </c>
      <c r="AO31">
        <f>IF(COUNTIF($AN$2:AN31, AN31)=1, 1, 0)</f>
        <v>1</v>
      </c>
      <c r="AP31" t="str">
        <f t="shared" si="14"/>
        <v>&gt;3</v>
      </c>
      <c r="AQ31" t="str">
        <f t="shared" si="15"/>
        <v>&gt;3</v>
      </c>
      <c r="AR31" t="str">
        <f t="shared" si="16"/>
        <v>&gt;3</v>
      </c>
    </row>
    <row r="32" spans="1:44" x14ac:dyDescent="0.3">
      <c r="A32" t="s">
        <v>33</v>
      </c>
      <c r="B32" t="s">
        <v>122</v>
      </c>
      <c r="C32" t="s">
        <v>404</v>
      </c>
      <c r="D32">
        <v>1611</v>
      </c>
      <c r="E32">
        <v>23210100</v>
      </c>
      <c r="F32" t="s">
        <v>405</v>
      </c>
      <c r="G32" t="s">
        <v>406</v>
      </c>
      <c r="H32">
        <v>600</v>
      </c>
      <c r="I32">
        <v>930</v>
      </c>
      <c r="J32">
        <v>558000</v>
      </c>
      <c r="K32" t="str">
        <f>IFERROR(IF(B32&lt;&gt;"", TEXT(VLOOKUP(B32, 'Expected Date'!A:B, 2, FALSE) + DATE(RIGHT(C32,2),MID(C32,4,2),LEFT(C32,2)), "dd/mm/yy"), ""), "")</f>
        <v>13/05/23</v>
      </c>
      <c r="L32" t="s">
        <v>38</v>
      </c>
      <c r="M32" t="s">
        <v>39</v>
      </c>
      <c r="N32" t="s">
        <v>364</v>
      </c>
      <c r="O32" t="s">
        <v>238</v>
      </c>
      <c r="P32">
        <v>23290201</v>
      </c>
      <c r="Q32" t="s">
        <v>405</v>
      </c>
      <c r="R32" t="s">
        <v>406</v>
      </c>
      <c r="S32">
        <v>180</v>
      </c>
      <c r="T32">
        <v>930</v>
      </c>
      <c r="U32">
        <v>167400</v>
      </c>
      <c r="V32" t="str">
        <f t="shared" si="17"/>
        <v>Accepted</v>
      </c>
      <c r="W32">
        <f>IFERROR(VLOOKUP(N32, Payment_Terms!A:B, 2, FALSE), "Payment term not found!")</f>
        <v>30</v>
      </c>
      <c r="X32" t="str">
        <f>IFERROR(VLOOKUP(R32, Item_Category!A:B, 2, FALSE), "Uncategorized")</f>
        <v>Pallets</v>
      </c>
      <c r="Y32" s="5">
        <f t="shared" si="4"/>
        <v>0</v>
      </c>
      <c r="Z32">
        <f t="shared" si="5"/>
        <v>5</v>
      </c>
      <c r="AA32">
        <f t="shared" si="6"/>
        <v>-9</v>
      </c>
      <c r="AB32">
        <f t="shared" si="7"/>
        <v>5</v>
      </c>
      <c r="AC32" s="10">
        <f t="shared" si="8"/>
        <v>6</v>
      </c>
      <c r="AD32" s="5">
        <f t="shared" si="0"/>
        <v>1</v>
      </c>
      <c r="AE32" s="5">
        <f t="shared" si="1"/>
        <v>1</v>
      </c>
      <c r="AF32" s="5">
        <f t="shared" si="9"/>
        <v>0</v>
      </c>
      <c r="AG32">
        <f>IF(B32&lt;&gt;"", COUNTIFS($B$2:B32, B32), "")</f>
        <v>2</v>
      </c>
      <c r="AH32">
        <f t="shared" si="10"/>
        <v>5</v>
      </c>
      <c r="AI32" t="str">
        <f>VLOOKUP(B32, Currency!A:B, 2, FALSE)</f>
        <v>INR</v>
      </c>
      <c r="AJ32">
        <f t="shared" si="2"/>
        <v>5</v>
      </c>
      <c r="AK32">
        <f t="shared" si="11"/>
        <v>4</v>
      </c>
      <c r="AL32" t="str">
        <f t="shared" si="12"/>
        <v>April</v>
      </c>
      <c r="AM32">
        <f t="shared" si="13"/>
        <v>2023</v>
      </c>
      <c r="AN32" t="str">
        <f t="shared" si="3"/>
        <v>30Plastocon Industries Pvt Ltd</v>
      </c>
      <c r="AO32">
        <f>IF(COUNTIF($AN$2:AN32, AN32)=1, 1, 0)</f>
        <v>0</v>
      </c>
      <c r="AP32" t="str">
        <f t="shared" si="14"/>
        <v>&gt;3</v>
      </c>
      <c r="AQ32" t="str">
        <f t="shared" si="15"/>
        <v>&gt;3</v>
      </c>
      <c r="AR32" t="str">
        <f t="shared" si="16"/>
        <v>&gt;3</v>
      </c>
    </row>
    <row r="33" spans="1:44" x14ac:dyDescent="0.3">
      <c r="A33" t="s">
        <v>33</v>
      </c>
      <c r="B33" t="s">
        <v>366</v>
      </c>
      <c r="C33" t="s">
        <v>87</v>
      </c>
      <c r="D33">
        <v>3042</v>
      </c>
      <c r="E33">
        <v>23210410</v>
      </c>
      <c r="F33" t="s">
        <v>392</v>
      </c>
      <c r="G33" t="s">
        <v>393</v>
      </c>
      <c r="H33">
        <v>200</v>
      </c>
      <c r="I33">
        <v>10200</v>
      </c>
      <c r="J33">
        <v>2040000</v>
      </c>
      <c r="K33" t="str">
        <f>IFERROR(IF(B33&lt;&gt;"", TEXT(VLOOKUP(B33, 'Expected Date'!A:B, 2, FALSE) + DATE(RIGHT(C33,2),MID(C33,4,2),LEFT(C33,2)), "dd/mm/yy"), ""), "")</f>
        <v>14/07/23</v>
      </c>
      <c r="L33" t="s">
        <v>68</v>
      </c>
      <c r="M33" t="s">
        <v>48</v>
      </c>
      <c r="N33" t="s">
        <v>370</v>
      </c>
      <c r="O33" t="s">
        <v>203</v>
      </c>
      <c r="P33">
        <v>23290798</v>
      </c>
      <c r="Q33" t="s">
        <v>392</v>
      </c>
      <c r="R33" t="s">
        <v>393</v>
      </c>
      <c r="S33">
        <v>28.89</v>
      </c>
      <c r="T33">
        <v>10200</v>
      </c>
      <c r="U33">
        <v>294678</v>
      </c>
      <c r="V33" t="str">
        <f t="shared" si="17"/>
        <v>Accepted</v>
      </c>
      <c r="W33">
        <f>IFERROR(VLOOKUP(N33, Payment_Terms!A:B, 2, FALSE), "Payment term not found!")</f>
        <v>15</v>
      </c>
      <c r="X33" t="str">
        <f>IFERROR(VLOOKUP(R33, Item_Category!A:B, 2, FALSE), "Uncategorized")</f>
        <v>Coal materials</v>
      </c>
      <c r="Y33" s="5">
        <f t="shared" si="4"/>
        <v>0.57009999999999994</v>
      </c>
      <c r="Z33">
        <f t="shared" si="5"/>
        <v>1</v>
      </c>
      <c r="AA33">
        <f t="shared" si="6"/>
        <v>2</v>
      </c>
      <c r="AB33">
        <f t="shared" si="7"/>
        <v>5</v>
      </c>
      <c r="AC33" s="10">
        <f t="shared" si="8"/>
        <v>4</v>
      </c>
      <c r="AD33" s="5">
        <f t="shared" si="0"/>
        <v>1</v>
      </c>
      <c r="AE33" s="5">
        <f t="shared" si="1"/>
        <v>1</v>
      </c>
      <c r="AF33" s="5">
        <f t="shared" si="9"/>
        <v>0</v>
      </c>
      <c r="AG33">
        <f>IF(B33&lt;&gt;"", COUNTIFS($B$2:B33, B33), "")</f>
        <v>11</v>
      </c>
      <c r="AH33">
        <f t="shared" si="10"/>
        <v>5</v>
      </c>
      <c r="AI33" t="str">
        <f>VLOOKUP(B33, Currency!A:B, 2, FALSE)</f>
        <v>INR</v>
      </c>
      <c r="AJ33">
        <f t="shared" si="2"/>
        <v>4</v>
      </c>
      <c r="AK33">
        <f t="shared" si="11"/>
        <v>7</v>
      </c>
      <c r="AL33" t="str">
        <f t="shared" si="12"/>
        <v>July</v>
      </c>
      <c r="AM33">
        <f t="shared" si="13"/>
        <v>2023</v>
      </c>
      <c r="AN33" t="str">
        <f t="shared" si="3"/>
        <v>15SKYWIN ENTERPRISE</v>
      </c>
      <c r="AO33">
        <f>IF(COUNTIF($AN$2:AN33, AN33)=1, 1, 0)</f>
        <v>0</v>
      </c>
      <c r="AP33" t="str">
        <f t="shared" si="14"/>
        <v>&gt;3</v>
      </c>
      <c r="AQ33" t="str">
        <f t="shared" si="15"/>
        <v>&lt;=3</v>
      </c>
      <c r="AR33" t="str">
        <f t="shared" si="16"/>
        <v>&gt;3</v>
      </c>
    </row>
    <row r="34" spans="1:44" x14ac:dyDescent="0.3">
      <c r="A34" t="s">
        <v>33</v>
      </c>
      <c r="B34" t="s">
        <v>122</v>
      </c>
      <c r="C34" t="s">
        <v>354</v>
      </c>
      <c r="D34">
        <v>2806</v>
      </c>
      <c r="E34">
        <v>23210359</v>
      </c>
      <c r="F34" t="s">
        <v>405</v>
      </c>
      <c r="G34" t="s">
        <v>406</v>
      </c>
      <c r="H34">
        <v>600</v>
      </c>
      <c r="I34">
        <v>930</v>
      </c>
      <c r="J34">
        <v>558000</v>
      </c>
      <c r="K34" t="str">
        <f>IFERROR(IF(B34&lt;&gt;"", TEXT(VLOOKUP(B34, 'Expected Date'!A:B, 2, FALSE) + DATE(RIGHT(C34,2),MID(C34,4,2),LEFT(C34,2)), "dd/mm/yy"), ""), "")</f>
        <v>18/07/23</v>
      </c>
      <c r="L34" t="s">
        <v>38</v>
      </c>
      <c r="M34" t="s">
        <v>39</v>
      </c>
      <c r="N34" t="s">
        <v>364</v>
      </c>
      <c r="O34" t="s">
        <v>407</v>
      </c>
      <c r="P34">
        <v>23291036</v>
      </c>
      <c r="Q34" t="s">
        <v>405</v>
      </c>
      <c r="R34" t="s">
        <v>406</v>
      </c>
      <c r="S34">
        <v>180</v>
      </c>
      <c r="T34">
        <v>930</v>
      </c>
      <c r="U34">
        <v>167400</v>
      </c>
      <c r="V34" t="str">
        <f t="shared" si="17"/>
        <v>Accepted</v>
      </c>
      <c r="W34">
        <f>IFERROR(VLOOKUP(N34, Payment_Terms!A:B, 2, FALSE), "Payment term not found!")</f>
        <v>30</v>
      </c>
      <c r="X34" t="str">
        <f>IFERROR(VLOOKUP(R34, Item_Category!A:B, 2, FALSE), "Uncategorized")</f>
        <v>Pallets</v>
      </c>
      <c r="Y34" s="5">
        <f t="shared" si="4"/>
        <v>0</v>
      </c>
      <c r="Z34">
        <f t="shared" si="5"/>
        <v>5</v>
      </c>
      <c r="AA34">
        <f t="shared" si="6"/>
        <v>8</v>
      </c>
      <c r="AB34">
        <f t="shared" si="7"/>
        <v>2</v>
      </c>
      <c r="AC34" s="10">
        <f t="shared" si="8"/>
        <v>23</v>
      </c>
      <c r="AD34" s="5">
        <f t="shared" si="0"/>
        <v>1</v>
      </c>
      <c r="AE34" s="5">
        <f t="shared" si="1"/>
        <v>1</v>
      </c>
      <c r="AF34" s="5">
        <f t="shared" si="9"/>
        <v>0</v>
      </c>
      <c r="AG34">
        <f>IF(B34&lt;&gt;"", COUNTIFS($B$2:B34, B34), "")</f>
        <v>3</v>
      </c>
      <c r="AH34">
        <f t="shared" si="10"/>
        <v>5</v>
      </c>
      <c r="AI34" t="str">
        <f>VLOOKUP(B34, Currency!A:B, 2, FALSE)</f>
        <v>INR</v>
      </c>
      <c r="AJ34">
        <f t="shared" si="2"/>
        <v>5</v>
      </c>
      <c r="AK34">
        <f t="shared" si="11"/>
        <v>7</v>
      </c>
      <c r="AL34" t="str">
        <f t="shared" si="12"/>
        <v>July</v>
      </c>
      <c r="AM34">
        <f t="shared" si="13"/>
        <v>2023</v>
      </c>
      <c r="AN34" t="str">
        <f t="shared" si="3"/>
        <v>30Plastocon Industries Pvt Ltd</v>
      </c>
      <c r="AO34">
        <f>IF(COUNTIF($AN$2:AN34, AN34)=1, 1, 0)</f>
        <v>0</v>
      </c>
      <c r="AP34" t="str">
        <f t="shared" si="14"/>
        <v>&gt;3</v>
      </c>
      <c r="AQ34" t="str">
        <f t="shared" si="15"/>
        <v>&gt;3</v>
      </c>
      <c r="AR34" t="str">
        <f t="shared" si="16"/>
        <v>&lt;=3</v>
      </c>
    </row>
    <row r="35" spans="1:44" x14ac:dyDescent="0.3">
      <c r="A35" t="s">
        <v>33</v>
      </c>
      <c r="B35" t="s">
        <v>371</v>
      </c>
      <c r="C35" t="s">
        <v>365</v>
      </c>
      <c r="D35">
        <v>3436</v>
      </c>
      <c r="E35">
        <v>23210463</v>
      </c>
      <c r="F35" t="s">
        <v>372</v>
      </c>
      <c r="G35" t="s">
        <v>373</v>
      </c>
      <c r="H35">
        <v>20</v>
      </c>
      <c r="I35">
        <v>1100</v>
      </c>
      <c r="J35">
        <v>22000</v>
      </c>
      <c r="K35" t="str">
        <f>IFERROR(IF(B35&lt;&gt;"", TEXT(VLOOKUP(B35, 'Expected Date'!A:B, 2, FALSE) + DATE(RIGHT(C35,2),MID(C35,4,2),LEFT(C35,2)), "dd/mm/yy"), ""), "")</f>
        <v>03/08/23</v>
      </c>
      <c r="L35" t="s">
        <v>38</v>
      </c>
      <c r="M35" t="s">
        <v>48</v>
      </c>
      <c r="N35" t="s">
        <v>342</v>
      </c>
      <c r="O35" t="s">
        <v>408</v>
      </c>
      <c r="P35">
        <v>23291048</v>
      </c>
      <c r="Q35" t="s">
        <v>372</v>
      </c>
      <c r="R35" t="s">
        <v>373</v>
      </c>
      <c r="S35">
        <v>10.130000000000001</v>
      </c>
      <c r="T35">
        <v>1100</v>
      </c>
      <c r="U35">
        <v>11143</v>
      </c>
      <c r="V35" t="str">
        <f t="shared" si="17"/>
        <v>Accepted</v>
      </c>
      <c r="W35">
        <f>IFERROR(VLOOKUP(N35, Payment_Terms!A:B, 2, FALSE), "Payment term not found!")</f>
        <v>30</v>
      </c>
      <c r="X35" t="str">
        <f>IFERROR(VLOOKUP(R35, Item_Category!A:B, 2, FALSE), "Uncategorized")</f>
        <v>HCL</v>
      </c>
      <c r="Y35" s="5">
        <f t="shared" si="4"/>
        <v>0</v>
      </c>
      <c r="Z35">
        <f t="shared" si="5"/>
        <v>5</v>
      </c>
      <c r="AA35">
        <f t="shared" si="6"/>
        <v>5</v>
      </c>
      <c r="AB35">
        <f t="shared" si="7"/>
        <v>3</v>
      </c>
      <c r="AC35" s="10">
        <f t="shared" si="8"/>
        <v>10</v>
      </c>
      <c r="AD35" s="5">
        <f t="shared" si="0"/>
        <v>1</v>
      </c>
      <c r="AE35" s="5">
        <f t="shared" si="1"/>
        <v>1</v>
      </c>
      <c r="AF35" s="5">
        <f t="shared" si="9"/>
        <v>0</v>
      </c>
      <c r="AG35">
        <f>IF(B35&lt;&gt;"", COUNTIFS($B$2:B35, B35), "")</f>
        <v>2</v>
      </c>
      <c r="AH35">
        <f t="shared" si="10"/>
        <v>5</v>
      </c>
      <c r="AI35" t="str">
        <f>VLOOKUP(B35, Currency!A:B, 2, FALSE)</f>
        <v>INR</v>
      </c>
      <c r="AJ35">
        <f t="shared" si="2"/>
        <v>5</v>
      </c>
      <c r="AK35">
        <f t="shared" si="11"/>
        <v>7</v>
      </c>
      <c r="AL35" t="str">
        <f t="shared" si="12"/>
        <v>July</v>
      </c>
      <c r="AM35">
        <f t="shared" si="13"/>
        <v>2023</v>
      </c>
      <c r="AN35" t="str">
        <f t="shared" si="3"/>
        <v>30SHREE ACID AND CHEMICALS</v>
      </c>
      <c r="AO35">
        <f>IF(COUNTIF($AN$2:AN35, AN35)=1, 1, 0)</f>
        <v>0</v>
      </c>
      <c r="AP35" t="str">
        <f t="shared" si="14"/>
        <v>&gt;3</v>
      </c>
      <c r="AQ35" t="str">
        <f t="shared" si="15"/>
        <v>&gt;3</v>
      </c>
      <c r="AR35" t="str">
        <f t="shared" si="16"/>
        <v>&lt;=3</v>
      </c>
    </row>
    <row r="36" spans="1:44" x14ac:dyDescent="0.3">
      <c r="A36" t="s">
        <v>33</v>
      </c>
      <c r="B36" t="s">
        <v>409</v>
      </c>
      <c r="C36" t="s">
        <v>57</v>
      </c>
      <c r="D36">
        <v>3536</v>
      </c>
      <c r="E36">
        <v>23210490</v>
      </c>
      <c r="F36" t="s">
        <v>410</v>
      </c>
      <c r="G36" t="s">
        <v>411</v>
      </c>
      <c r="H36">
        <v>1000</v>
      </c>
      <c r="I36">
        <v>126</v>
      </c>
      <c r="J36">
        <v>126000</v>
      </c>
      <c r="K36" t="str">
        <f>IFERROR(IF(B36&lt;&gt;"", TEXT(VLOOKUP(B36, 'Expected Date'!A:B, 2, FALSE) + DATE(RIGHT(C36,2),MID(C36,4,2),LEFT(C36,2)), "dd/mm/yy"), ""), "")</f>
        <v>13/08/23</v>
      </c>
      <c r="L36" t="s">
        <v>68</v>
      </c>
      <c r="M36" t="s">
        <v>48</v>
      </c>
      <c r="N36" t="s">
        <v>364</v>
      </c>
      <c r="O36" t="s">
        <v>59</v>
      </c>
      <c r="P36">
        <v>23291032</v>
      </c>
      <c r="Q36" t="s">
        <v>410</v>
      </c>
      <c r="R36" t="s">
        <v>411</v>
      </c>
      <c r="S36">
        <v>900.45</v>
      </c>
      <c r="T36">
        <v>126</v>
      </c>
      <c r="U36">
        <v>113456.7</v>
      </c>
      <c r="V36" t="str">
        <f t="shared" si="17"/>
        <v>Accepted</v>
      </c>
      <c r="W36">
        <f>IFERROR(VLOOKUP(N36, Payment_Terms!A:B, 2, FALSE), "Payment term not found!")</f>
        <v>30</v>
      </c>
      <c r="X36" t="str">
        <f>IFERROR(VLOOKUP(R36, Item_Category!A:B, 2, FALSE), "Uncategorized")</f>
        <v>Wrapping 23</v>
      </c>
      <c r="Y36" s="5">
        <f t="shared" si="4"/>
        <v>9.9549999999999958E-2</v>
      </c>
      <c r="Z36">
        <f t="shared" si="5"/>
        <v>2</v>
      </c>
      <c r="AA36">
        <f t="shared" si="6"/>
        <v>-8</v>
      </c>
      <c r="AB36">
        <f t="shared" si="7"/>
        <v>5</v>
      </c>
      <c r="AC36" s="10">
        <f t="shared" si="8"/>
        <v>2</v>
      </c>
      <c r="AD36" s="5">
        <f t="shared" si="0"/>
        <v>1</v>
      </c>
      <c r="AE36" s="5">
        <f t="shared" si="1"/>
        <v>1</v>
      </c>
      <c r="AF36" s="5">
        <f t="shared" si="9"/>
        <v>0</v>
      </c>
      <c r="AG36">
        <f>IF(B36&lt;&gt;"", COUNTIFS($B$2:B36, B36), "")</f>
        <v>1</v>
      </c>
      <c r="AH36">
        <f t="shared" si="10"/>
        <v>5</v>
      </c>
      <c r="AI36" t="str">
        <f>VLOOKUP(B36, Currency!A:B, 2, FALSE)</f>
        <v>INR</v>
      </c>
      <c r="AJ36">
        <f t="shared" si="2"/>
        <v>5</v>
      </c>
      <c r="AK36">
        <f t="shared" si="11"/>
        <v>8</v>
      </c>
      <c r="AL36" t="str">
        <f t="shared" si="12"/>
        <v>August</v>
      </c>
      <c r="AM36">
        <f t="shared" si="13"/>
        <v>2023</v>
      </c>
      <c r="AN36" t="str">
        <f t="shared" si="3"/>
        <v>30Patkar Extrusions Pvt Ltd</v>
      </c>
      <c r="AO36">
        <f>IF(COUNTIF($AN$2:AN36, AN36)=1, 1, 0)</f>
        <v>1</v>
      </c>
      <c r="AP36" t="str">
        <f t="shared" si="14"/>
        <v>&gt;3</v>
      </c>
      <c r="AQ36" t="str">
        <f t="shared" si="15"/>
        <v>&lt;=3</v>
      </c>
      <c r="AR36" t="str">
        <f t="shared" si="16"/>
        <v>&gt;3</v>
      </c>
    </row>
    <row r="37" spans="1:44" x14ac:dyDescent="0.3">
      <c r="A37" t="s">
        <v>33</v>
      </c>
      <c r="B37" t="s">
        <v>382</v>
      </c>
      <c r="C37" t="s">
        <v>110</v>
      </c>
      <c r="D37">
        <v>2239</v>
      </c>
      <c r="E37">
        <v>23210227</v>
      </c>
      <c r="F37" t="s">
        <v>412</v>
      </c>
      <c r="G37" t="s">
        <v>413</v>
      </c>
      <c r="H37">
        <v>1000</v>
      </c>
      <c r="I37">
        <v>18</v>
      </c>
      <c r="J37">
        <v>18000</v>
      </c>
      <c r="K37" t="str">
        <f>IFERROR(IF(B37&lt;&gt;"", TEXT(VLOOKUP(B37, 'Expected Date'!A:B, 2, FALSE) + DATE(RIGHT(C37,2),MID(C37,4,2),LEFT(C37,2)), "dd/mm/yy"), ""), "")</f>
        <v>10/06/23</v>
      </c>
      <c r="L37" t="s">
        <v>38</v>
      </c>
      <c r="M37" t="s">
        <v>48</v>
      </c>
      <c r="N37" t="s">
        <v>342</v>
      </c>
      <c r="O37" t="s">
        <v>414</v>
      </c>
      <c r="P37">
        <v>23290434</v>
      </c>
      <c r="Q37" t="s">
        <v>412</v>
      </c>
      <c r="R37" t="s">
        <v>413</v>
      </c>
      <c r="S37">
        <v>1000</v>
      </c>
      <c r="T37">
        <v>18</v>
      </c>
      <c r="U37">
        <v>18000</v>
      </c>
      <c r="V37" t="str">
        <f t="shared" si="17"/>
        <v>Accepted</v>
      </c>
      <c r="W37">
        <f>IFERROR(VLOOKUP(N37, Payment_Terms!A:B, 2, FALSE), "Payment term not found!")</f>
        <v>30</v>
      </c>
      <c r="X37" t="str">
        <f>IFERROR(VLOOKUP(R37, Item_Category!A:B, 2, FALSE), "Uncategorized")</f>
        <v>NON FERRIC ALUM</v>
      </c>
      <c r="Y37" s="5">
        <f t="shared" si="4"/>
        <v>0</v>
      </c>
      <c r="Z37">
        <f t="shared" si="5"/>
        <v>5</v>
      </c>
      <c r="AA37">
        <f t="shared" si="6"/>
        <v>-9</v>
      </c>
      <c r="AB37">
        <f t="shared" si="7"/>
        <v>5</v>
      </c>
      <c r="AC37" s="10">
        <f t="shared" si="8"/>
        <v>1</v>
      </c>
      <c r="AD37" s="5">
        <f t="shared" si="0"/>
        <v>1</v>
      </c>
      <c r="AE37" s="5">
        <f t="shared" si="1"/>
        <v>1</v>
      </c>
      <c r="AF37" s="5">
        <f t="shared" si="9"/>
        <v>0</v>
      </c>
      <c r="AG37">
        <f>IF(B37&lt;&gt;"", COUNTIFS($B$2:B37, B37), "")</f>
        <v>2</v>
      </c>
      <c r="AH37">
        <f t="shared" si="10"/>
        <v>5</v>
      </c>
      <c r="AI37" t="str">
        <f>VLOOKUP(B37, Currency!A:B, 2, FALSE)</f>
        <v>INR</v>
      </c>
      <c r="AJ37">
        <f t="shared" si="2"/>
        <v>5</v>
      </c>
      <c r="AK37">
        <f t="shared" si="11"/>
        <v>5</v>
      </c>
      <c r="AL37" t="str">
        <f t="shared" si="12"/>
        <v>May</v>
      </c>
      <c r="AM37">
        <f t="shared" si="13"/>
        <v>2023</v>
      </c>
      <c r="AN37" t="str">
        <f t="shared" si="3"/>
        <v>30Aerochem Laboratories</v>
      </c>
      <c r="AO37">
        <f>IF(COUNTIF($AN$2:AN37, AN37)=1, 1, 0)</f>
        <v>0</v>
      </c>
      <c r="AP37" t="str">
        <f t="shared" si="14"/>
        <v>&gt;3</v>
      </c>
      <c r="AQ37" t="str">
        <f t="shared" si="15"/>
        <v>&gt;3</v>
      </c>
      <c r="AR37" t="str">
        <f t="shared" si="16"/>
        <v>&gt;3</v>
      </c>
    </row>
    <row r="38" spans="1:44" x14ac:dyDescent="0.3">
      <c r="A38" t="s">
        <v>33</v>
      </c>
      <c r="B38" t="s">
        <v>409</v>
      </c>
      <c r="C38" t="s">
        <v>162</v>
      </c>
      <c r="D38">
        <v>2763</v>
      </c>
      <c r="E38">
        <v>23210345</v>
      </c>
      <c r="F38" t="s">
        <v>410</v>
      </c>
      <c r="G38" t="s">
        <v>411</v>
      </c>
      <c r="H38">
        <v>600</v>
      </c>
      <c r="I38">
        <v>123</v>
      </c>
      <c r="J38">
        <v>73800</v>
      </c>
      <c r="K38" t="str">
        <f>IFERROR(IF(B38&lt;&gt;"", TEXT(VLOOKUP(B38, 'Expected Date'!A:B, 2, FALSE) + DATE(RIGHT(C38,2),MID(C38,4,2),LEFT(C38,2)), "dd/mm/yy"), ""), "")</f>
        <v>09/07/23</v>
      </c>
      <c r="L38" t="s">
        <v>68</v>
      </c>
      <c r="M38" t="s">
        <v>48</v>
      </c>
      <c r="N38" t="s">
        <v>364</v>
      </c>
      <c r="O38" t="s">
        <v>89</v>
      </c>
      <c r="P38">
        <v>23290668</v>
      </c>
      <c r="Q38" t="s">
        <v>410</v>
      </c>
      <c r="R38" t="s">
        <v>411</v>
      </c>
      <c r="S38">
        <v>585.6</v>
      </c>
      <c r="T38">
        <v>123</v>
      </c>
      <c r="U38">
        <v>72028.800000000003</v>
      </c>
      <c r="V38" t="str">
        <f t="shared" si="17"/>
        <v>Accepted</v>
      </c>
      <c r="W38">
        <f>IFERROR(VLOOKUP(N38, Payment_Terms!A:B, 2, FALSE), "Payment term not found!")</f>
        <v>30</v>
      </c>
      <c r="X38" t="str">
        <f>IFERROR(VLOOKUP(R38, Item_Category!A:B, 2, FALSE), "Uncategorized")</f>
        <v>Wrapping 23</v>
      </c>
      <c r="Y38" s="5">
        <f t="shared" si="4"/>
        <v>2.3999999999999962E-2</v>
      </c>
      <c r="Z38">
        <f t="shared" si="5"/>
        <v>3</v>
      </c>
      <c r="AA38">
        <f t="shared" si="6"/>
        <v>-4</v>
      </c>
      <c r="AB38">
        <f t="shared" si="7"/>
        <v>5</v>
      </c>
      <c r="AC38" s="10">
        <f t="shared" si="8"/>
        <v>6</v>
      </c>
      <c r="AD38" s="5">
        <f t="shared" si="0"/>
        <v>1</v>
      </c>
      <c r="AE38" s="5">
        <f t="shared" si="1"/>
        <v>1</v>
      </c>
      <c r="AF38" s="5">
        <f t="shared" si="9"/>
        <v>0</v>
      </c>
      <c r="AG38">
        <f>IF(B38&lt;&gt;"", COUNTIFS($B$2:B38, B38), "")</f>
        <v>2</v>
      </c>
      <c r="AH38">
        <f t="shared" si="10"/>
        <v>5</v>
      </c>
      <c r="AI38" t="str">
        <f>VLOOKUP(B38, Currency!A:B, 2, FALSE)</f>
        <v>INR</v>
      </c>
      <c r="AJ38">
        <f t="shared" si="2"/>
        <v>5</v>
      </c>
      <c r="AK38">
        <f t="shared" si="11"/>
        <v>6</v>
      </c>
      <c r="AL38" t="str">
        <f t="shared" si="12"/>
        <v>June</v>
      </c>
      <c r="AM38">
        <f t="shared" si="13"/>
        <v>2023</v>
      </c>
      <c r="AN38" t="str">
        <f t="shared" si="3"/>
        <v>30Patkar Extrusions Pvt Ltd</v>
      </c>
      <c r="AO38">
        <f>IF(COUNTIF($AN$2:AN38, AN38)=1, 1, 0)</f>
        <v>0</v>
      </c>
      <c r="AP38" t="str">
        <f t="shared" si="14"/>
        <v>&gt;3</v>
      </c>
      <c r="AQ38" t="str">
        <f t="shared" si="15"/>
        <v>&lt;=3</v>
      </c>
      <c r="AR38" t="str">
        <f t="shared" si="16"/>
        <v>&gt;3</v>
      </c>
    </row>
    <row r="39" spans="1:44" x14ac:dyDescent="0.3">
      <c r="A39" t="s">
        <v>33</v>
      </c>
      <c r="B39" t="s">
        <v>122</v>
      </c>
      <c r="C39" t="s">
        <v>192</v>
      </c>
      <c r="D39">
        <v>3695</v>
      </c>
      <c r="E39">
        <v>23210540</v>
      </c>
      <c r="F39" t="s">
        <v>405</v>
      </c>
      <c r="G39" t="s">
        <v>406</v>
      </c>
      <c r="H39">
        <v>600</v>
      </c>
      <c r="I39">
        <v>930</v>
      </c>
      <c r="J39">
        <v>558000</v>
      </c>
      <c r="K39" t="str">
        <f>IFERROR(IF(B39&lt;&gt;"", TEXT(VLOOKUP(B39, 'Expected Date'!A:B, 2, FALSE) + DATE(RIGHT(C39,2),MID(C39,4,2),LEFT(C39,2)), "dd/mm/yy"), ""), "")</f>
        <v>29/08/23</v>
      </c>
      <c r="L39" t="s">
        <v>38</v>
      </c>
      <c r="M39" t="s">
        <v>39</v>
      </c>
      <c r="N39" t="s">
        <v>364</v>
      </c>
      <c r="O39" t="s">
        <v>394</v>
      </c>
      <c r="P39">
        <v>23291128</v>
      </c>
      <c r="Q39" t="s">
        <v>405</v>
      </c>
      <c r="R39" t="s">
        <v>406</v>
      </c>
      <c r="S39">
        <v>80</v>
      </c>
      <c r="T39">
        <v>930</v>
      </c>
      <c r="U39">
        <v>74400</v>
      </c>
      <c r="V39" t="str">
        <f t="shared" si="17"/>
        <v>Accepted</v>
      </c>
      <c r="W39">
        <f>IFERROR(VLOOKUP(N39, Payment_Terms!A:B, 2, FALSE), "Payment term not found!")</f>
        <v>30</v>
      </c>
      <c r="X39" t="str">
        <f>IFERROR(VLOOKUP(R39, Item_Category!A:B, 2, FALSE), "Uncategorized")</f>
        <v>Pallets</v>
      </c>
      <c r="Y39" s="5">
        <f t="shared" si="4"/>
        <v>0</v>
      </c>
      <c r="Z39">
        <f t="shared" si="5"/>
        <v>5</v>
      </c>
      <c r="AA39">
        <f t="shared" si="6"/>
        <v>-12</v>
      </c>
      <c r="AB39">
        <f t="shared" si="7"/>
        <v>5</v>
      </c>
      <c r="AC39" s="10">
        <f t="shared" si="8"/>
        <v>3</v>
      </c>
      <c r="AD39" s="5">
        <f t="shared" si="0"/>
        <v>1</v>
      </c>
      <c r="AE39" s="5">
        <f t="shared" si="1"/>
        <v>1</v>
      </c>
      <c r="AF39" s="5">
        <f t="shared" si="9"/>
        <v>0</v>
      </c>
      <c r="AG39">
        <f>IF(B39&lt;&gt;"", COUNTIFS($B$2:B39, B39), "")</f>
        <v>4</v>
      </c>
      <c r="AH39">
        <f t="shared" si="10"/>
        <v>5</v>
      </c>
      <c r="AI39" t="str">
        <f>VLOOKUP(B39, Currency!A:B, 2, FALSE)</f>
        <v>INR</v>
      </c>
      <c r="AJ39">
        <f t="shared" si="2"/>
        <v>5</v>
      </c>
      <c r="AK39">
        <f t="shared" si="11"/>
        <v>8</v>
      </c>
      <c r="AL39" t="str">
        <f t="shared" si="12"/>
        <v>August</v>
      </c>
      <c r="AM39">
        <f t="shared" si="13"/>
        <v>2023</v>
      </c>
      <c r="AN39" t="str">
        <f t="shared" si="3"/>
        <v>30Plastocon Industries Pvt Ltd</v>
      </c>
      <c r="AO39">
        <f>IF(COUNTIF($AN$2:AN39, AN39)=1, 1, 0)</f>
        <v>0</v>
      </c>
      <c r="AP39" t="str">
        <f t="shared" si="14"/>
        <v>&gt;3</v>
      </c>
      <c r="AQ39" t="str">
        <f t="shared" si="15"/>
        <v>&gt;3</v>
      </c>
      <c r="AR39" t="str">
        <f t="shared" si="16"/>
        <v>&gt;3</v>
      </c>
    </row>
    <row r="40" spans="1:44" x14ac:dyDescent="0.3">
      <c r="A40" t="s">
        <v>33</v>
      </c>
      <c r="B40" t="s">
        <v>122</v>
      </c>
      <c r="C40" t="s">
        <v>404</v>
      </c>
      <c r="D40">
        <v>1611</v>
      </c>
      <c r="E40">
        <v>23210100</v>
      </c>
      <c r="F40" t="s">
        <v>405</v>
      </c>
      <c r="G40" t="s">
        <v>406</v>
      </c>
      <c r="H40">
        <v>600</v>
      </c>
      <c r="I40">
        <v>930</v>
      </c>
      <c r="J40">
        <v>558000</v>
      </c>
      <c r="K40" t="str">
        <f>IFERROR(IF(B40&lt;&gt;"", TEXT(VLOOKUP(B40, 'Expected Date'!A:B, 2, FALSE) + DATE(RIGHT(C40,2),MID(C40,4,2),LEFT(C40,2)), "dd/mm/yy"), ""), "")</f>
        <v>13/05/23</v>
      </c>
      <c r="L40" t="s">
        <v>38</v>
      </c>
      <c r="M40" t="s">
        <v>39</v>
      </c>
      <c r="N40" t="s">
        <v>364</v>
      </c>
      <c r="O40" t="s">
        <v>415</v>
      </c>
      <c r="P40">
        <v>23290359</v>
      </c>
      <c r="Q40" t="s">
        <v>405</v>
      </c>
      <c r="R40" t="s">
        <v>406</v>
      </c>
      <c r="S40">
        <v>140</v>
      </c>
      <c r="T40">
        <v>930</v>
      </c>
      <c r="U40">
        <v>130200</v>
      </c>
      <c r="V40" t="str">
        <f t="shared" si="17"/>
        <v>Accepted</v>
      </c>
      <c r="W40">
        <f>IFERROR(VLOOKUP(N40, Payment_Terms!A:B, 2, FALSE), "Payment term not found!")</f>
        <v>30</v>
      </c>
      <c r="X40" t="str">
        <f>IFERROR(VLOOKUP(R40, Item_Category!A:B, 2, FALSE), "Uncategorized")</f>
        <v>Pallets</v>
      </c>
      <c r="Y40" s="5">
        <f t="shared" si="4"/>
        <v>0</v>
      </c>
      <c r="Z40">
        <f t="shared" si="5"/>
        <v>5</v>
      </c>
      <c r="AA40">
        <f t="shared" si="6"/>
        <v>8</v>
      </c>
      <c r="AB40">
        <f t="shared" si="7"/>
        <v>2</v>
      </c>
      <c r="AC40" s="10">
        <f t="shared" si="8"/>
        <v>23</v>
      </c>
      <c r="AD40" s="5">
        <f t="shared" si="0"/>
        <v>1</v>
      </c>
      <c r="AE40" s="5">
        <f t="shared" si="1"/>
        <v>1</v>
      </c>
      <c r="AF40" s="5">
        <f t="shared" si="9"/>
        <v>0</v>
      </c>
      <c r="AG40">
        <f>IF(B40&lt;&gt;"", COUNTIFS($B$2:B40, B40), "")</f>
        <v>5</v>
      </c>
      <c r="AH40">
        <f t="shared" si="10"/>
        <v>5</v>
      </c>
      <c r="AI40" t="str">
        <f>VLOOKUP(B40, Currency!A:B, 2, FALSE)</f>
        <v>INR</v>
      </c>
      <c r="AJ40">
        <f t="shared" si="2"/>
        <v>5</v>
      </c>
      <c r="AK40">
        <f t="shared" si="11"/>
        <v>4</v>
      </c>
      <c r="AL40" t="str">
        <f t="shared" si="12"/>
        <v>April</v>
      </c>
      <c r="AM40">
        <f t="shared" si="13"/>
        <v>2023</v>
      </c>
      <c r="AN40" t="str">
        <f t="shared" si="3"/>
        <v>30Plastocon Industries Pvt Ltd</v>
      </c>
      <c r="AO40">
        <f>IF(COUNTIF($AN$2:AN40, AN40)=1, 1, 0)</f>
        <v>0</v>
      </c>
      <c r="AP40" t="str">
        <f t="shared" si="14"/>
        <v>&gt;3</v>
      </c>
      <c r="AQ40" t="str">
        <f t="shared" si="15"/>
        <v>&gt;3</v>
      </c>
      <c r="AR40" t="str">
        <f t="shared" si="16"/>
        <v>&lt;=3</v>
      </c>
    </row>
    <row r="41" spans="1:44" x14ac:dyDescent="0.3">
      <c r="A41" t="s">
        <v>33</v>
      </c>
      <c r="B41" t="s">
        <v>122</v>
      </c>
      <c r="C41" t="s">
        <v>416</v>
      </c>
      <c r="D41">
        <v>2054</v>
      </c>
      <c r="E41">
        <v>23210173</v>
      </c>
      <c r="F41" t="s">
        <v>405</v>
      </c>
      <c r="G41" t="s">
        <v>406</v>
      </c>
      <c r="H41">
        <v>600</v>
      </c>
      <c r="I41">
        <v>930</v>
      </c>
      <c r="J41">
        <v>558000</v>
      </c>
      <c r="K41" t="str">
        <f>IFERROR(IF(B41&lt;&gt;"", TEXT(VLOOKUP(B41, 'Expected Date'!A:B, 2, FALSE) + DATE(RIGHT(C41,2),MID(C41,4,2),LEFT(C41,2)), "dd/mm/yy"), ""), "")</f>
        <v>04/06/23</v>
      </c>
      <c r="L41" t="s">
        <v>38</v>
      </c>
      <c r="M41" t="s">
        <v>39</v>
      </c>
      <c r="N41" t="s">
        <v>364</v>
      </c>
      <c r="O41" t="s">
        <v>415</v>
      </c>
      <c r="P41">
        <v>23290359</v>
      </c>
      <c r="Q41" t="s">
        <v>405</v>
      </c>
      <c r="R41" t="s">
        <v>406</v>
      </c>
      <c r="S41">
        <v>40</v>
      </c>
      <c r="T41">
        <v>930</v>
      </c>
      <c r="U41">
        <v>37200</v>
      </c>
      <c r="V41" t="str">
        <f t="shared" si="17"/>
        <v>Accepted</v>
      </c>
      <c r="W41">
        <f>IFERROR(VLOOKUP(N41, Payment_Terms!A:B, 2, FALSE), "Payment term not found!")</f>
        <v>30</v>
      </c>
      <c r="X41" t="str">
        <f>IFERROR(VLOOKUP(R41, Item_Category!A:B, 2, FALSE), "Uncategorized")</f>
        <v>Pallets</v>
      </c>
      <c r="Y41" s="5">
        <f t="shared" si="4"/>
        <v>0</v>
      </c>
      <c r="Z41">
        <f t="shared" si="5"/>
        <v>5</v>
      </c>
      <c r="AA41">
        <f t="shared" si="6"/>
        <v>-14</v>
      </c>
      <c r="AB41">
        <f t="shared" si="7"/>
        <v>5</v>
      </c>
      <c r="AC41" s="10">
        <f t="shared" si="8"/>
        <v>1</v>
      </c>
      <c r="AD41" s="5">
        <f t="shared" si="0"/>
        <v>1</v>
      </c>
      <c r="AE41" s="5">
        <f t="shared" si="1"/>
        <v>1</v>
      </c>
      <c r="AF41" s="5">
        <f t="shared" si="9"/>
        <v>0</v>
      </c>
      <c r="AG41">
        <f>IF(B41&lt;&gt;"", COUNTIFS($B$2:B41, B41), "")</f>
        <v>6</v>
      </c>
      <c r="AH41">
        <f t="shared" si="10"/>
        <v>5</v>
      </c>
      <c r="AI41" t="str">
        <f>VLOOKUP(B41, Currency!A:B, 2, FALSE)</f>
        <v>INR</v>
      </c>
      <c r="AJ41">
        <f t="shared" si="2"/>
        <v>5</v>
      </c>
      <c r="AK41">
        <f t="shared" si="11"/>
        <v>5</v>
      </c>
      <c r="AL41" t="str">
        <f t="shared" si="12"/>
        <v>May</v>
      </c>
      <c r="AM41">
        <f t="shared" si="13"/>
        <v>2023</v>
      </c>
      <c r="AN41" t="str">
        <f t="shared" si="3"/>
        <v>30Plastocon Industries Pvt Ltd</v>
      </c>
      <c r="AO41">
        <f>IF(COUNTIF($AN$2:AN41, AN41)=1, 1, 0)</f>
        <v>0</v>
      </c>
      <c r="AP41" t="str">
        <f t="shared" si="14"/>
        <v>&gt;3</v>
      </c>
      <c r="AQ41" t="str">
        <f t="shared" si="15"/>
        <v>&gt;3</v>
      </c>
      <c r="AR41" t="str">
        <f t="shared" si="16"/>
        <v>&gt;3</v>
      </c>
    </row>
    <row r="42" spans="1:44" x14ac:dyDescent="0.3">
      <c r="A42" t="s">
        <v>33</v>
      </c>
      <c r="B42" t="s">
        <v>366</v>
      </c>
      <c r="C42" t="s">
        <v>367</v>
      </c>
      <c r="D42">
        <v>2422</v>
      </c>
      <c r="E42">
        <v>23210274</v>
      </c>
      <c r="F42" t="s">
        <v>392</v>
      </c>
      <c r="G42" t="s">
        <v>393</v>
      </c>
      <c r="H42">
        <v>150</v>
      </c>
      <c r="I42">
        <v>11000</v>
      </c>
      <c r="J42">
        <v>1650000</v>
      </c>
      <c r="K42" t="str">
        <f>IFERROR(IF(B42&lt;&gt;"", TEXT(VLOOKUP(B42, 'Expected Date'!A:B, 2, FALSE) + DATE(RIGHT(C42,2),MID(C42,4,2),LEFT(C42,2)), "dd/mm/yy"), ""), "")</f>
        <v>31/05/23</v>
      </c>
      <c r="L42" t="s">
        <v>68</v>
      </c>
      <c r="M42" t="s">
        <v>48</v>
      </c>
      <c r="N42" t="s">
        <v>370</v>
      </c>
      <c r="O42" t="s">
        <v>134</v>
      </c>
      <c r="P42">
        <v>23290505</v>
      </c>
      <c r="Q42" t="s">
        <v>392</v>
      </c>
      <c r="R42" t="s">
        <v>393</v>
      </c>
      <c r="S42">
        <v>28.85</v>
      </c>
      <c r="T42">
        <v>11000</v>
      </c>
      <c r="U42">
        <v>317350</v>
      </c>
      <c r="V42" t="str">
        <f t="shared" si="17"/>
        <v>Accepted</v>
      </c>
      <c r="W42">
        <f>IFERROR(VLOOKUP(N42, Payment_Terms!A:B, 2, FALSE), "Payment term not found!")</f>
        <v>15</v>
      </c>
      <c r="X42" t="str">
        <f>IFERROR(VLOOKUP(R42, Item_Category!A:B, 2, FALSE), "Uncategorized")</f>
        <v>Coal materials</v>
      </c>
      <c r="Y42" s="5">
        <f t="shared" si="4"/>
        <v>0</v>
      </c>
      <c r="Z42">
        <f t="shared" si="5"/>
        <v>5</v>
      </c>
      <c r="AA42">
        <f t="shared" si="6"/>
        <v>8</v>
      </c>
      <c r="AB42">
        <f t="shared" si="7"/>
        <v>2</v>
      </c>
      <c r="AC42" s="10">
        <f t="shared" si="8"/>
        <v>10</v>
      </c>
      <c r="AD42" s="5">
        <f t="shared" si="0"/>
        <v>1</v>
      </c>
      <c r="AE42" s="5">
        <f t="shared" si="1"/>
        <v>1</v>
      </c>
      <c r="AF42" s="5">
        <f t="shared" si="9"/>
        <v>0</v>
      </c>
      <c r="AG42">
        <f>IF(B42&lt;&gt;"", COUNTIFS($B$2:B42, B42), "")</f>
        <v>12</v>
      </c>
      <c r="AH42">
        <f t="shared" si="10"/>
        <v>5</v>
      </c>
      <c r="AI42" t="str">
        <f>VLOOKUP(B42, Currency!A:B, 2, FALSE)</f>
        <v>INR</v>
      </c>
      <c r="AJ42">
        <f t="shared" si="2"/>
        <v>5</v>
      </c>
      <c r="AK42">
        <f t="shared" si="11"/>
        <v>5</v>
      </c>
      <c r="AL42" t="str">
        <f t="shared" si="12"/>
        <v>May</v>
      </c>
      <c r="AM42">
        <f t="shared" si="13"/>
        <v>2023</v>
      </c>
      <c r="AN42" t="str">
        <f t="shared" si="3"/>
        <v>15SKYWIN ENTERPRISE</v>
      </c>
      <c r="AO42">
        <f>IF(COUNTIF($AN$2:AN42, AN42)=1, 1, 0)</f>
        <v>0</v>
      </c>
      <c r="AP42" t="str">
        <f t="shared" si="14"/>
        <v>&gt;3</v>
      </c>
      <c r="AQ42" t="str">
        <f t="shared" si="15"/>
        <v>&gt;3</v>
      </c>
      <c r="AR42" t="str">
        <f t="shared" si="16"/>
        <v>&lt;=3</v>
      </c>
    </row>
    <row r="43" spans="1:44" x14ac:dyDescent="0.3">
      <c r="A43" t="s">
        <v>33</v>
      </c>
      <c r="B43" t="s">
        <v>366</v>
      </c>
      <c r="C43" t="s">
        <v>367</v>
      </c>
      <c r="D43">
        <v>2422</v>
      </c>
      <c r="E43">
        <v>23210274</v>
      </c>
      <c r="F43" t="s">
        <v>392</v>
      </c>
      <c r="G43" t="s">
        <v>393</v>
      </c>
      <c r="H43">
        <v>150</v>
      </c>
      <c r="I43">
        <v>11000</v>
      </c>
      <c r="J43">
        <v>1650000</v>
      </c>
      <c r="K43" t="str">
        <f>IFERROR(IF(B43&lt;&gt;"", TEXT(VLOOKUP(B43, 'Expected Date'!A:B, 2, FALSE) + DATE(RIGHT(C43,2),MID(C43,4,2),LEFT(C43,2)), "dd/mm/yy"), ""), "")</f>
        <v>31/05/23</v>
      </c>
      <c r="L43" t="s">
        <v>68</v>
      </c>
      <c r="M43" t="s">
        <v>48</v>
      </c>
      <c r="N43" t="s">
        <v>370</v>
      </c>
      <c r="O43" t="s">
        <v>45</v>
      </c>
      <c r="P43">
        <v>23290525</v>
      </c>
      <c r="Q43" t="s">
        <v>392</v>
      </c>
      <c r="R43" t="s">
        <v>393</v>
      </c>
      <c r="S43">
        <v>30.6</v>
      </c>
      <c r="T43">
        <v>11000</v>
      </c>
      <c r="U43">
        <v>336600</v>
      </c>
      <c r="V43" t="str">
        <f t="shared" si="17"/>
        <v>Accepted</v>
      </c>
      <c r="W43">
        <f>IFERROR(VLOOKUP(N43, Payment_Terms!A:B, 2, FALSE), "Payment term not found!")</f>
        <v>15</v>
      </c>
      <c r="X43" t="str">
        <f>IFERROR(VLOOKUP(R43, Item_Category!A:B, 2, FALSE), "Uncategorized")</f>
        <v>Coal materials</v>
      </c>
      <c r="Y43" s="5">
        <f t="shared" si="4"/>
        <v>0</v>
      </c>
      <c r="Z43">
        <f t="shared" si="5"/>
        <v>5</v>
      </c>
      <c r="AA43">
        <f t="shared" si="6"/>
        <v>17</v>
      </c>
      <c r="AB43">
        <f t="shared" si="7"/>
        <v>1</v>
      </c>
      <c r="AC43" s="10">
        <f t="shared" si="8"/>
        <v>19</v>
      </c>
      <c r="AD43" s="5">
        <f t="shared" si="0"/>
        <v>1</v>
      </c>
      <c r="AE43" s="5">
        <f t="shared" si="1"/>
        <v>1</v>
      </c>
      <c r="AF43" s="5">
        <f t="shared" si="9"/>
        <v>0</v>
      </c>
      <c r="AG43">
        <f>IF(B43&lt;&gt;"", COUNTIFS($B$2:B43, B43), "")</f>
        <v>13</v>
      </c>
      <c r="AH43">
        <f t="shared" si="10"/>
        <v>5</v>
      </c>
      <c r="AI43" t="str">
        <f>VLOOKUP(B43, Currency!A:B, 2, FALSE)</f>
        <v>INR</v>
      </c>
      <c r="AJ43">
        <f t="shared" si="2"/>
        <v>4</v>
      </c>
      <c r="AK43">
        <f t="shared" si="11"/>
        <v>5</v>
      </c>
      <c r="AL43" t="str">
        <f t="shared" si="12"/>
        <v>May</v>
      </c>
      <c r="AM43">
        <f t="shared" si="13"/>
        <v>2023</v>
      </c>
      <c r="AN43" t="str">
        <f t="shared" si="3"/>
        <v>15SKYWIN ENTERPRISE</v>
      </c>
      <c r="AO43">
        <f>IF(COUNTIF($AN$2:AN43, AN43)=1, 1, 0)</f>
        <v>0</v>
      </c>
      <c r="AP43" t="str">
        <f t="shared" si="14"/>
        <v>&gt;3</v>
      </c>
      <c r="AQ43" t="str">
        <f t="shared" si="15"/>
        <v>&gt;3</v>
      </c>
      <c r="AR43" t="str">
        <f t="shared" si="16"/>
        <v>&lt;=3</v>
      </c>
    </row>
    <row r="44" spans="1:44" x14ac:dyDescent="0.3">
      <c r="A44" t="s">
        <v>33</v>
      </c>
      <c r="B44" t="s">
        <v>366</v>
      </c>
      <c r="C44" t="s">
        <v>378</v>
      </c>
      <c r="D44">
        <v>1347</v>
      </c>
      <c r="E44">
        <v>23210035</v>
      </c>
      <c r="F44" t="s">
        <v>368</v>
      </c>
      <c r="G44" t="s">
        <v>369</v>
      </c>
      <c r="H44">
        <v>100000</v>
      </c>
      <c r="I44">
        <v>8.6</v>
      </c>
      <c r="J44">
        <v>860000</v>
      </c>
      <c r="K44" t="str">
        <f>IFERROR(IF(B44&lt;&gt;"", TEXT(VLOOKUP(B44, 'Expected Date'!A:B, 2, FALSE) + DATE(RIGHT(C44,2),MID(C44,4,2),LEFT(C44,2)), "dd/mm/yy"), ""), "")</f>
        <v>17/04/23</v>
      </c>
      <c r="L44" t="s">
        <v>38</v>
      </c>
      <c r="M44" t="s">
        <v>48</v>
      </c>
      <c r="N44" t="s">
        <v>370</v>
      </c>
      <c r="O44" t="s">
        <v>417</v>
      </c>
      <c r="P44">
        <v>23290088</v>
      </c>
      <c r="Q44" t="s">
        <v>368</v>
      </c>
      <c r="R44" t="s">
        <v>369</v>
      </c>
      <c r="S44">
        <v>33745</v>
      </c>
      <c r="T44">
        <v>8.6</v>
      </c>
      <c r="U44">
        <v>290207</v>
      </c>
      <c r="V44" t="str">
        <f t="shared" si="17"/>
        <v>Accepted</v>
      </c>
      <c r="W44">
        <f>IFERROR(VLOOKUP(N44, Payment_Terms!A:B, 2, FALSE), "Payment term not found!")</f>
        <v>15</v>
      </c>
      <c r="X44" t="str">
        <f>IFERROR(VLOOKUP(R44, Item_Category!A:B, 2, FALSE), "Uncategorized")</f>
        <v>Coal materials</v>
      </c>
      <c r="Y44" s="5">
        <f t="shared" si="4"/>
        <v>0</v>
      </c>
      <c r="Z44">
        <f t="shared" si="5"/>
        <v>5</v>
      </c>
      <c r="AA44">
        <f t="shared" si="6"/>
        <v>-1</v>
      </c>
      <c r="AB44">
        <f t="shared" si="7"/>
        <v>5</v>
      </c>
      <c r="AC44" s="10">
        <f t="shared" si="8"/>
        <v>1</v>
      </c>
      <c r="AD44" s="5">
        <f t="shared" si="0"/>
        <v>1</v>
      </c>
      <c r="AE44" s="5">
        <f t="shared" si="1"/>
        <v>1</v>
      </c>
      <c r="AF44" s="5">
        <f t="shared" si="9"/>
        <v>0</v>
      </c>
      <c r="AG44">
        <f>IF(B44&lt;&gt;"", COUNTIFS($B$2:B44, B44), "")</f>
        <v>14</v>
      </c>
      <c r="AH44">
        <f t="shared" si="10"/>
        <v>5</v>
      </c>
      <c r="AI44" t="str">
        <f>VLOOKUP(B44, Currency!A:B, 2, FALSE)</f>
        <v>INR</v>
      </c>
      <c r="AJ44">
        <f t="shared" si="2"/>
        <v>5</v>
      </c>
      <c r="AK44">
        <f t="shared" si="11"/>
        <v>4</v>
      </c>
      <c r="AL44" t="str">
        <f t="shared" si="12"/>
        <v>April</v>
      </c>
      <c r="AM44">
        <f t="shared" si="13"/>
        <v>2023</v>
      </c>
      <c r="AN44" t="str">
        <f t="shared" si="3"/>
        <v>15SKYWIN ENTERPRISE</v>
      </c>
      <c r="AO44">
        <f>IF(COUNTIF($AN$2:AN44, AN44)=1, 1, 0)</f>
        <v>0</v>
      </c>
      <c r="AP44" t="str">
        <f t="shared" si="14"/>
        <v>&gt;3</v>
      </c>
      <c r="AQ44" t="str">
        <f t="shared" si="15"/>
        <v>&gt;3</v>
      </c>
      <c r="AR44" t="str">
        <f t="shared" si="16"/>
        <v>&gt;3</v>
      </c>
    </row>
    <row r="45" spans="1:44" x14ac:dyDescent="0.3">
      <c r="A45" t="s">
        <v>33</v>
      </c>
      <c r="B45" t="s">
        <v>366</v>
      </c>
      <c r="C45" t="s">
        <v>378</v>
      </c>
      <c r="D45">
        <v>1347</v>
      </c>
      <c r="E45">
        <v>23210035</v>
      </c>
      <c r="F45" t="s">
        <v>368</v>
      </c>
      <c r="G45" t="s">
        <v>369</v>
      </c>
      <c r="H45">
        <v>100000</v>
      </c>
      <c r="I45">
        <v>8.6</v>
      </c>
      <c r="J45">
        <v>860000</v>
      </c>
      <c r="K45" t="str">
        <f>IFERROR(IF(B45&lt;&gt;"", TEXT(VLOOKUP(B45, 'Expected Date'!A:B, 2, FALSE) + DATE(RIGHT(C45,2),MID(C45,4,2),LEFT(C45,2)), "dd/mm/yy"), ""), "")</f>
        <v>17/04/23</v>
      </c>
      <c r="L45" t="s">
        <v>38</v>
      </c>
      <c r="M45" t="s">
        <v>48</v>
      </c>
      <c r="N45" t="s">
        <v>370</v>
      </c>
      <c r="O45" t="s">
        <v>124</v>
      </c>
      <c r="P45">
        <v>23290090</v>
      </c>
      <c r="Q45" t="s">
        <v>368</v>
      </c>
      <c r="R45" t="s">
        <v>369</v>
      </c>
      <c r="S45">
        <v>33935</v>
      </c>
      <c r="T45">
        <v>8.6</v>
      </c>
      <c r="U45">
        <v>291841</v>
      </c>
      <c r="V45" t="str">
        <f t="shared" si="17"/>
        <v>Accepted</v>
      </c>
      <c r="W45">
        <f>IFERROR(VLOOKUP(N45, Payment_Terms!A:B, 2, FALSE), "Payment term not found!")</f>
        <v>15</v>
      </c>
      <c r="X45" t="str">
        <f>IFERROR(VLOOKUP(R45, Item_Category!A:B, 2, FALSE), "Uncategorized")</f>
        <v>Coal materials</v>
      </c>
      <c r="Y45" s="5">
        <f t="shared" si="4"/>
        <v>0</v>
      </c>
      <c r="Z45">
        <f t="shared" si="5"/>
        <v>5</v>
      </c>
      <c r="AA45">
        <f t="shared" si="6"/>
        <v>1</v>
      </c>
      <c r="AB45">
        <f t="shared" si="7"/>
        <v>5</v>
      </c>
      <c r="AC45" s="10">
        <f t="shared" si="8"/>
        <v>3</v>
      </c>
      <c r="AD45" s="5">
        <f t="shared" si="0"/>
        <v>1</v>
      </c>
      <c r="AE45" s="5">
        <f t="shared" si="1"/>
        <v>1</v>
      </c>
      <c r="AF45" s="5">
        <f t="shared" si="9"/>
        <v>0</v>
      </c>
      <c r="AG45">
        <f>IF(B45&lt;&gt;"", COUNTIFS($B$2:B45, B45), "")</f>
        <v>15</v>
      </c>
      <c r="AH45">
        <f t="shared" si="10"/>
        <v>5</v>
      </c>
      <c r="AI45" t="str">
        <f>VLOOKUP(B45, Currency!A:B, 2, FALSE)</f>
        <v>INR</v>
      </c>
      <c r="AJ45">
        <f t="shared" si="2"/>
        <v>5</v>
      </c>
      <c r="AK45">
        <f t="shared" si="11"/>
        <v>4</v>
      </c>
      <c r="AL45" t="str">
        <f t="shared" si="12"/>
        <v>April</v>
      </c>
      <c r="AM45">
        <f t="shared" si="13"/>
        <v>2023</v>
      </c>
      <c r="AN45" t="str">
        <f t="shared" si="3"/>
        <v>15SKYWIN ENTERPRISE</v>
      </c>
      <c r="AO45">
        <f>IF(COUNTIF($AN$2:AN45, AN45)=1, 1, 0)</f>
        <v>0</v>
      </c>
      <c r="AP45" t="str">
        <f t="shared" si="14"/>
        <v>&gt;3</v>
      </c>
      <c r="AQ45" t="str">
        <f t="shared" si="15"/>
        <v>&gt;3</v>
      </c>
      <c r="AR45" t="str">
        <f t="shared" si="16"/>
        <v>&gt;3</v>
      </c>
    </row>
    <row r="46" spans="1:44" x14ac:dyDescent="0.3">
      <c r="A46" t="s">
        <v>33</v>
      </c>
      <c r="B46" t="s">
        <v>353</v>
      </c>
      <c r="C46" t="s">
        <v>94</v>
      </c>
      <c r="D46">
        <v>3573</v>
      </c>
      <c r="E46">
        <v>23210500</v>
      </c>
      <c r="F46" t="s">
        <v>355</v>
      </c>
      <c r="G46" t="s">
        <v>356</v>
      </c>
      <c r="H46">
        <v>40000</v>
      </c>
      <c r="I46">
        <v>1.1000000000000001</v>
      </c>
      <c r="J46">
        <v>44000</v>
      </c>
      <c r="K46" t="str">
        <f>IFERROR(IF(B46&lt;&gt;"", TEXT(VLOOKUP(B46, 'Expected Date'!A:B, 2, FALSE) + DATE(RIGHT(C46,2),MID(C46,4,2),LEFT(C46,2)), "dd/mm/yy"), ""), "")</f>
        <v>09/08/23</v>
      </c>
      <c r="L46" t="s">
        <v>38</v>
      </c>
      <c r="M46" t="s">
        <v>39</v>
      </c>
      <c r="N46" t="s">
        <v>342</v>
      </c>
      <c r="O46" t="s">
        <v>202</v>
      </c>
      <c r="P46">
        <v>23291059</v>
      </c>
      <c r="Q46" t="s">
        <v>355</v>
      </c>
      <c r="R46" t="s">
        <v>356</v>
      </c>
      <c r="S46">
        <v>40000</v>
      </c>
      <c r="T46">
        <v>1.1000000000000001</v>
      </c>
      <c r="U46">
        <v>44000</v>
      </c>
      <c r="V46" t="str">
        <f t="shared" si="17"/>
        <v>Accepted</v>
      </c>
      <c r="W46">
        <f>IFERROR(VLOOKUP(N46, Payment_Terms!A:B, 2, FALSE), "Payment term not found!")</f>
        <v>30</v>
      </c>
      <c r="X46" t="str">
        <f>IFERROR(VLOOKUP(R46, Item_Category!A:B, 2, FALSE), "Uncategorized")</f>
        <v>Sticker</v>
      </c>
      <c r="Y46" s="5">
        <f t="shared" si="4"/>
        <v>0</v>
      </c>
      <c r="Z46">
        <f t="shared" si="5"/>
        <v>5</v>
      </c>
      <c r="AA46">
        <f t="shared" si="6"/>
        <v>0</v>
      </c>
      <c r="AB46">
        <f t="shared" si="7"/>
        <v>5</v>
      </c>
      <c r="AC46" s="10">
        <f t="shared" si="8"/>
        <v>2</v>
      </c>
      <c r="AD46" s="5">
        <f t="shared" si="0"/>
        <v>1</v>
      </c>
      <c r="AE46" s="5">
        <f t="shared" si="1"/>
        <v>1</v>
      </c>
      <c r="AF46" s="5">
        <f t="shared" si="9"/>
        <v>0</v>
      </c>
      <c r="AG46">
        <f>IF(B46&lt;&gt;"", COUNTIFS($B$2:B46, B46), "")</f>
        <v>3</v>
      </c>
      <c r="AH46">
        <f t="shared" si="10"/>
        <v>5</v>
      </c>
      <c r="AI46" t="str">
        <f>VLOOKUP(B46, Currency!A:B, 2, FALSE)</f>
        <v>INR</v>
      </c>
      <c r="AJ46">
        <f t="shared" si="2"/>
        <v>5</v>
      </c>
      <c r="AK46">
        <f t="shared" si="11"/>
        <v>8</v>
      </c>
      <c r="AL46" t="str">
        <f t="shared" si="12"/>
        <v>August</v>
      </c>
      <c r="AM46">
        <f t="shared" si="13"/>
        <v>2023</v>
      </c>
      <c r="AN46" t="str">
        <f t="shared" si="3"/>
        <v>30Akar Multi Form</v>
      </c>
      <c r="AO46">
        <f>IF(COUNTIF($AN$2:AN46, AN46)=1, 1, 0)</f>
        <v>0</v>
      </c>
      <c r="AP46" t="str">
        <f t="shared" si="14"/>
        <v>&gt;3</v>
      </c>
      <c r="AQ46" t="str">
        <f t="shared" si="15"/>
        <v>&gt;3</v>
      </c>
      <c r="AR46" t="str">
        <f t="shared" si="16"/>
        <v>&gt;3</v>
      </c>
    </row>
    <row r="47" spans="1:44" x14ac:dyDescent="0.3">
      <c r="A47" t="s">
        <v>33</v>
      </c>
      <c r="B47" t="s">
        <v>418</v>
      </c>
      <c r="C47" t="s">
        <v>419</v>
      </c>
      <c r="D47">
        <v>1457</v>
      </c>
      <c r="E47">
        <v>23210063</v>
      </c>
      <c r="F47" t="s">
        <v>420</v>
      </c>
      <c r="G47" t="s">
        <v>421</v>
      </c>
      <c r="H47">
        <v>2000</v>
      </c>
      <c r="I47">
        <v>33</v>
      </c>
      <c r="J47">
        <v>66000</v>
      </c>
      <c r="K47" t="str">
        <f>IFERROR(IF(B47&lt;&gt;"", TEXT(VLOOKUP(B47, 'Expected Date'!A:B, 2, FALSE) + DATE(RIGHT(C47,2),MID(C47,4,2),LEFT(C47,2)), "dd/mm/yy"), ""), "")</f>
        <v>27/04/23</v>
      </c>
      <c r="L47" t="s">
        <v>38</v>
      </c>
      <c r="M47" t="s">
        <v>48</v>
      </c>
      <c r="N47" t="s">
        <v>342</v>
      </c>
      <c r="O47" t="s">
        <v>422</v>
      </c>
      <c r="P47">
        <v>23290122</v>
      </c>
      <c r="Q47" t="s">
        <v>420</v>
      </c>
      <c r="R47" t="s">
        <v>421</v>
      </c>
      <c r="S47">
        <v>2000</v>
      </c>
      <c r="T47">
        <v>33</v>
      </c>
      <c r="U47">
        <v>66000</v>
      </c>
      <c r="V47" t="str">
        <f t="shared" si="17"/>
        <v>Accepted</v>
      </c>
      <c r="W47">
        <f>IFERROR(VLOOKUP(N47, Payment_Terms!A:B, 2, FALSE), "Payment term not found!")</f>
        <v>30</v>
      </c>
      <c r="X47" t="str">
        <f>IFERROR(VLOOKUP(R47, Item_Category!A:B, 2, FALSE), "Uncategorized")</f>
        <v>Hydrogen Peroxide</v>
      </c>
      <c r="Y47" s="5">
        <f t="shared" si="4"/>
        <v>0</v>
      </c>
      <c r="Z47">
        <f t="shared" si="5"/>
        <v>5</v>
      </c>
      <c r="AA47">
        <f t="shared" si="6"/>
        <v>-4</v>
      </c>
      <c r="AB47">
        <f t="shared" si="7"/>
        <v>5</v>
      </c>
      <c r="AC47" s="10">
        <f t="shared" si="8"/>
        <v>1</v>
      </c>
      <c r="AD47" s="5">
        <f t="shared" si="0"/>
        <v>1</v>
      </c>
      <c r="AE47" s="5">
        <f t="shared" si="1"/>
        <v>1</v>
      </c>
      <c r="AF47" s="5">
        <f t="shared" si="9"/>
        <v>0</v>
      </c>
      <c r="AG47">
        <f>IF(B47&lt;&gt;"", COUNTIFS($B$2:B47, B47), "")</f>
        <v>1</v>
      </c>
      <c r="AH47">
        <f t="shared" si="10"/>
        <v>5</v>
      </c>
      <c r="AI47" t="str">
        <f>VLOOKUP(B47, Currency!A:B, 2, FALSE)</f>
        <v>INR</v>
      </c>
      <c r="AJ47">
        <f t="shared" si="2"/>
        <v>5</v>
      </c>
      <c r="AK47">
        <f t="shared" si="11"/>
        <v>4</v>
      </c>
      <c r="AL47" t="str">
        <f t="shared" si="12"/>
        <v>April</v>
      </c>
      <c r="AM47">
        <f t="shared" si="13"/>
        <v>2023</v>
      </c>
      <c r="AN47" t="str">
        <f t="shared" si="3"/>
        <v>30RADHA KRISHNA CHEMICALS</v>
      </c>
      <c r="AO47">
        <f>IF(COUNTIF($AN$2:AN47, AN47)=1, 1, 0)</f>
        <v>1</v>
      </c>
      <c r="AP47" t="str">
        <f t="shared" si="14"/>
        <v>&gt;3</v>
      </c>
      <c r="AQ47" t="str">
        <f t="shared" si="15"/>
        <v>&gt;3</v>
      </c>
      <c r="AR47" t="str">
        <f t="shared" si="16"/>
        <v>&gt;3</v>
      </c>
    </row>
    <row r="48" spans="1:44" x14ac:dyDescent="0.3">
      <c r="A48" t="s">
        <v>33</v>
      </c>
      <c r="B48" t="str">
        <f>B2</f>
        <v>Ami Enterprises</v>
      </c>
      <c r="C48" t="s">
        <v>423</v>
      </c>
      <c r="D48">
        <v>3302</v>
      </c>
      <c r="E48">
        <v>23210447</v>
      </c>
      <c r="F48" t="s">
        <v>424</v>
      </c>
      <c r="G48" t="s">
        <v>425</v>
      </c>
      <c r="H48">
        <v>250</v>
      </c>
      <c r="I48">
        <v>33.5</v>
      </c>
      <c r="J48">
        <v>8375</v>
      </c>
      <c r="K48" t="str">
        <f>IFERROR(IF(B48&lt;&gt;"", TEXT(VLOOKUP(B48, 'Expected Date'!A:B, 2, FALSE) + DATE(RIGHT(C48,2),MID(C48,4,2),LEFT(C48,2)), "dd/mm/yy"), ""), "")</f>
        <v>01/08/23</v>
      </c>
      <c r="L48" t="s">
        <v>68</v>
      </c>
      <c r="M48" t="s">
        <v>39</v>
      </c>
      <c r="N48" t="s">
        <v>342</v>
      </c>
      <c r="O48" t="s">
        <v>227</v>
      </c>
      <c r="P48">
        <v>23290943</v>
      </c>
      <c r="Q48" t="s">
        <v>424</v>
      </c>
      <c r="R48" t="s">
        <v>425</v>
      </c>
      <c r="S48">
        <v>212</v>
      </c>
      <c r="T48">
        <v>33.5</v>
      </c>
      <c r="U48">
        <v>7102</v>
      </c>
      <c r="V48" t="str">
        <f t="shared" si="17"/>
        <v>Accepted</v>
      </c>
      <c r="W48">
        <f>IFERROR(VLOOKUP(N48, Payment_Terms!A:B, 2, FALSE), "Payment term not found!")</f>
        <v>30</v>
      </c>
      <c r="X48" t="str">
        <f>IFERROR(VLOOKUP(R48, Item_Category!A:B, 2, FALSE), "Uncategorized")</f>
        <v>Bags</v>
      </c>
      <c r="Y48" s="5">
        <f t="shared" si="4"/>
        <v>0.152</v>
      </c>
      <c r="Z48">
        <f t="shared" si="5"/>
        <v>1</v>
      </c>
      <c r="AA48">
        <f t="shared" si="6"/>
        <v>-7</v>
      </c>
      <c r="AB48">
        <f t="shared" si="7"/>
        <v>5</v>
      </c>
      <c r="AC48" s="10">
        <f t="shared" si="8"/>
        <v>3</v>
      </c>
      <c r="AD48" s="5">
        <f t="shared" si="0"/>
        <v>1</v>
      </c>
      <c r="AE48" s="5">
        <f t="shared" si="1"/>
        <v>1</v>
      </c>
      <c r="AF48" s="5">
        <f t="shared" si="9"/>
        <v>0</v>
      </c>
      <c r="AG48">
        <f>IF(B48&lt;&gt;"", COUNTIFS($B$2:B48, B48), "")</f>
        <v>3</v>
      </c>
      <c r="AH48">
        <f t="shared" si="10"/>
        <v>5</v>
      </c>
      <c r="AI48" t="str">
        <f>VLOOKUP(B48, Currency!A:B, 2, FALSE)</f>
        <v>INR</v>
      </c>
      <c r="AJ48">
        <f t="shared" si="2"/>
        <v>4</v>
      </c>
      <c r="AK48">
        <f t="shared" si="11"/>
        <v>7</v>
      </c>
      <c r="AL48" t="str">
        <f t="shared" si="12"/>
        <v>July</v>
      </c>
      <c r="AM48">
        <f t="shared" si="13"/>
        <v>2023</v>
      </c>
      <c r="AN48" t="str">
        <f t="shared" si="3"/>
        <v>30Ami Enterprises</v>
      </c>
      <c r="AO48">
        <f>IF(COUNTIF($AN$2:AN48, AN48)=1, 1, 0)</f>
        <v>0</v>
      </c>
      <c r="AP48" t="str">
        <f t="shared" si="14"/>
        <v>&gt;3</v>
      </c>
      <c r="AQ48" t="str">
        <f t="shared" si="15"/>
        <v>&lt;=3</v>
      </c>
      <c r="AR48" t="str">
        <f t="shared" si="16"/>
        <v>&gt;3</v>
      </c>
    </row>
    <row r="49" spans="1:44" x14ac:dyDescent="0.3">
      <c r="A49" t="s">
        <v>33</v>
      </c>
      <c r="B49" t="s">
        <v>395</v>
      </c>
      <c r="C49" t="s">
        <v>88</v>
      </c>
      <c r="D49">
        <v>2928</v>
      </c>
      <c r="E49">
        <v>23210383</v>
      </c>
      <c r="F49" t="s">
        <v>392</v>
      </c>
      <c r="G49" t="s">
        <v>393</v>
      </c>
      <c r="H49">
        <v>200</v>
      </c>
      <c r="I49">
        <v>10700</v>
      </c>
      <c r="J49">
        <v>2140000</v>
      </c>
      <c r="K49" t="str">
        <f>IFERROR(IF(B49&lt;&gt;"", TEXT(VLOOKUP(B49, 'Expected Date'!A:B, 2, FALSE) + DATE(RIGHT(C49,2),MID(C49,4,2),LEFT(C49,2)), "dd/mm/yy"), ""), "")</f>
        <v>09/07/23</v>
      </c>
      <c r="L49" t="s">
        <v>68</v>
      </c>
      <c r="M49" t="s">
        <v>48</v>
      </c>
      <c r="N49" t="s">
        <v>370</v>
      </c>
      <c r="O49" t="s">
        <v>426</v>
      </c>
      <c r="P49">
        <v>23290960</v>
      </c>
      <c r="Q49" t="s">
        <v>392</v>
      </c>
      <c r="R49" t="s">
        <v>393</v>
      </c>
      <c r="S49">
        <v>28.62</v>
      </c>
      <c r="T49">
        <v>10700</v>
      </c>
      <c r="U49">
        <v>306234</v>
      </c>
      <c r="V49" t="str">
        <f t="shared" si="17"/>
        <v>Accepted</v>
      </c>
      <c r="W49">
        <f>IFERROR(VLOOKUP(N49, Payment_Terms!A:B, 2, FALSE), "Payment term not found!")</f>
        <v>15</v>
      </c>
      <c r="X49" t="str">
        <f>IFERROR(VLOOKUP(R49, Item_Category!A:B, 2, FALSE), "Uncategorized")</f>
        <v>Coal materials</v>
      </c>
      <c r="Y49" s="5">
        <f t="shared" si="4"/>
        <v>5.1500000000000053E-3</v>
      </c>
      <c r="Z49">
        <f t="shared" si="5"/>
        <v>4</v>
      </c>
      <c r="AA49">
        <f t="shared" si="6"/>
        <v>-1</v>
      </c>
      <c r="AB49">
        <f t="shared" si="7"/>
        <v>5</v>
      </c>
      <c r="AC49" s="10">
        <f t="shared" si="8"/>
        <v>4</v>
      </c>
      <c r="AD49" s="5">
        <f t="shared" si="0"/>
        <v>1</v>
      </c>
      <c r="AE49" s="5">
        <f t="shared" si="1"/>
        <v>1</v>
      </c>
      <c r="AF49" s="5">
        <f t="shared" si="9"/>
        <v>0</v>
      </c>
      <c r="AG49">
        <f>IF(B49&lt;&gt;"", COUNTIFS($B$2:B49, B49), "")</f>
        <v>3</v>
      </c>
      <c r="AH49">
        <f t="shared" si="10"/>
        <v>5</v>
      </c>
      <c r="AI49" t="str">
        <f>VLOOKUP(B49, Currency!A:B, 2, FALSE)</f>
        <v>INR</v>
      </c>
      <c r="AJ49">
        <f t="shared" si="2"/>
        <v>5</v>
      </c>
      <c r="AK49">
        <f t="shared" si="11"/>
        <v>7</v>
      </c>
      <c r="AL49" t="str">
        <f t="shared" si="12"/>
        <v>July</v>
      </c>
      <c r="AM49">
        <f t="shared" si="13"/>
        <v>2023</v>
      </c>
      <c r="AN49" t="str">
        <f t="shared" si="3"/>
        <v>15Crystal coal corporation</v>
      </c>
      <c r="AO49">
        <f>IF(COUNTIF($AN$2:AN49, AN49)=1, 1, 0)</f>
        <v>1</v>
      </c>
      <c r="AP49" t="str">
        <f t="shared" si="14"/>
        <v>&gt;3</v>
      </c>
      <c r="AQ49" t="str">
        <f t="shared" si="15"/>
        <v>&gt;3</v>
      </c>
      <c r="AR49" t="str">
        <f t="shared" si="16"/>
        <v>&gt;3</v>
      </c>
    </row>
    <row r="50" spans="1:44" x14ac:dyDescent="0.3">
      <c r="A50" t="s">
        <v>33</v>
      </c>
      <c r="B50" t="s">
        <v>395</v>
      </c>
      <c r="C50" t="s">
        <v>88</v>
      </c>
      <c r="D50">
        <v>2928</v>
      </c>
      <c r="E50">
        <v>23210383</v>
      </c>
      <c r="F50" t="s">
        <v>392</v>
      </c>
      <c r="G50" t="s">
        <v>393</v>
      </c>
      <c r="H50">
        <v>200</v>
      </c>
      <c r="I50">
        <v>10700</v>
      </c>
      <c r="J50">
        <v>2140000</v>
      </c>
      <c r="K50" t="str">
        <f>IFERROR(IF(B50&lt;&gt;"", TEXT(VLOOKUP(B50, 'Expected Date'!A:B, 2, FALSE) + DATE(RIGHT(C50,2),MID(C50,4,2),LEFT(C50,2)), "dd/mm/yy"), ""), "")</f>
        <v>09/07/23</v>
      </c>
      <c r="L50" t="s">
        <v>68</v>
      </c>
      <c r="M50" t="s">
        <v>48</v>
      </c>
      <c r="N50" t="s">
        <v>370</v>
      </c>
      <c r="O50" t="s">
        <v>87</v>
      </c>
      <c r="P50">
        <v>23290961</v>
      </c>
      <c r="Q50" t="s">
        <v>392</v>
      </c>
      <c r="R50" t="s">
        <v>393</v>
      </c>
      <c r="S50">
        <v>28.47</v>
      </c>
      <c r="T50">
        <v>10700</v>
      </c>
      <c r="U50">
        <v>304629</v>
      </c>
      <c r="V50" t="str">
        <f t="shared" si="17"/>
        <v>Accepted</v>
      </c>
      <c r="W50">
        <f>IFERROR(VLOOKUP(N50, Payment_Terms!A:B, 2, FALSE), "Payment term not found!")</f>
        <v>15</v>
      </c>
      <c r="X50" t="str">
        <f>IFERROR(VLOOKUP(R50, Item_Category!A:B, 2, FALSE), "Uncategorized")</f>
        <v>Coal materials</v>
      </c>
      <c r="Y50" s="5">
        <f t="shared" si="4"/>
        <v>5.1500000000000053E-3</v>
      </c>
      <c r="Z50">
        <f t="shared" si="5"/>
        <v>4</v>
      </c>
      <c r="AA50">
        <f t="shared" si="6"/>
        <v>3</v>
      </c>
      <c r="AB50">
        <f t="shared" si="7"/>
        <v>4</v>
      </c>
      <c r="AC50" s="10">
        <f t="shared" si="8"/>
        <v>8</v>
      </c>
      <c r="AD50" s="5">
        <f t="shared" si="0"/>
        <v>1</v>
      </c>
      <c r="AE50" s="5">
        <f t="shared" si="1"/>
        <v>1</v>
      </c>
      <c r="AF50" s="5">
        <f t="shared" si="9"/>
        <v>0</v>
      </c>
      <c r="AG50">
        <f>IF(B50&lt;&gt;"", COUNTIFS($B$2:B50, B50), "")</f>
        <v>4</v>
      </c>
      <c r="AH50">
        <f t="shared" si="10"/>
        <v>5</v>
      </c>
      <c r="AI50" t="str">
        <f>VLOOKUP(B50, Currency!A:B, 2, FALSE)</f>
        <v>INR</v>
      </c>
      <c r="AJ50">
        <f t="shared" si="2"/>
        <v>5</v>
      </c>
      <c r="AK50">
        <f t="shared" si="11"/>
        <v>7</v>
      </c>
      <c r="AL50" t="str">
        <f t="shared" si="12"/>
        <v>July</v>
      </c>
      <c r="AM50">
        <f t="shared" si="13"/>
        <v>2023</v>
      </c>
      <c r="AN50" t="str">
        <f t="shared" si="3"/>
        <v>15Crystal coal corporation</v>
      </c>
      <c r="AO50">
        <f>IF(COUNTIF($AN$2:AN50, AN50)=1, 1, 0)</f>
        <v>0</v>
      </c>
      <c r="AP50" t="str">
        <f t="shared" si="14"/>
        <v>&gt;3</v>
      </c>
      <c r="AQ50" t="str">
        <f t="shared" si="15"/>
        <v>&gt;3</v>
      </c>
      <c r="AR50" t="str">
        <f t="shared" si="16"/>
        <v>&gt;3</v>
      </c>
    </row>
    <row r="51" spans="1:44" x14ac:dyDescent="0.3">
      <c r="A51" t="s">
        <v>33</v>
      </c>
      <c r="B51" t="s">
        <v>395</v>
      </c>
      <c r="C51" t="s">
        <v>427</v>
      </c>
      <c r="D51">
        <v>1224</v>
      </c>
      <c r="E51">
        <v>23210017</v>
      </c>
      <c r="F51" t="s">
        <v>368</v>
      </c>
      <c r="G51" t="s">
        <v>369</v>
      </c>
      <c r="H51">
        <v>150000</v>
      </c>
      <c r="I51">
        <v>8.125</v>
      </c>
      <c r="J51">
        <v>1218750</v>
      </c>
      <c r="K51" t="str">
        <f>IFERROR(IF(B51&lt;&gt;"", TEXT(VLOOKUP(B51, 'Expected Date'!A:B, 2, FALSE) + DATE(RIGHT(C51,2),MID(C51,4,2),LEFT(C51,2)), "dd/mm/yy"), ""), "")</f>
        <v>06/04/23</v>
      </c>
      <c r="L51" t="s">
        <v>68</v>
      </c>
      <c r="M51" t="s">
        <v>48</v>
      </c>
      <c r="N51" t="s">
        <v>342</v>
      </c>
      <c r="O51" t="s">
        <v>428</v>
      </c>
      <c r="P51">
        <v>23290123</v>
      </c>
      <c r="Q51" t="s">
        <v>368</v>
      </c>
      <c r="R51" t="s">
        <v>369</v>
      </c>
      <c r="S51">
        <v>37830</v>
      </c>
      <c r="T51">
        <v>8.125</v>
      </c>
      <c r="U51">
        <v>307368.75</v>
      </c>
      <c r="V51" t="str">
        <f t="shared" si="17"/>
        <v>Accepted</v>
      </c>
      <c r="W51">
        <f>IFERROR(VLOOKUP(N51, Payment_Terms!A:B, 2, FALSE), "Payment term not found!")</f>
        <v>30</v>
      </c>
      <c r="X51" t="str">
        <f>IFERROR(VLOOKUP(R51, Item_Category!A:B, 2, FALSE), "Uncategorized")</f>
        <v>Coal materials</v>
      </c>
      <c r="Y51" s="5">
        <f t="shared" si="4"/>
        <v>0.49559999999999998</v>
      </c>
      <c r="Z51">
        <f t="shared" si="5"/>
        <v>1</v>
      </c>
      <c r="AA51">
        <f t="shared" si="6"/>
        <v>-3</v>
      </c>
      <c r="AB51">
        <f t="shared" si="7"/>
        <v>5</v>
      </c>
      <c r="AC51" s="10">
        <f t="shared" si="8"/>
        <v>2</v>
      </c>
      <c r="AD51" s="5">
        <f t="shared" si="0"/>
        <v>1</v>
      </c>
      <c r="AE51" s="5">
        <f t="shared" si="1"/>
        <v>1</v>
      </c>
      <c r="AF51" s="5">
        <f t="shared" si="9"/>
        <v>0</v>
      </c>
      <c r="AG51">
        <f>IF(B51&lt;&gt;"", COUNTIFS($B$2:B51, B51), "")</f>
        <v>5</v>
      </c>
      <c r="AH51">
        <f t="shared" si="10"/>
        <v>5</v>
      </c>
      <c r="AI51" t="str">
        <f>VLOOKUP(B51, Currency!A:B, 2, FALSE)</f>
        <v>INR</v>
      </c>
      <c r="AJ51">
        <f t="shared" si="2"/>
        <v>4</v>
      </c>
      <c r="AK51">
        <f t="shared" si="11"/>
        <v>4</v>
      </c>
      <c r="AL51" t="str">
        <f t="shared" si="12"/>
        <v>April</v>
      </c>
      <c r="AM51">
        <f t="shared" si="13"/>
        <v>2023</v>
      </c>
      <c r="AN51" t="str">
        <f t="shared" si="3"/>
        <v>30Crystal coal corporation</v>
      </c>
      <c r="AO51">
        <f>IF(COUNTIF($AN$2:AN51, AN51)=1, 1, 0)</f>
        <v>0</v>
      </c>
      <c r="AP51" t="str">
        <f t="shared" si="14"/>
        <v>&gt;3</v>
      </c>
      <c r="AQ51" t="str">
        <f t="shared" si="15"/>
        <v>&lt;=3</v>
      </c>
      <c r="AR51" t="str">
        <f t="shared" si="16"/>
        <v>&gt;3</v>
      </c>
    </row>
    <row r="52" spans="1:44" x14ac:dyDescent="0.3">
      <c r="A52" t="s">
        <v>33</v>
      </c>
      <c r="B52" t="s">
        <v>366</v>
      </c>
      <c r="C52" t="s">
        <v>210</v>
      </c>
      <c r="D52">
        <v>1907</v>
      </c>
      <c r="E52">
        <v>23210167</v>
      </c>
      <c r="F52" t="s">
        <v>392</v>
      </c>
      <c r="G52" t="s">
        <v>393</v>
      </c>
      <c r="H52">
        <v>100</v>
      </c>
      <c r="I52">
        <v>11000</v>
      </c>
      <c r="J52">
        <v>1100000</v>
      </c>
      <c r="K52" t="str">
        <f>IFERROR(IF(B52&lt;&gt;"", TEXT(VLOOKUP(B52, 'Expected Date'!A:B, 2, FALSE) + DATE(RIGHT(C52,2),MID(C52,4,2),LEFT(C52,2)), "dd/mm/yy"), ""), "")</f>
        <v>15/05/23</v>
      </c>
      <c r="L52" t="s">
        <v>68</v>
      </c>
      <c r="M52" t="s">
        <v>48</v>
      </c>
      <c r="N52" t="s">
        <v>370</v>
      </c>
      <c r="O52" t="s">
        <v>269</v>
      </c>
      <c r="P52">
        <v>23290274</v>
      </c>
      <c r="Q52" t="s">
        <v>392</v>
      </c>
      <c r="R52" t="s">
        <v>393</v>
      </c>
      <c r="S52">
        <v>27.93</v>
      </c>
      <c r="T52">
        <v>11000</v>
      </c>
      <c r="U52">
        <v>307230</v>
      </c>
      <c r="V52" t="str">
        <f t="shared" si="17"/>
        <v>Accepted</v>
      </c>
      <c r="W52">
        <f>IFERROR(VLOOKUP(N52, Payment_Terms!A:B, 2, FALSE), "Payment term not found!")</f>
        <v>15</v>
      </c>
      <c r="X52" t="str">
        <f>IFERROR(VLOOKUP(R52, Item_Category!A:B, 2, FALSE), "Uncategorized")</f>
        <v>Coal materials</v>
      </c>
      <c r="Y52" s="5">
        <f t="shared" si="4"/>
        <v>0.1686</v>
      </c>
      <c r="Z52">
        <f t="shared" si="5"/>
        <v>1</v>
      </c>
      <c r="AA52">
        <f t="shared" si="6"/>
        <v>0</v>
      </c>
      <c r="AB52">
        <f t="shared" si="7"/>
        <v>5</v>
      </c>
      <c r="AC52" s="10">
        <f t="shared" si="8"/>
        <v>2</v>
      </c>
      <c r="AD52" s="5">
        <f t="shared" si="0"/>
        <v>1</v>
      </c>
      <c r="AE52" s="5">
        <f t="shared" si="1"/>
        <v>1</v>
      </c>
      <c r="AF52" s="5">
        <f t="shared" si="9"/>
        <v>0</v>
      </c>
      <c r="AG52">
        <f>IF(B52&lt;&gt;"", COUNTIFS($B$2:B52, B52), "")</f>
        <v>16</v>
      </c>
      <c r="AH52">
        <f t="shared" si="10"/>
        <v>5</v>
      </c>
      <c r="AI52" t="str">
        <f>VLOOKUP(B52, Currency!A:B, 2, FALSE)</f>
        <v>INR</v>
      </c>
      <c r="AJ52">
        <f t="shared" si="2"/>
        <v>4</v>
      </c>
      <c r="AK52">
        <f t="shared" si="11"/>
        <v>5</v>
      </c>
      <c r="AL52" t="str">
        <f t="shared" si="12"/>
        <v>May</v>
      </c>
      <c r="AM52">
        <f t="shared" si="13"/>
        <v>2023</v>
      </c>
      <c r="AN52" t="str">
        <f t="shared" si="3"/>
        <v>15SKYWIN ENTERPRISE</v>
      </c>
      <c r="AO52">
        <f>IF(COUNTIF($AN$2:AN52, AN52)=1, 1, 0)</f>
        <v>0</v>
      </c>
      <c r="AP52" t="str">
        <f t="shared" si="14"/>
        <v>&gt;3</v>
      </c>
      <c r="AQ52" t="str">
        <f t="shared" si="15"/>
        <v>&lt;=3</v>
      </c>
      <c r="AR52" t="str">
        <f t="shared" si="16"/>
        <v>&gt;3</v>
      </c>
    </row>
    <row r="53" spans="1:44" x14ac:dyDescent="0.3">
      <c r="A53" t="s">
        <v>33</v>
      </c>
      <c r="B53" t="s">
        <v>366</v>
      </c>
      <c r="C53" t="s">
        <v>210</v>
      </c>
      <c r="D53">
        <v>1907</v>
      </c>
      <c r="E53">
        <v>23210167</v>
      </c>
      <c r="F53" t="s">
        <v>392</v>
      </c>
      <c r="G53" t="s">
        <v>393</v>
      </c>
      <c r="H53">
        <v>100</v>
      </c>
      <c r="I53">
        <v>11000</v>
      </c>
      <c r="J53">
        <v>1100000</v>
      </c>
      <c r="K53" t="str">
        <f>IFERROR(IF(B53&lt;&gt;"", TEXT(VLOOKUP(B53, 'Expected Date'!A:B, 2, FALSE) + DATE(RIGHT(C53,2),MID(C53,4,2),LEFT(C53,2)), "dd/mm/yy"), ""), "")</f>
        <v>15/05/23</v>
      </c>
      <c r="L53" t="s">
        <v>68</v>
      </c>
      <c r="M53" t="s">
        <v>48</v>
      </c>
      <c r="N53" t="s">
        <v>370</v>
      </c>
      <c r="O53" t="s">
        <v>223</v>
      </c>
      <c r="P53">
        <v>23290275</v>
      </c>
      <c r="Q53" t="s">
        <v>392</v>
      </c>
      <c r="R53" t="s">
        <v>393</v>
      </c>
      <c r="S53">
        <v>27.71</v>
      </c>
      <c r="T53">
        <v>11000</v>
      </c>
      <c r="U53">
        <v>304810</v>
      </c>
      <c r="V53" t="str">
        <f t="shared" si="17"/>
        <v>Accepted</v>
      </c>
      <c r="W53">
        <f>IFERROR(VLOOKUP(N53, Payment_Terms!A:B, 2, FALSE), "Payment term not found!")</f>
        <v>15</v>
      </c>
      <c r="X53" t="str">
        <f>IFERROR(VLOOKUP(R53, Item_Category!A:B, 2, FALSE), "Uncategorized")</f>
        <v>Coal materials</v>
      </c>
      <c r="Y53" s="5">
        <f t="shared" si="4"/>
        <v>0.1686</v>
      </c>
      <c r="Z53">
        <f t="shared" si="5"/>
        <v>1</v>
      </c>
      <c r="AA53">
        <f t="shared" si="6"/>
        <v>2</v>
      </c>
      <c r="AB53">
        <f t="shared" si="7"/>
        <v>5</v>
      </c>
      <c r="AC53" s="10">
        <f t="shared" si="8"/>
        <v>4</v>
      </c>
      <c r="AD53" s="5">
        <f t="shared" si="0"/>
        <v>1</v>
      </c>
      <c r="AE53" s="5">
        <f t="shared" si="1"/>
        <v>1</v>
      </c>
      <c r="AF53" s="5">
        <f t="shared" si="9"/>
        <v>0</v>
      </c>
      <c r="AG53">
        <f>IF(B53&lt;&gt;"", COUNTIFS($B$2:B53, B53), "")</f>
        <v>17</v>
      </c>
      <c r="AH53">
        <f t="shared" si="10"/>
        <v>5</v>
      </c>
      <c r="AI53" t="str">
        <f>VLOOKUP(B53, Currency!A:B, 2, FALSE)</f>
        <v>INR</v>
      </c>
      <c r="AJ53">
        <f t="shared" si="2"/>
        <v>4</v>
      </c>
      <c r="AK53">
        <f t="shared" si="11"/>
        <v>5</v>
      </c>
      <c r="AL53" t="str">
        <f t="shared" si="12"/>
        <v>May</v>
      </c>
      <c r="AM53">
        <f t="shared" si="13"/>
        <v>2023</v>
      </c>
      <c r="AN53" t="str">
        <f t="shared" si="3"/>
        <v>15SKYWIN ENTERPRISE</v>
      </c>
      <c r="AO53">
        <f>IF(COUNTIF($AN$2:AN53, AN53)=1, 1, 0)</f>
        <v>0</v>
      </c>
      <c r="AP53" t="str">
        <f t="shared" si="14"/>
        <v>&gt;3</v>
      </c>
      <c r="AQ53" t="str">
        <f t="shared" si="15"/>
        <v>&lt;=3</v>
      </c>
      <c r="AR53" t="str">
        <f t="shared" si="16"/>
        <v>&gt;3</v>
      </c>
    </row>
    <row r="54" spans="1:44" x14ac:dyDescent="0.3">
      <c r="A54" t="s">
        <v>33</v>
      </c>
      <c r="B54" t="s">
        <v>429</v>
      </c>
      <c r="C54" t="s">
        <v>89</v>
      </c>
      <c r="D54">
        <v>2822</v>
      </c>
      <c r="E54">
        <v>23210366</v>
      </c>
      <c r="F54" t="s">
        <v>430</v>
      </c>
      <c r="G54" t="s">
        <v>431</v>
      </c>
      <c r="H54">
        <v>5000</v>
      </c>
      <c r="I54">
        <v>8.1999999999999993</v>
      </c>
      <c r="J54">
        <v>41000</v>
      </c>
      <c r="K54" t="str">
        <f>IFERROR(IF(B54&lt;&gt;"", TEXT(VLOOKUP(B54, 'Expected Date'!A:B, 2, FALSE) + DATE(RIGHT(C54,2),MID(C54,4,2),LEFT(C54,2)), "dd/mm/yy"), ""), "")</f>
        <v>10/07/23</v>
      </c>
      <c r="L54" t="s">
        <v>38</v>
      </c>
      <c r="M54" t="s">
        <v>48</v>
      </c>
      <c r="N54" t="s">
        <v>299</v>
      </c>
      <c r="O54" t="s">
        <v>90</v>
      </c>
      <c r="P54">
        <v>23290680</v>
      </c>
      <c r="Q54" t="s">
        <v>430</v>
      </c>
      <c r="R54" t="s">
        <v>431</v>
      </c>
      <c r="S54">
        <v>2500</v>
      </c>
      <c r="T54">
        <v>8.1999999999999993</v>
      </c>
      <c r="U54">
        <v>20500</v>
      </c>
      <c r="V54" t="str">
        <f t="shared" si="17"/>
        <v>Accepted</v>
      </c>
      <c r="W54">
        <f>IFERROR(VLOOKUP(N54, Payment_Terms!A:B, 2, FALSE), "Payment term not found!")</f>
        <v>60</v>
      </c>
      <c r="X54" t="str">
        <f>IFERROR(VLOOKUP(R54, Item_Category!A:B, 2, FALSE), "Uncategorized")</f>
        <v>Lime</v>
      </c>
      <c r="Y54" s="5">
        <f t="shared" si="4"/>
        <v>0</v>
      </c>
      <c r="Z54">
        <f t="shared" si="5"/>
        <v>5</v>
      </c>
      <c r="AA54">
        <f t="shared" si="6"/>
        <v>-4</v>
      </c>
      <c r="AB54">
        <f t="shared" si="7"/>
        <v>5</v>
      </c>
      <c r="AC54" s="10">
        <f t="shared" si="8"/>
        <v>1</v>
      </c>
      <c r="AD54" s="5">
        <f t="shared" si="0"/>
        <v>1</v>
      </c>
      <c r="AE54" s="5">
        <f t="shared" si="1"/>
        <v>1</v>
      </c>
      <c r="AF54" s="5">
        <f t="shared" si="9"/>
        <v>0</v>
      </c>
      <c r="AG54">
        <f>IF(B54&lt;&gt;"", COUNTIFS($B$2:B54, B54), "")</f>
        <v>1</v>
      </c>
      <c r="AH54">
        <f t="shared" si="10"/>
        <v>5</v>
      </c>
      <c r="AI54" t="str">
        <f>VLOOKUP(B54, Currency!A:B, 2, FALSE)</f>
        <v>INR</v>
      </c>
      <c r="AJ54">
        <f t="shared" si="2"/>
        <v>5</v>
      </c>
      <c r="AK54">
        <f t="shared" si="11"/>
        <v>7</v>
      </c>
      <c r="AL54" t="str">
        <f t="shared" si="12"/>
        <v>July</v>
      </c>
      <c r="AM54">
        <f t="shared" si="13"/>
        <v>2023</v>
      </c>
      <c r="AN54" t="str">
        <f t="shared" si="3"/>
        <v>60HELIK ENTERPRISE</v>
      </c>
      <c r="AO54">
        <f>IF(COUNTIF($AN$2:AN54, AN54)=1, 1, 0)</f>
        <v>1</v>
      </c>
      <c r="AP54" t="str">
        <f t="shared" si="14"/>
        <v>&gt;3</v>
      </c>
      <c r="AQ54" t="str">
        <f t="shared" si="15"/>
        <v>&gt;3</v>
      </c>
      <c r="AR54" t="str">
        <f t="shared" si="16"/>
        <v>&gt;3</v>
      </c>
    </row>
    <row r="55" spans="1:44" x14ac:dyDescent="0.3">
      <c r="A55" t="s">
        <v>33</v>
      </c>
      <c r="B55" t="s">
        <v>157</v>
      </c>
      <c r="C55" t="s">
        <v>432</v>
      </c>
      <c r="D55">
        <v>2085</v>
      </c>
      <c r="E55">
        <v>23210176</v>
      </c>
      <c r="F55" t="s">
        <v>433</v>
      </c>
      <c r="G55" t="s">
        <v>434</v>
      </c>
      <c r="H55">
        <v>600</v>
      </c>
      <c r="I55">
        <v>270</v>
      </c>
      <c r="J55">
        <v>162000</v>
      </c>
      <c r="K55" t="str">
        <f>IFERROR(IF(B55&lt;&gt;"", TEXT(VLOOKUP(B55, 'Expected Date'!A:B, 2, FALSE) + DATE(RIGHT(C55,2),MID(C55,4,2),LEFT(C55,2)), "dd/mm/yy"), ""), "")</f>
        <v>01/06/23</v>
      </c>
      <c r="L55" t="s">
        <v>38</v>
      </c>
      <c r="M55" t="s">
        <v>48</v>
      </c>
      <c r="N55" t="s">
        <v>435</v>
      </c>
      <c r="O55" t="s">
        <v>308</v>
      </c>
      <c r="P55">
        <v>23290481</v>
      </c>
      <c r="Q55" t="s">
        <v>433</v>
      </c>
      <c r="R55" t="s">
        <v>434</v>
      </c>
      <c r="S55">
        <v>600</v>
      </c>
      <c r="T55">
        <v>270</v>
      </c>
      <c r="U55">
        <v>162000</v>
      </c>
      <c r="V55" t="str">
        <f t="shared" si="17"/>
        <v>Accepted</v>
      </c>
      <c r="W55">
        <f>IFERROR(VLOOKUP(N55, Payment_Terms!A:B, 2, FALSE), "Payment term not found!")</f>
        <v>0</v>
      </c>
      <c r="X55" t="str">
        <f>IFERROR(VLOOKUP(R55, Item_Category!A:B, 2, FALSE), "Uncategorized")</f>
        <v>Sodium salts</v>
      </c>
      <c r="Y55" s="5">
        <f t="shared" si="4"/>
        <v>0</v>
      </c>
      <c r="Z55">
        <f t="shared" si="5"/>
        <v>5</v>
      </c>
      <c r="AA55">
        <f t="shared" si="6"/>
        <v>9</v>
      </c>
      <c r="AB55">
        <f t="shared" si="7"/>
        <v>2</v>
      </c>
      <c r="AC55" s="10">
        <f t="shared" si="8"/>
        <v>19</v>
      </c>
      <c r="AD55" s="5">
        <f t="shared" si="0"/>
        <v>1</v>
      </c>
      <c r="AE55" s="5">
        <f t="shared" si="1"/>
        <v>1</v>
      </c>
      <c r="AF55" s="5">
        <f t="shared" si="9"/>
        <v>0</v>
      </c>
      <c r="AG55">
        <f>IF(B55&lt;&gt;"", COUNTIFS($B$2:B55, B55), "")</f>
        <v>1</v>
      </c>
      <c r="AH55">
        <f t="shared" si="10"/>
        <v>5</v>
      </c>
      <c r="AI55" t="str">
        <f>VLOOKUP(B55, Currency!A:B, 2, FALSE)</f>
        <v>INR</v>
      </c>
      <c r="AJ55">
        <f t="shared" si="2"/>
        <v>5</v>
      </c>
      <c r="AK55">
        <f t="shared" si="11"/>
        <v>5</v>
      </c>
      <c r="AL55" t="str">
        <f t="shared" si="12"/>
        <v>May</v>
      </c>
      <c r="AM55">
        <f t="shared" si="13"/>
        <v>2023</v>
      </c>
      <c r="AN55" t="str">
        <f t="shared" si="3"/>
        <v>0ZED CHEM PVT LTD</v>
      </c>
      <c r="AO55">
        <f>IF(COUNTIF($AN$2:AN55, AN55)=1, 1, 0)</f>
        <v>1</v>
      </c>
      <c r="AP55" t="str">
        <f t="shared" si="14"/>
        <v>&gt;3</v>
      </c>
      <c r="AQ55" t="str">
        <f t="shared" si="15"/>
        <v>&gt;3</v>
      </c>
      <c r="AR55" t="str">
        <f t="shared" si="16"/>
        <v>&lt;=3</v>
      </c>
    </row>
    <row r="56" spans="1:44" x14ac:dyDescent="0.3">
      <c r="A56" t="s">
        <v>33</v>
      </c>
      <c r="B56" t="s">
        <v>371</v>
      </c>
      <c r="C56" t="s">
        <v>416</v>
      </c>
      <c r="D56">
        <v>2120</v>
      </c>
      <c r="E56">
        <v>23210182</v>
      </c>
      <c r="F56" t="s">
        <v>372</v>
      </c>
      <c r="G56" t="s">
        <v>373</v>
      </c>
      <c r="H56">
        <v>50</v>
      </c>
      <c r="I56">
        <v>150</v>
      </c>
      <c r="J56">
        <v>7500</v>
      </c>
      <c r="K56" t="str">
        <f>IFERROR(IF(B56&lt;&gt;"", TEXT(VLOOKUP(B56, 'Expected Date'!A:B, 2, FALSE) + DATE(RIGHT(C56,2),MID(C56,4,2),LEFT(C56,2)), "dd/mm/yy"), ""), "")</f>
        <v>25/05/23</v>
      </c>
      <c r="L56" t="s">
        <v>68</v>
      </c>
      <c r="M56" t="s">
        <v>48</v>
      </c>
      <c r="N56" t="s">
        <v>342</v>
      </c>
      <c r="O56" t="s">
        <v>308</v>
      </c>
      <c r="P56">
        <v>23290482</v>
      </c>
      <c r="Q56" t="s">
        <v>372</v>
      </c>
      <c r="R56" t="s">
        <v>373</v>
      </c>
      <c r="S56">
        <v>9.98</v>
      </c>
      <c r="T56">
        <v>150</v>
      </c>
      <c r="U56">
        <v>1497</v>
      </c>
      <c r="V56" t="str">
        <f t="shared" si="17"/>
        <v>Accepted</v>
      </c>
      <c r="W56">
        <f>IFERROR(VLOOKUP(N56, Payment_Terms!A:B, 2, FALSE), "Payment term not found!")</f>
        <v>30</v>
      </c>
      <c r="X56" t="str">
        <f>IFERROR(VLOOKUP(R56, Item_Category!A:B, 2, FALSE), "Uncategorized")</f>
        <v>HCL</v>
      </c>
      <c r="Y56" s="5">
        <f t="shared" si="4"/>
        <v>6.3999999999998633E-3</v>
      </c>
      <c r="Z56">
        <f t="shared" si="5"/>
        <v>4</v>
      </c>
      <c r="AA56">
        <f t="shared" si="6"/>
        <v>16</v>
      </c>
      <c r="AB56">
        <f t="shared" si="7"/>
        <v>1</v>
      </c>
      <c r="AC56" s="10">
        <f t="shared" si="8"/>
        <v>21</v>
      </c>
      <c r="AD56" s="5">
        <f t="shared" si="0"/>
        <v>1</v>
      </c>
      <c r="AE56" s="5">
        <f t="shared" si="1"/>
        <v>1</v>
      </c>
      <c r="AF56" s="5">
        <f t="shared" si="9"/>
        <v>0</v>
      </c>
      <c r="AG56">
        <f>IF(B56&lt;&gt;"", COUNTIFS($B$2:B56, B56), "")</f>
        <v>3</v>
      </c>
      <c r="AH56">
        <f t="shared" si="10"/>
        <v>5</v>
      </c>
      <c r="AI56" t="str">
        <f>VLOOKUP(B56, Currency!A:B, 2, FALSE)</f>
        <v>INR</v>
      </c>
      <c r="AJ56">
        <f t="shared" si="2"/>
        <v>4</v>
      </c>
      <c r="AK56">
        <f t="shared" si="11"/>
        <v>5</v>
      </c>
      <c r="AL56" t="str">
        <f t="shared" si="12"/>
        <v>May</v>
      </c>
      <c r="AM56">
        <f t="shared" si="13"/>
        <v>2023</v>
      </c>
      <c r="AN56" t="str">
        <f t="shared" si="3"/>
        <v>30SHREE ACID AND CHEMICALS</v>
      </c>
      <c r="AO56">
        <f>IF(COUNTIF($AN$2:AN56, AN56)=1, 1, 0)</f>
        <v>0</v>
      </c>
      <c r="AP56" t="str">
        <f t="shared" si="14"/>
        <v>&gt;3</v>
      </c>
      <c r="AQ56" t="str">
        <f t="shared" si="15"/>
        <v>&gt;3</v>
      </c>
      <c r="AR56" t="str">
        <f t="shared" si="16"/>
        <v>&lt;=3</v>
      </c>
    </row>
    <row r="57" spans="1:44" x14ac:dyDescent="0.3">
      <c r="A57" t="s">
        <v>33</v>
      </c>
      <c r="B57" t="s">
        <v>436</v>
      </c>
      <c r="C57" t="s">
        <v>80</v>
      </c>
      <c r="D57">
        <v>1262</v>
      </c>
      <c r="E57">
        <v>23210023</v>
      </c>
      <c r="F57" t="s">
        <v>430</v>
      </c>
      <c r="G57" t="s">
        <v>431</v>
      </c>
      <c r="H57">
        <v>7000</v>
      </c>
      <c r="I57">
        <v>9</v>
      </c>
      <c r="J57">
        <v>63000</v>
      </c>
      <c r="K57" t="str">
        <f>IFERROR(IF(B57&lt;&gt;"", TEXT(VLOOKUP(B57, 'Expected Date'!A:B, 2, FALSE) + DATE(RIGHT(C57,2),MID(C57,4,2),LEFT(C57,2)), "dd/mm/yy"), ""), "")</f>
        <v>24/04/23</v>
      </c>
      <c r="L57" t="s">
        <v>38</v>
      </c>
      <c r="M57" t="s">
        <v>48</v>
      </c>
      <c r="N57" t="s">
        <v>342</v>
      </c>
      <c r="O57" t="s">
        <v>168</v>
      </c>
      <c r="P57">
        <v>23290082</v>
      </c>
      <c r="Q57" t="s">
        <v>430</v>
      </c>
      <c r="R57" t="s">
        <v>431</v>
      </c>
      <c r="S57">
        <v>7010</v>
      </c>
      <c r="T57">
        <v>9</v>
      </c>
      <c r="U57">
        <v>63090</v>
      </c>
      <c r="V57" t="str">
        <f t="shared" si="17"/>
        <v>Accepted</v>
      </c>
      <c r="W57">
        <f>IFERROR(VLOOKUP(N57, Payment_Terms!A:B, 2, FALSE), "Payment term not found!")</f>
        <v>30</v>
      </c>
      <c r="X57" t="str">
        <f>IFERROR(VLOOKUP(R57, Item_Category!A:B, 2, FALSE), "Uncategorized")</f>
        <v>Lime</v>
      </c>
      <c r="Y57" s="5">
        <f t="shared" si="4"/>
        <v>0</v>
      </c>
      <c r="Z57">
        <f t="shared" si="5"/>
        <v>5</v>
      </c>
      <c r="AA57">
        <f t="shared" si="6"/>
        <v>-7</v>
      </c>
      <c r="AB57">
        <f t="shared" si="7"/>
        <v>5</v>
      </c>
      <c r="AC57" s="10">
        <f t="shared" si="8"/>
        <v>3</v>
      </c>
      <c r="AD57" s="5">
        <f t="shared" si="0"/>
        <v>1</v>
      </c>
      <c r="AE57" s="5">
        <f t="shared" si="1"/>
        <v>1</v>
      </c>
      <c r="AF57" s="5">
        <f t="shared" si="9"/>
        <v>0</v>
      </c>
      <c r="AG57">
        <f>IF(B57&lt;&gt;"", COUNTIFS($B$2:B57, B57), "")</f>
        <v>1</v>
      </c>
      <c r="AH57">
        <f t="shared" si="10"/>
        <v>5</v>
      </c>
      <c r="AI57" t="str">
        <f>VLOOKUP(B57, Currency!A:B, 2, FALSE)</f>
        <v>INR</v>
      </c>
      <c r="AJ57">
        <f t="shared" si="2"/>
        <v>5</v>
      </c>
      <c r="AK57">
        <f t="shared" si="11"/>
        <v>4</v>
      </c>
      <c r="AL57" t="str">
        <f t="shared" si="12"/>
        <v>April</v>
      </c>
      <c r="AM57">
        <f t="shared" si="13"/>
        <v>2023</v>
      </c>
      <c r="AN57" t="str">
        <f t="shared" si="3"/>
        <v>30Shree Gopal Celluchem Pvt Ltd</v>
      </c>
      <c r="AO57">
        <f>IF(COUNTIF($AN$2:AN57, AN57)=1, 1, 0)</f>
        <v>1</v>
      </c>
      <c r="AP57" t="str">
        <f t="shared" si="14"/>
        <v>&gt;3</v>
      </c>
      <c r="AQ57" t="str">
        <f t="shared" si="15"/>
        <v>&gt;3</v>
      </c>
      <c r="AR57" t="str">
        <f t="shared" si="16"/>
        <v>&gt;3</v>
      </c>
    </row>
    <row r="58" spans="1:44" x14ac:dyDescent="0.3">
      <c r="A58" t="s">
        <v>33</v>
      </c>
      <c r="B58" t="s">
        <v>386</v>
      </c>
      <c r="C58" t="s">
        <v>378</v>
      </c>
      <c r="D58">
        <v>1308</v>
      </c>
      <c r="E58">
        <v>23210029</v>
      </c>
      <c r="F58" t="s">
        <v>437</v>
      </c>
      <c r="G58" t="s">
        <v>438</v>
      </c>
      <c r="H58">
        <v>15000</v>
      </c>
      <c r="I58">
        <v>9.35</v>
      </c>
      <c r="J58">
        <v>140250</v>
      </c>
      <c r="K58" t="str">
        <f>IFERROR(IF(B58&lt;&gt;"", TEXT(VLOOKUP(B58, 'Expected Date'!A:B, 2, FALSE) + DATE(RIGHT(C58,2),MID(C58,4,2),LEFT(C58,2)), "dd/mm/yy"), ""), "")</f>
        <v>20/04/23</v>
      </c>
      <c r="L58" t="s">
        <v>38</v>
      </c>
      <c r="M58" t="s">
        <v>48</v>
      </c>
      <c r="N58" t="s">
        <v>342</v>
      </c>
      <c r="O58" t="s">
        <v>439</v>
      </c>
      <c r="P58">
        <v>23290089</v>
      </c>
      <c r="Q58" t="s">
        <v>437</v>
      </c>
      <c r="R58" t="s">
        <v>438</v>
      </c>
      <c r="S58">
        <v>15950</v>
      </c>
      <c r="T58">
        <v>9.35</v>
      </c>
      <c r="U58">
        <v>149132.5</v>
      </c>
      <c r="V58" t="str">
        <f t="shared" si="17"/>
        <v>Accepted</v>
      </c>
      <c r="W58">
        <f>IFERROR(VLOOKUP(N58, Payment_Terms!A:B, 2, FALSE), "Payment term not found!")</f>
        <v>30</v>
      </c>
      <c r="X58" t="str">
        <f>IFERROR(VLOOKUP(R58, Item_Category!A:B, 2, FALSE), "Uncategorized")</f>
        <v>Liner</v>
      </c>
      <c r="Y58" s="5">
        <f t="shared" si="4"/>
        <v>0</v>
      </c>
      <c r="Z58">
        <f t="shared" si="5"/>
        <v>5</v>
      </c>
      <c r="AA58">
        <f t="shared" si="6"/>
        <v>0</v>
      </c>
      <c r="AB58">
        <f t="shared" si="7"/>
        <v>5</v>
      </c>
      <c r="AC58" s="10">
        <f t="shared" si="8"/>
        <v>5</v>
      </c>
      <c r="AD58" s="5">
        <f t="shared" si="0"/>
        <v>1</v>
      </c>
      <c r="AE58" s="5">
        <f t="shared" si="1"/>
        <v>1</v>
      </c>
      <c r="AF58" s="5">
        <f t="shared" si="9"/>
        <v>0</v>
      </c>
      <c r="AG58">
        <f>IF(B58&lt;&gt;"", COUNTIFS($B$2:B58, B58), "")</f>
        <v>3</v>
      </c>
      <c r="AH58">
        <f t="shared" si="10"/>
        <v>5</v>
      </c>
      <c r="AI58" t="str">
        <f>VLOOKUP(B58, Currency!A:B, 2, FALSE)</f>
        <v>INR</v>
      </c>
      <c r="AJ58">
        <f t="shared" si="2"/>
        <v>5</v>
      </c>
      <c r="AK58">
        <f t="shared" si="11"/>
        <v>4</v>
      </c>
      <c r="AL58" t="str">
        <f t="shared" si="12"/>
        <v>April</v>
      </c>
      <c r="AM58">
        <f t="shared" si="13"/>
        <v>2023</v>
      </c>
      <c r="AN58" t="str">
        <f t="shared" si="3"/>
        <v>30Shree Shyam Enterprises</v>
      </c>
      <c r="AO58">
        <f>IF(COUNTIF($AN$2:AN58, AN58)=1, 1, 0)</f>
        <v>0</v>
      </c>
      <c r="AP58" t="str">
        <f t="shared" si="14"/>
        <v>&gt;3</v>
      </c>
      <c r="AQ58" t="str">
        <f t="shared" si="15"/>
        <v>&gt;3</v>
      </c>
      <c r="AR58" t="str">
        <f t="shared" si="16"/>
        <v>&gt;3</v>
      </c>
    </row>
    <row r="59" spans="1:44" x14ac:dyDescent="0.3">
      <c r="A59" t="s">
        <v>33</v>
      </c>
      <c r="B59" t="s">
        <v>385</v>
      </c>
      <c r="C59" t="s">
        <v>70</v>
      </c>
      <c r="D59">
        <v>1522</v>
      </c>
      <c r="E59">
        <v>23210078</v>
      </c>
      <c r="F59" t="s">
        <v>372</v>
      </c>
      <c r="G59" t="s">
        <v>373</v>
      </c>
      <c r="H59">
        <v>50</v>
      </c>
      <c r="I59">
        <v>250</v>
      </c>
      <c r="J59">
        <v>12500</v>
      </c>
      <c r="K59" t="str">
        <f>IFERROR(IF(B59&lt;&gt;"", TEXT(VLOOKUP(B59, 'Expected Date'!A:B, 2, FALSE) + DATE(RIGHT(C59,2),MID(C59,4,2),LEFT(C59,2)), "dd/mm/yy"), ""), "")</f>
        <v>04/05/23</v>
      </c>
      <c r="L59" t="s">
        <v>68</v>
      </c>
      <c r="M59" t="s">
        <v>48</v>
      </c>
      <c r="N59" t="s">
        <v>342</v>
      </c>
      <c r="O59" t="s">
        <v>108</v>
      </c>
      <c r="P59">
        <v>23290226</v>
      </c>
      <c r="Q59" t="s">
        <v>372</v>
      </c>
      <c r="R59" t="s">
        <v>373</v>
      </c>
      <c r="S59">
        <v>10.66</v>
      </c>
      <c r="T59">
        <v>250</v>
      </c>
      <c r="U59">
        <v>2665</v>
      </c>
      <c r="V59" t="str">
        <f t="shared" si="17"/>
        <v>Accepted</v>
      </c>
      <c r="W59">
        <f>IFERROR(VLOOKUP(N59, Payment_Terms!A:B, 2, FALSE), "Payment term not found!")</f>
        <v>30</v>
      </c>
      <c r="X59" t="str">
        <f>IFERROR(VLOOKUP(R59, Item_Category!A:B, 2, FALSE), "Uncategorized")</f>
        <v>HCL</v>
      </c>
      <c r="Y59" s="5">
        <f t="shared" si="4"/>
        <v>0.43</v>
      </c>
      <c r="Z59">
        <f t="shared" si="5"/>
        <v>1</v>
      </c>
      <c r="AA59">
        <f t="shared" si="6"/>
        <v>6</v>
      </c>
      <c r="AB59">
        <f t="shared" si="7"/>
        <v>3</v>
      </c>
      <c r="AC59" s="10">
        <f t="shared" si="8"/>
        <v>16</v>
      </c>
      <c r="AD59" s="5">
        <f t="shared" si="0"/>
        <v>1</v>
      </c>
      <c r="AE59" s="5">
        <f t="shared" si="1"/>
        <v>1</v>
      </c>
      <c r="AF59" s="5">
        <f t="shared" si="9"/>
        <v>0</v>
      </c>
      <c r="AG59">
        <f>IF(B59&lt;&gt;"", COUNTIFS($B$2:B59, B59), "")</f>
        <v>2</v>
      </c>
      <c r="AH59">
        <f t="shared" si="10"/>
        <v>5</v>
      </c>
      <c r="AI59" t="str">
        <f>VLOOKUP(B59, Currency!A:B, 2, FALSE)</f>
        <v>INR</v>
      </c>
      <c r="AJ59">
        <f t="shared" si="2"/>
        <v>4</v>
      </c>
      <c r="AK59">
        <f t="shared" si="11"/>
        <v>4</v>
      </c>
      <c r="AL59" t="str">
        <f t="shared" si="12"/>
        <v>April</v>
      </c>
      <c r="AM59">
        <f t="shared" si="13"/>
        <v>2023</v>
      </c>
      <c r="AN59" t="str">
        <f t="shared" si="3"/>
        <v>30Duttchem Enterprise</v>
      </c>
      <c r="AO59">
        <f>IF(COUNTIF($AN$2:AN59, AN59)=1, 1, 0)</f>
        <v>0</v>
      </c>
      <c r="AP59" t="str">
        <f t="shared" si="14"/>
        <v>&gt;3</v>
      </c>
      <c r="AQ59" t="str">
        <f t="shared" si="15"/>
        <v>&lt;=3</v>
      </c>
      <c r="AR59" t="str">
        <f t="shared" si="16"/>
        <v>&lt;=3</v>
      </c>
    </row>
    <row r="60" spans="1:44" x14ac:dyDescent="0.3">
      <c r="A60" t="s">
        <v>33</v>
      </c>
      <c r="B60" t="s">
        <v>382</v>
      </c>
      <c r="C60" t="s">
        <v>404</v>
      </c>
      <c r="D60">
        <v>1759</v>
      </c>
      <c r="E60">
        <v>23210139</v>
      </c>
      <c r="F60" t="s">
        <v>412</v>
      </c>
      <c r="G60" t="s">
        <v>413</v>
      </c>
      <c r="H60">
        <v>1000</v>
      </c>
      <c r="I60">
        <v>16</v>
      </c>
      <c r="J60">
        <v>16000</v>
      </c>
      <c r="K60" t="str">
        <f>IFERROR(IF(B60&lt;&gt;"", TEXT(VLOOKUP(B60, 'Expected Date'!A:B, 2, FALSE) + DATE(RIGHT(C60,2),MID(C60,4,2),LEFT(C60,2)), "dd/mm/yy"), ""), "")</f>
        <v>08/05/23</v>
      </c>
      <c r="L60" t="s">
        <v>38</v>
      </c>
      <c r="M60" t="s">
        <v>48</v>
      </c>
      <c r="N60" t="s">
        <v>342</v>
      </c>
      <c r="O60" t="s">
        <v>41</v>
      </c>
      <c r="P60">
        <v>23290227</v>
      </c>
      <c r="Q60" t="s">
        <v>412</v>
      </c>
      <c r="R60" t="s">
        <v>413</v>
      </c>
      <c r="S60">
        <v>1000</v>
      </c>
      <c r="T60">
        <v>16</v>
      </c>
      <c r="U60">
        <v>16000</v>
      </c>
      <c r="V60" t="str">
        <f t="shared" si="17"/>
        <v>Accepted</v>
      </c>
      <c r="W60">
        <f>IFERROR(VLOOKUP(N60, Payment_Terms!A:B, 2, FALSE), "Payment term not found!")</f>
        <v>30</v>
      </c>
      <c r="X60" t="str">
        <f>IFERROR(VLOOKUP(R60, Item_Category!A:B, 2, FALSE), "Uncategorized")</f>
        <v>NON FERRIC ALUM</v>
      </c>
      <c r="Y60" s="5">
        <f t="shared" si="4"/>
        <v>0</v>
      </c>
      <c r="Z60">
        <f t="shared" si="5"/>
        <v>5</v>
      </c>
      <c r="AA60">
        <f t="shared" si="6"/>
        <v>-9</v>
      </c>
      <c r="AB60">
        <f t="shared" si="7"/>
        <v>5</v>
      </c>
      <c r="AC60" s="10">
        <f t="shared" si="8"/>
        <v>1</v>
      </c>
      <c r="AD60" s="5">
        <f t="shared" si="0"/>
        <v>1</v>
      </c>
      <c r="AE60" s="5">
        <f t="shared" si="1"/>
        <v>1</v>
      </c>
      <c r="AF60" s="5">
        <f t="shared" si="9"/>
        <v>0</v>
      </c>
      <c r="AG60">
        <f>IF(B60&lt;&gt;"", COUNTIFS($B$2:B60, B60), "")</f>
        <v>3</v>
      </c>
      <c r="AH60">
        <f t="shared" si="10"/>
        <v>5</v>
      </c>
      <c r="AI60" t="str">
        <f>VLOOKUP(B60, Currency!A:B, 2, FALSE)</f>
        <v>INR</v>
      </c>
      <c r="AJ60">
        <f t="shared" si="2"/>
        <v>5</v>
      </c>
      <c r="AK60">
        <f t="shared" si="11"/>
        <v>4</v>
      </c>
      <c r="AL60" t="str">
        <f t="shared" si="12"/>
        <v>April</v>
      </c>
      <c r="AM60">
        <f t="shared" si="13"/>
        <v>2023</v>
      </c>
      <c r="AN60" t="str">
        <f t="shared" si="3"/>
        <v>30Aerochem Laboratories</v>
      </c>
      <c r="AO60">
        <f>IF(COUNTIF($AN$2:AN60, AN60)=1, 1, 0)</f>
        <v>0</v>
      </c>
      <c r="AP60" t="str">
        <f t="shared" si="14"/>
        <v>&gt;3</v>
      </c>
      <c r="AQ60" t="str">
        <f t="shared" si="15"/>
        <v>&gt;3</v>
      </c>
      <c r="AR60" t="str">
        <f t="shared" si="16"/>
        <v>&gt;3</v>
      </c>
    </row>
    <row r="61" spans="1:44" x14ac:dyDescent="0.3">
      <c r="A61" t="s">
        <v>33</v>
      </c>
      <c r="B61" t="s">
        <v>366</v>
      </c>
      <c r="C61" t="s">
        <v>398</v>
      </c>
      <c r="D61">
        <v>1762</v>
      </c>
      <c r="E61">
        <v>23210142</v>
      </c>
      <c r="F61" t="s">
        <v>392</v>
      </c>
      <c r="G61" t="s">
        <v>393</v>
      </c>
      <c r="H61">
        <v>100</v>
      </c>
      <c r="I61">
        <v>11000</v>
      </c>
      <c r="J61">
        <v>1100000</v>
      </c>
      <c r="K61" t="str">
        <f>IFERROR(IF(B61&lt;&gt;"", TEXT(VLOOKUP(B61, 'Expected Date'!A:B, 2, FALSE) + DATE(RIGHT(C61,2),MID(C61,4,2),LEFT(C61,2)), "dd/mm/yy"), ""), "")</f>
        <v>03/05/23</v>
      </c>
      <c r="L61" t="s">
        <v>68</v>
      </c>
      <c r="M61" t="s">
        <v>48</v>
      </c>
      <c r="N61" t="s">
        <v>370</v>
      </c>
      <c r="O61" t="s">
        <v>398</v>
      </c>
      <c r="P61">
        <v>23290228</v>
      </c>
      <c r="Q61" t="s">
        <v>392</v>
      </c>
      <c r="R61" t="s">
        <v>393</v>
      </c>
      <c r="S61">
        <v>28.33</v>
      </c>
      <c r="T61">
        <v>11000</v>
      </c>
      <c r="U61">
        <v>311630</v>
      </c>
      <c r="V61" t="str">
        <f t="shared" si="17"/>
        <v>Accepted</v>
      </c>
      <c r="W61">
        <f>IFERROR(VLOOKUP(N61, Payment_Terms!A:B, 2, FALSE), "Payment term not found!")</f>
        <v>15</v>
      </c>
      <c r="X61" t="str">
        <f>IFERROR(VLOOKUP(R61, Item_Category!A:B, 2, FALSE), "Uncategorized")</f>
        <v>Coal materials</v>
      </c>
      <c r="Y61" s="5">
        <f t="shared" si="4"/>
        <v>0.43375000000000002</v>
      </c>
      <c r="Z61">
        <f t="shared" si="5"/>
        <v>1</v>
      </c>
      <c r="AA61">
        <f t="shared" si="6"/>
        <v>-2</v>
      </c>
      <c r="AB61">
        <f t="shared" si="7"/>
        <v>5</v>
      </c>
      <c r="AC61" s="10">
        <f t="shared" si="8"/>
        <v>0</v>
      </c>
      <c r="AD61" s="5">
        <f t="shared" si="0"/>
        <v>1</v>
      </c>
      <c r="AE61" s="5">
        <f t="shared" si="1"/>
        <v>1</v>
      </c>
      <c r="AF61" s="5">
        <f t="shared" si="9"/>
        <v>0</v>
      </c>
      <c r="AG61">
        <f>IF(B61&lt;&gt;"", COUNTIFS($B$2:B61, B61), "")</f>
        <v>18</v>
      </c>
      <c r="AH61">
        <f t="shared" si="10"/>
        <v>5</v>
      </c>
      <c r="AI61" t="str">
        <f>VLOOKUP(B61, Currency!A:B, 2, FALSE)</f>
        <v>INR</v>
      </c>
      <c r="AJ61">
        <f t="shared" si="2"/>
        <v>4</v>
      </c>
      <c r="AK61">
        <f t="shared" si="11"/>
        <v>5</v>
      </c>
      <c r="AL61" t="str">
        <f t="shared" si="12"/>
        <v>May</v>
      </c>
      <c r="AM61">
        <f t="shared" si="13"/>
        <v>2023</v>
      </c>
      <c r="AN61" t="str">
        <f t="shared" si="3"/>
        <v>15SKYWIN ENTERPRISE</v>
      </c>
      <c r="AO61">
        <f>IF(COUNTIF($AN$2:AN61, AN61)=1, 1, 0)</f>
        <v>0</v>
      </c>
      <c r="AP61" t="str">
        <f t="shared" si="14"/>
        <v>&gt;3</v>
      </c>
      <c r="AQ61" t="str">
        <f t="shared" si="15"/>
        <v>&lt;=3</v>
      </c>
      <c r="AR61" t="str">
        <f t="shared" si="16"/>
        <v>&gt;3</v>
      </c>
    </row>
    <row r="62" spans="1:44" x14ac:dyDescent="0.3">
      <c r="A62" t="s">
        <v>33</v>
      </c>
      <c r="B62" t="s">
        <v>366</v>
      </c>
      <c r="C62" t="s">
        <v>398</v>
      </c>
      <c r="D62">
        <v>1762</v>
      </c>
      <c r="E62">
        <v>23210142</v>
      </c>
      <c r="F62" t="s">
        <v>392</v>
      </c>
      <c r="G62" t="s">
        <v>393</v>
      </c>
      <c r="H62">
        <v>100</v>
      </c>
      <c r="I62">
        <v>11000</v>
      </c>
      <c r="J62">
        <v>1100000</v>
      </c>
      <c r="K62" t="str">
        <f>IFERROR(IF(B62&lt;&gt;"", TEXT(VLOOKUP(B62, 'Expected Date'!A:B, 2, FALSE) + DATE(RIGHT(C62,2),MID(C62,4,2),LEFT(C62,2)), "dd/mm/yy"), ""), "")</f>
        <v>03/05/23</v>
      </c>
      <c r="L62" t="s">
        <v>68</v>
      </c>
      <c r="M62" t="s">
        <v>48</v>
      </c>
      <c r="N62" t="s">
        <v>370</v>
      </c>
      <c r="O62" t="s">
        <v>209</v>
      </c>
      <c r="P62">
        <v>23290231</v>
      </c>
      <c r="Q62" t="s">
        <v>392</v>
      </c>
      <c r="R62" t="s">
        <v>393</v>
      </c>
      <c r="S62">
        <v>28.295000000000002</v>
      </c>
      <c r="T62">
        <v>11000</v>
      </c>
      <c r="U62">
        <v>311245</v>
      </c>
      <c r="V62" t="str">
        <f t="shared" si="17"/>
        <v>Accepted</v>
      </c>
      <c r="W62">
        <f>IFERROR(VLOOKUP(N62, Payment_Terms!A:B, 2, FALSE), "Payment term not found!")</f>
        <v>15</v>
      </c>
      <c r="X62" t="str">
        <f>IFERROR(VLOOKUP(R62, Item_Category!A:B, 2, FALSE), "Uncategorized")</f>
        <v>Coal materials</v>
      </c>
      <c r="Y62" s="5">
        <f t="shared" si="4"/>
        <v>0.43375000000000002</v>
      </c>
      <c r="Z62">
        <f t="shared" si="5"/>
        <v>1</v>
      </c>
      <c r="AA62">
        <f t="shared" si="6"/>
        <v>2</v>
      </c>
      <c r="AB62">
        <f t="shared" si="7"/>
        <v>5</v>
      </c>
      <c r="AC62" s="10">
        <f t="shared" si="8"/>
        <v>4</v>
      </c>
      <c r="AD62" s="5">
        <f t="shared" si="0"/>
        <v>1</v>
      </c>
      <c r="AE62" s="5">
        <f t="shared" si="1"/>
        <v>1</v>
      </c>
      <c r="AF62" s="5">
        <f t="shared" si="9"/>
        <v>0</v>
      </c>
      <c r="AG62">
        <f>IF(B62&lt;&gt;"", COUNTIFS($B$2:B62, B62), "")</f>
        <v>19</v>
      </c>
      <c r="AH62">
        <f t="shared" si="10"/>
        <v>5</v>
      </c>
      <c r="AI62" t="str">
        <f>VLOOKUP(B62, Currency!A:B, 2, FALSE)</f>
        <v>INR</v>
      </c>
      <c r="AJ62">
        <f t="shared" si="2"/>
        <v>4</v>
      </c>
      <c r="AK62">
        <f t="shared" si="11"/>
        <v>5</v>
      </c>
      <c r="AL62" t="str">
        <f t="shared" si="12"/>
        <v>May</v>
      </c>
      <c r="AM62">
        <f t="shared" si="13"/>
        <v>2023</v>
      </c>
      <c r="AN62" t="str">
        <f t="shared" si="3"/>
        <v>15SKYWIN ENTERPRISE</v>
      </c>
      <c r="AO62">
        <f>IF(COUNTIF($AN$2:AN62, AN62)=1, 1, 0)</f>
        <v>0</v>
      </c>
      <c r="AP62" t="str">
        <f t="shared" si="14"/>
        <v>&gt;3</v>
      </c>
      <c r="AQ62" t="str">
        <f t="shared" si="15"/>
        <v>&lt;=3</v>
      </c>
      <c r="AR62" t="str">
        <f t="shared" si="16"/>
        <v>&gt;3</v>
      </c>
    </row>
    <row r="63" spans="1:44" x14ac:dyDescent="0.3">
      <c r="A63" t="s">
        <v>33</v>
      </c>
      <c r="B63" t="s">
        <v>386</v>
      </c>
      <c r="C63" t="s">
        <v>238</v>
      </c>
      <c r="D63">
        <v>1760</v>
      </c>
      <c r="E63">
        <v>23210140</v>
      </c>
      <c r="F63" t="s">
        <v>440</v>
      </c>
      <c r="G63" t="s">
        <v>441</v>
      </c>
      <c r="H63">
        <v>120.4</v>
      </c>
      <c r="I63">
        <v>130</v>
      </c>
      <c r="J63">
        <v>15652</v>
      </c>
      <c r="K63" t="str">
        <f>IFERROR(IF(B63&lt;&gt;"", TEXT(VLOOKUP(B63, 'Expected Date'!A:B, 2, FALSE) + DATE(RIGHT(C63,2),MID(C63,4,2),LEFT(C63,2)), "dd/mm/yy"), ""), "")</f>
        <v>09/05/23</v>
      </c>
      <c r="L63" t="s">
        <v>38</v>
      </c>
      <c r="M63" t="s">
        <v>48</v>
      </c>
      <c r="N63" t="s">
        <v>342</v>
      </c>
      <c r="O63" t="s">
        <v>145</v>
      </c>
      <c r="P63">
        <v>23290232</v>
      </c>
      <c r="Q63" t="s">
        <v>440</v>
      </c>
      <c r="R63" t="s">
        <v>441</v>
      </c>
      <c r="S63">
        <v>120.4</v>
      </c>
      <c r="T63">
        <v>130</v>
      </c>
      <c r="U63">
        <v>15652</v>
      </c>
      <c r="V63" t="str">
        <f t="shared" si="17"/>
        <v>Accepted</v>
      </c>
      <c r="W63">
        <f>IFERROR(VLOOKUP(N63, Payment_Terms!A:B, 2, FALSE), "Payment term not found!")</f>
        <v>30</v>
      </c>
      <c r="X63" t="str">
        <f>IFERROR(VLOOKUP(R63, Item_Category!A:B, 2, FALSE), "Uncategorized")</f>
        <v>PP rope</v>
      </c>
      <c r="Y63" s="5">
        <f t="shared" si="4"/>
        <v>0</v>
      </c>
      <c r="Z63">
        <f t="shared" si="5"/>
        <v>5</v>
      </c>
      <c r="AA63">
        <f t="shared" si="6"/>
        <v>-2</v>
      </c>
      <c r="AB63">
        <f t="shared" si="7"/>
        <v>5</v>
      </c>
      <c r="AC63" s="10">
        <f t="shared" si="8"/>
        <v>3</v>
      </c>
      <c r="AD63" s="5">
        <f t="shared" si="0"/>
        <v>1</v>
      </c>
      <c r="AE63" s="5">
        <f t="shared" si="1"/>
        <v>1</v>
      </c>
      <c r="AF63" s="5">
        <f t="shared" si="9"/>
        <v>0</v>
      </c>
      <c r="AG63">
        <f>IF(B63&lt;&gt;"", COUNTIFS($B$2:B63, B63), "")</f>
        <v>4</v>
      </c>
      <c r="AH63">
        <f t="shared" si="10"/>
        <v>5</v>
      </c>
      <c r="AI63" t="str">
        <f>VLOOKUP(B63, Currency!A:B, 2, FALSE)</f>
        <v>INR</v>
      </c>
      <c r="AJ63">
        <f t="shared" si="2"/>
        <v>5</v>
      </c>
      <c r="AK63">
        <f t="shared" si="11"/>
        <v>5</v>
      </c>
      <c r="AL63" t="str">
        <f t="shared" si="12"/>
        <v>May</v>
      </c>
      <c r="AM63">
        <f t="shared" si="13"/>
        <v>2023</v>
      </c>
      <c r="AN63" t="str">
        <f t="shared" si="3"/>
        <v>30Shree Shyam Enterprises</v>
      </c>
      <c r="AO63">
        <f>IF(COUNTIF($AN$2:AN63, AN63)=1, 1, 0)</f>
        <v>0</v>
      </c>
      <c r="AP63" t="str">
        <f t="shared" si="14"/>
        <v>&gt;3</v>
      </c>
      <c r="AQ63" t="str">
        <f t="shared" si="15"/>
        <v>&gt;3</v>
      </c>
      <c r="AR63" t="str">
        <f t="shared" si="16"/>
        <v>&gt;3</v>
      </c>
    </row>
    <row r="64" spans="1:44" x14ac:dyDescent="0.3">
      <c r="A64" t="s">
        <v>33</v>
      </c>
      <c r="B64" t="s">
        <v>386</v>
      </c>
      <c r="C64" t="s">
        <v>428</v>
      </c>
      <c r="D64">
        <v>1630</v>
      </c>
      <c r="E64">
        <v>23210110</v>
      </c>
      <c r="F64" t="s">
        <v>410</v>
      </c>
      <c r="G64" t="s">
        <v>411</v>
      </c>
      <c r="H64">
        <v>610</v>
      </c>
      <c r="I64">
        <v>129</v>
      </c>
      <c r="J64">
        <v>78690</v>
      </c>
      <c r="K64" t="str">
        <f>IFERROR(IF(B64&lt;&gt;"", TEXT(VLOOKUP(B64, 'Expected Date'!A:B, 2, FALSE) + DATE(RIGHT(C64,2),MID(C64,4,2),LEFT(C64,2)), "dd/mm/yy"), ""), "")</f>
        <v>08/04/23</v>
      </c>
      <c r="L64" t="s">
        <v>68</v>
      </c>
      <c r="M64" t="s">
        <v>48</v>
      </c>
      <c r="N64" t="s">
        <v>342</v>
      </c>
      <c r="O64" t="s">
        <v>344</v>
      </c>
      <c r="P64">
        <v>23290242</v>
      </c>
      <c r="Q64" t="s">
        <v>410</v>
      </c>
      <c r="R64" t="s">
        <v>411</v>
      </c>
      <c r="S64">
        <v>607</v>
      </c>
      <c r="T64">
        <v>129</v>
      </c>
      <c r="U64">
        <v>78303</v>
      </c>
      <c r="V64" t="str">
        <f t="shared" si="17"/>
        <v>Accepted</v>
      </c>
      <c r="W64">
        <f>IFERROR(VLOOKUP(N64, Payment_Terms!A:B, 2, FALSE), "Payment term not found!")</f>
        <v>30</v>
      </c>
      <c r="X64" t="str">
        <f>IFERROR(VLOOKUP(R64, Item_Category!A:B, 2, FALSE), "Uncategorized")</f>
        <v>Wrapping 23</v>
      </c>
      <c r="Y64" s="5">
        <f t="shared" si="4"/>
        <v>4.9180327868852463E-3</v>
      </c>
      <c r="Z64">
        <f t="shared" si="5"/>
        <v>4</v>
      </c>
      <c r="AA64">
        <f t="shared" si="6"/>
        <v>-4</v>
      </c>
      <c r="AB64">
        <f t="shared" si="7"/>
        <v>5</v>
      </c>
      <c r="AC64" s="10">
        <f t="shared" si="8"/>
        <v>1</v>
      </c>
      <c r="AD64" s="5">
        <f t="shared" si="0"/>
        <v>1</v>
      </c>
      <c r="AE64" s="5">
        <f t="shared" si="1"/>
        <v>1</v>
      </c>
      <c r="AF64" s="5">
        <f t="shared" si="9"/>
        <v>0</v>
      </c>
      <c r="AG64">
        <f>IF(B64&lt;&gt;"", COUNTIFS($B$2:B64, B64), "")</f>
        <v>5</v>
      </c>
      <c r="AH64">
        <f t="shared" si="10"/>
        <v>5</v>
      </c>
      <c r="AI64" t="str">
        <f>VLOOKUP(B64, Currency!A:B, 2, FALSE)</f>
        <v>INR</v>
      </c>
      <c r="AJ64">
        <f t="shared" si="2"/>
        <v>5</v>
      </c>
      <c r="AK64">
        <f t="shared" si="11"/>
        <v>4</v>
      </c>
      <c r="AL64" t="str">
        <f t="shared" si="12"/>
        <v>April</v>
      </c>
      <c r="AM64">
        <f t="shared" si="13"/>
        <v>2023</v>
      </c>
      <c r="AN64" t="str">
        <f t="shared" si="3"/>
        <v>30Shree Shyam Enterprises</v>
      </c>
      <c r="AO64">
        <f>IF(COUNTIF($AN$2:AN64, AN64)=1, 1, 0)</f>
        <v>0</v>
      </c>
      <c r="AP64" t="str">
        <f t="shared" si="14"/>
        <v>&gt;3</v>
      </c>
      <c r="AQ64" t="str">
        <f t="shared" si="15"/>
        <v>&gt;3</v>
      </c>
      <c r="AR64" t="str">
        <f t="shared" si="16"/>
        <v>&gt;3</v>
      </c>
    </row>
    <row r="65" spans="1:44" x14ac:dyDescent="0.3">
      <c r="A65" t="s">
        <v>33</v>
      </c>
      <c r="B65" t="s">
        <v>395</v>
      </c>
      <c r="C65" t="s">
        <v>88</v>
      </c>
      <c r="D65">
        <v>2928</v>
      </c>
      <c r="E65">
        <v>23210383</v>
      </c>
      <c r="F65" t="s">
        <v>392</v>
      </c>
      <c r="G65" t="s">
        <v>393</v>
      </c>
      <c r="H65">
        <v>200</v>
      </c>
      <c r="I65">
        <v>10700</v>
      </c>
      <c r="J65">
        <v>2140000</v>
      </c>
      <c r="K65" t="str">
        <f>IFERROR(IF(B65&lt;&gt;"", TEXT(VLOOKUP(B65, 'Expected Date'!A:B, 2, FALSE) + DATE(RIGHT(C65,2),MID(C65,4,2),LEFT(C65,2)), "dd/mm/yy"), ""), "")</f>
        <v>09/07/23</v>
      </c>
      <c r="L65" t="s">
        <v>68</v>
      </c>
      <c r="M65" t="s">
        <v>48</v>
      </c>
      <c r="N65" t="s">
        <v>370</v>
      </c>
      <c r="O65" t="s">
        <v>90</v>
      </c>
      <c r="P65">
        <v>23290695</v>
      </c>
      <c r="Q65" t="s">
        <v>392</v>
      </c>
      <c r="R65" t="s">
        <v>393</v>
      </c>
      <c r="S65">
        <v>29.81</v>
      </c>
      <c r="T65">
        <v>10700</v>
      </c>
      <c r="U65">
        <v>318967</v>
      </c>
      <c r="V65" t="str">
        <f t="shared" si="17"/>
        <v>Accepted</v>
      </c>
      <c r="W65">
        <f>IFERROR(VLOOKUP(N65, Payment_Terms!A:B, 2, FALSE), "Payment term not found!")</f>
        <v>15</v>
      </c>
      <c r="X65" t="str">
        <f>IFERROR(VLOOKUP(R65, Item_Category!A:B, 2, FALSE), "Uncategorized")</f>
        <v>Coal materials</v>
      </c>
      <c r="Y65" s="5">
        <f t="shared" si="4"/>
        <v>5.1500000000000053E-3</v>
      </c>
      <c r="Z65">
        <f t="shared" si="5"/>
        <v>4</v>
      </c>
      <c r="AA65">
        <f t="shared" si="6"/>
        <v>-3</v>
      </c>
      <c r="AB65">
        <f t="shared" si="7"/>
        <v>5</v>
      </c>
      <c r="AC65" s="10">
        <f t="shared" si="8"/>
        <v>2</v>
      </c>
      <c r="AD65" s="5">
        <f t="shared" si="0"/>
        <v>1</v>
      </c>
      <c r="AE65" s="5">
        <f t="shared" si="1"/>
        <v>1</v>
      </c>
      <c r="AF65" s="5">
        <f t="shared" si="9"/>
        <v>0</v>
      </c>
      <c r="AG65">
        <f>IF(B65&lt;&gt;"", COUNTIFS($B$2:B65, B65), "")</f>
        <v>6</v>
      </c>
      <c r="AH65">
        <f t="shared" si="10"/>
        <v>5</v>
      </c>
      <c r="AI65" t="str">
        <f>VLOOKUP(B65, Currency!A:B, 2, FALSE)</f>
        <v>INR</v>
      </c>
      <c r="AJ65">
        <f t="shared" si="2"/>
        <v>5</v>
      </c>
      <c r="AK65">
        <f t="shared" si="11"/>
        <v>7</v>
      </c>
      <c r="AL65" t="str">
        <f t="shared" si="12"/>
        <v>July</v>
      </c>
      <c r="AM65">
        <f t="shared" si="13"/>
        <v>2023</v>
      </c>
      <c r="AN65" t="str">
        <f t="shared" si="3"/>
        <v>15Crystal coal corporation</v>
      </c>
      <c r="AO65">
        <f>IF(COUNTIF($AN$2:AN65, AN65)=1, 1, 0)</f>
        <v>0</v>
      </c>
      <c r="AP65" t="str">
        <f t="shared" si="14"/>
        <v>&gt;3</v>
      </c>
      <c r="AQ65" t="str">
        <f t="shared" si="15"/>
        <v>&gt;3</v>
      </c>
      <c r="AR65" t="str">
        <f t="shared" si="16"/>
        <v>&gt;3</v>
      </c>
    </row>
    <row r="66" spans="1:44" x14ac:dyDescent="0.3">
      <c r="A66" t="s">
        <v>33</v>
      </c>
      <c r="B66" t="s">
        <v>395</v>
      </c>
      <c r="C66" t="s">
        <v>120</v>
      </c>
      <c r="D66">
        <v>3445</v>
      </c>
      <c r="E66">
        <v>23210471</v>
      </c>
      <c r="F66" t="s">
        <v>392</v>
      </c>
      <c r="G66" t="s">
        <v>393</v>
      </c>
      <c r="H66">
        <v>200</v>
      </c>
      <c r="I66">
        <v>10500</v>
      </c>
      <c r="J66">
        <v>2100000</v>
      </c>
      <c r="K66" t="str">
        <f>IFERROR(IF(B66&lt;&gt;"", TEXT(VLOOKUP(B66, 'Expected Date'!A:B, 2, FALSE) + DATE(RIGHT(C66,2),MID(C66,4,2),LEFT(C66,2)), "dd/mm/yy"), ""), "")</f>
        <v>25/07/23</v>
      </c>
      <c r="L66" t="s">
        <v>68</v>
      </c>
      <c r="M66" t="s">
        <v>48</v>
      </c>
      <c r="N66" t="s">
        <v>370</v>
      </c>
      <c r="O66" t="s">
        <v>198</v>
      </c>
      <c r="P66">
        <v>23291004</v>
      </c>
      <c r="Q66" t="s">
        <v>392</v>
      </c>
      <c r="R66" t="s">
        <v>393</v>
      </c>
      <c r="S66">
        <v>23.61</v>
      </c>
      <c r="T66">
        <v>10500</v>
      </c>
      <c r="U66">
        <v>247905</v>
      </c>
      <c r="V66" t="str">
        <f t="shared" si="17"/>
        <v>Accepted</v>
      </c>
      <c r="W66">
        <f>IFERROR(VLOOKUP(N66, Payment_Terms!A:B, 2, FALSE), "Payment term not found!")</f>
        <v>15</v>
      </c>
      <c r="X66" t="str">
        <f>IFERROR(VLOOKUP(R66, Item_Category!A:B, 2, FALSE), "Uncategorized")</f>
        <v>Coal materials</v>
      </c>
      <c r="Y66" s="5">
        <f t="shared" si="4"/>
        <v>4.2950000000000016E-2</v>
      </c>
      <c r="Z66">
        <f t="shared" si="5"/>
        <v>3</v>
      </c>
      <c r="AA66">
        <f t="shared" si="6"/>
        <v>6</v>
      </c>
      <c r="AB66">
        <f t="shared" si="7"/>
        <v>3</v>
      </c>
      <c r="AC66" s="10">
        <f t="shared" si="8"/>
        <v>11</v>
      </c>
      <c r="AD66" s="5">
        <f t="shared" ref="AD66:AD129" si="18">IF(V66="Accepted",1,0)</f>
        <v>1</v>
      </c>
      <c r="AE66" s="5">
        <f t="shared" ref="AE66:AE129" si="19">ROUNDUP((SUMIFS(S:S, B:B, B66, V:V, "Accepted")/SUMIF(B:B,B66,S:S)),2)</f>
        <v>1</v>
      </c>
      <c r="AF66" s="5">
        <f t="shared" si="9"/>
        <v>0</v>
      </c>
      <c r="AG66">
        <f>IF(B66&lt;&gt;"", COUNTIFS($B$2:B66, B66), "")</f>
        <v>7</v>
      </c>
      <c r="AH66">
        <f t="shared" si="10"/>
        <v>5</v>
      </c>
      <c r="AI66" t="str">
        <f>VLOOKUP(B66, Currency!A:B, 2, FALSE)</f>
        <v>INR</v>
      </c>
      <c r="AJ66">
        <f t="shared" ref="AJ66:AJ129" si="20">_xlfn.CEILING.MATH(((0.4*AH66)+(0.3*Z66)+(0.3*AB66)),1)</f>
        <v>4</v>
      </c>
      <c r="AK66">
        <f t="shared" si="11"/>
        <v>7</v>
      </c>
      <c r="AL66" t="str">
        <f t="shared" si="12"/>
        <v>July</v>
      </c>
      <c r="AM66">
        <f t="shared" si="13"/>
        <v>2023</v>
      </c>
      <c r="AN66" t="str">
        <f t="shared" ref="AN66:AN129" si="21">W66&amp;B66</f>
        <v>15Crystal coal corporation</v>
      </c>
      <c r="AO66">
        <f>IF(COUNTIF($AN$2:AN66, AN66)=1, 1, 0)</f>
        <v>0</v>
      </c>
      <c r="AP66" t="str">
        <f t="shared" si="14"/>
        <v>&gt;3</v>
      </c>
      <c r="AQ66" t="str">
        <f t="shared" si="15"/>
        <v>&lt;=3</v>
      </c>
      <c r="AR66" t="str">
        <f t="shared" si="16"/>
        <v>&lt;=3</v>
      </c>
    </row>
    <row r="67" spans="1:44" x14ac:dyDescent="0.3">
      <c r="A67" t="s">
        <v>33</v>
      </c>
      <c r="B67" t="s">
        <v>395</v>
      </c>
      <c r="C67" t="s">
        <v>180</v>
      </c>
      <c r="D67">
        <v>3444</v>
      </c>
      <c r="E67">
        <v>23210470</v>
      </c>
      <c r="F67" t="s">
        <v>392</v>
      </c>
      <c r="G67" t="s">
        <v>393</v>
      </c>
      <c r="H67">
        <v>90</v>
      </c>
      <c r="I67">
        <v>10700</v>
      </c>
      <c r="J67">
        <v>963000</v>
      </c>
      <c r="K67" t="str">
        <f>IFERROR(IF(B67&lt;&gt;"", TEXT(VLOOKUP(B67, 'Expected Date'!A:B, 2, FALSE) + DATE(RIGHT(C67,2),MID(C67,4,2),LEFT(C67,2)), "dd/mm/yy"), ""), "")</f>
        <v>20/07/23</v>
      </c>
      <c r="L67" t="s">
        <v>68</v>
      </c>
      <c r="M67" t="s">
        <v>48</v>
      </c>
      <c r="N67" t="s">
        <v>370</v>
      </c>
      <c r="O67" t="s">
        <v>423</v>
      </c>
      <c r="P67">
        <v>23290975</v>
      </c>
      <c r="Q67" t="s">
        <v>392</v>
      </c>
      <c r="R67" t="s">
        <v>393</v>
      </c>
      <c r="S67">
        <v>31.51</v>
      </c>
      <c r="T67">
        <v>10700</v>
      </c>
      <c r="U67">
        <v>337157</v>
      </c>
      <c r="V67" t="str">
        <f t="shared" si="17"/>
        <v>Accepted</v>
      </c>
      <c r="W67">
        <f>IFERROR(VLOOKUP(N67, Payment_Terms!A:B, 2, FALSE), "Payment term not found!")</f>
        <v>15</v>
      </c>
      <c r="X67" t="str">
        <f>IFERROR(VLOOKUP(R67, Item_Category!A:B, 2, FALSE), "Uncategorized")</f>
        <v>Coal materials</v>
      </c>
      <c r="Y67" s="5">
        <f t="shared" ref="Y67:Y130" si="22">IFERROR(IF(AND(E67&lt;&gt;"", G67&lt;&gt;""), MAX(0, (H67-SUMIFS(S:S, E:E, E67, G:G, G67))/H67), ""), (H67-S67)/H67)</f>
        <v>0.64988888888888885</v>
      </c>
      <c r="Z67">
        <f t="shared" ref="Z67:Z130" si="23">IF(Y67&lt;=0%,5,(IF(AND(Y67&gt;0%,Y67&lt;=2%),4,IF(AND(Y67&gt;2%,Y67&lt;=5%),3,IF(AND(Y67&gt;5%,Y67&lt;10%),2,1)))))</f>
        <v>1</v>
      </c>
      <c r="AA67">
        <f t="shared" ref="AA67:AA130" si="24">DATE(RIGHT(O67,2),MID(O67,4,2),LEFT(O67,2)) - DATE(RIGHT(K67,2),MID(K67,4,2),LEFT(K67,2))</f>
        <v>2</v>
      </c>
      <c r="AB67">
        <f t="shared" ref="AB67:AB130" si="25">IF(AA67 &lt;= 2, 5, IF(AA67 &lt;= 4, 4, IF(AA67 &lt;= 7, 3, IF(AA67&lt;=10,2,1))))</f>
        <v>5</v>
      </c>
      <c r="AC67" s="10">
        <f t="shared" ref="AC67:AC130" si="26">ABS(DATE(RIGHT(O67,2),MID(O67,4,2),LEFT(O67,2)) - DATE(RIGHT(C67,2),MID(C67,4,2),LEFT(C67,2)))</f>
        <v>7</v>
      </c>
      <c r="AD67" s="5">
        <f t="shared" si="18"/>
        <v>1</v>
      </c>
      <c r="AE67" s="5">
        <f t="shared" si="19"/>
        <v>1</v>
      </c>
      <c r="AF67" s="5">
        <f t="shared" ref="AF67:AF130" si="27">ROUNDUP(ABS(100%-AE67),2)</f>
        <v>0</v>
      </c>
      <c r="AG67">
        <f>IF(B67&lt;&gt;"", COUNTIFS($B$2:B67, B67), "")</f>
        <v>8</v>
      </c>
      <c r="AH67">
        <f t="shared" ref="AH67:AH130" si="28">IF(AF67=0%,5,IF(AND(AF67&gt;0%,AF67&lt;=2%),4,IF(AND(AF67&gt;2%,AF67&lt;=5%),3,IF(AND(AF67&gt;5%,AF67&lt;10%),2,1))))</f>
        <v>5</v>
      </c>
      <c r="AI67" t="str">
        <f>VLOOKUP(B67, Currency!A:B, 2, FALSE)</f>
        <v>INR</v>
      </c>
      <c r="AJ67">
        <f t="shared" si="20"/>
        <v>4</v>
      </c>
      <c r="AK67">
        <f t="shared" ref="AK67:AK130" si="29">MONTH(DATE(RIGHT(C67,2),MID(C67,4,2),LEFT(C67,2)))</f>
        <v>7</v>
      </c>
      <c r="AL67" t="str">
        <f t="shared" ref="AL67:AL130" si="30">TEXT(DATE(RIGHT(C67,2),MID(C67,4,2),LEFT(C67,2)),"mmmm")</f>
        <v>July</v>
      </c>
      <c r="AM67">
        <f t="shared" ref="AM67:AM130" si="31">YEAR(DATE(VALUE(MID(C67,7,2))+2000, MID(C67,4,2), MID(C67,1,2)))</f>
        <v>2023</v>
      </c>
      <c r="AN67" t="str">
        <f t="shared" si="21"/>
        <v>15Crystal coal corporation</v>
      </c>
      <c r="AO67">
        <f>IF(COUNTIF($AN$2:AN67, AN67)=1, 1, 0)</f>
        <v>0</v>
      </c>
      <c r="AP67" t="str">
        <f t="shared" ref="AP67:AP130" si="32">IF(AH67&lt;=3,"&lt;=3","&gt;3")</f>
        <v>&gt;3</v>
      </c>
      <c r="AQ67" t="str">
        <f t="shared" ref="AQ67:AQ130" si="33">IF(Z67&lt;=3,"&lt;=3","&gt;3")</f>
        <v>&lt;=3</v>
      </c>
      <c r="AR67" t="str">
        <f t="shared" ref="AR67:AR130" si="34">IF(AB67&lt;=3,"&lt;=3","&gt;3")</f>
        <v>&gt;3</v>
      </c>
    </row>
    <row r="68" spans="1:44" x14ac:dyDescent="0.3">
      <c r="A68" t="str">
        <f>A22</f>
        <v>Woodpulp</v>
      </c>
      <c r="B68" t="s">
        <v>96</v>
      </c>
      <c r="C68" t="s">
        <v>442</v>
      </c>
      <c r="D68">
        <v>1498</v>
      </c>
      <c r="E68">
        <v>23220011</v>
      </c>
      <c r="F68" t="s">
        <v>443</v>
      </c>
      <c r="G68" t="s">
        <v>99</v>
      </c>
      <c r="H68">
        <v>80</v>
      </c>
      <c r="I68">
        <v>860</v>
      </c>
      <c r="J68">
        <v>5600320</v>
      </c>
      <c r="K68" t="str">
        <f>IFERROR(IF(B68&lt;&gt;"", TEXT(VLOOKUP(B68, 'Expected Date'!A:B, 2, FALSE) + DATE(RIGHT(C68,2),MID(C68,4,2),LEFT(C68,2)), "dd/mm/yy"), ""), "")</f>
        <v>24/06/23</v>
      </c>
      <c r="L68" t="s">
        <v>68</v>
      </c>
      <c r="M68" t="str">
        <f>M22</f>
        <v>MT</v>
      </c>
      <c r="N68" t="s">
        <v>102</v>
      </c>
      <c r="O68" t="s">
        <v>70</v>
      </c>
      <c r="P68">
        <v>23290127</v>
      </c>
      <c r="Q68" t="s">
        <v>443</v>
      </c>
      <c r="R68" t="s">
        <v>444</v>
      </c>
      <c r="S68">
        <v>79.638999999999996</v>
      </c>
      <c r="T68">
        <v>860</v>
      </c>
      <c r="U68">
        <v>5575048.5599999996</v>
      </c>
      <c r="V68" t="str">
        <f t="shared" ref="V68:V131" si="35">V67</f>
        <v>Accepted</v>
      </c>
      <c r="W68">
        <f>IFERROR(VLOOKUP(N68, Payment_Terms!A:B, 2, FALSE), "Payment term not found!")</f>
        <v>60</v>
      </c>
      <c r="X68" t="str">
        <f>IFERROR(VLOOKUP(R68, Item_Category!A:B, 2, FALSE), "Uncategorized")</f>
        <v>Wood pulp</v>
      </c>
      <c r="Y68" s="5">
        <f t="shared" si="22"/>
        <v>4.5125000000000529E-3</v>
      </c>
      <c r="Z68">
        <f t="shared" si="23"/>
        <v>4</v>
      </c>
      <c r="AA68">
        <f t="shared" si="24"/>
        <v>-61</v>
      </c>
      <c r="AB68">
        <f t="shared" si="25"/>
        <v>5</v>
      </c>
      <c r="AC68" s="10">
        <f t="shared" si="26"/>
        <v>1</v>
      </c>
      <c r="AD68" s="5">
        <f t="shared" si="18"/>
        <v>1</v>
      </c>
      <c r="AE68" s="5">
        <f t="shared" si="19"/>
        <v>1</v>
      </c>
      <c r="AF68" s="5">
        <f t="shared" si="27"/>
        <v>0</v>
      </c>
      <c r="AG68">
        <f>IF(B68&lt;&gt;"", COUNTIFS($B$2:B68, B68), "")</f>
        <v>2</v>
      </c>
      <c r="AH68">
        <f t="shared" si="28"/>
        <v>5</v>
      </c>
      <c r="AI68" t="str">
        <f>VLOOKUP(B68, Currency!A:B, 2, FALSE)</f>
        <v>USD</v>
      </c>
      <c r="AJ68">
        <f t="shared" si="20"/>
        <v>5</v>
      </c>
      <c r="AK68">
        <f t="shared" si="29"/>
        <v>4</v>
      </c>
      <c r="AL68" t="str">
        <f t="shared" si="30"/>
        <v>April</v>
      </c>
      <c r="AM68">
        <f t="shared" si="31"/>
        <v>2023</v>
      </c>
      <c r="AN68" t="str">
        <f t="shared" si="21"/>
        <v>60G P Cellulose GMBH</v>
      </c>
      <c r="AO68">
        <f>IF(COUNTIF($AN$2:AN68, AN68)=1, 1, 0)</f>
        <v>0</v>
      </c>
      <c r="AP68" t="str">
        <f t="shared" si="32"/>
        <v>&gt;3</v>
      </c>
      <c r="AQ68" t="str">
        <f t="shared" si="33"/>
        <v>&gt;3</v>
      </c>
      <c r="AR68" t="str">
        <f t="shared" si="34"/>
        <v>&gt;3</v>
      </c>
    </row>
    <row r="69" spans="1:44" x14ac:dyDescent="0.3">
      <c r="A69" t="s">
        <v>111</v>
      </c>
      <c r="B69" t="s">
        <v>296</v>
      </c>
      <c r="C69" t="s">
        <v>374</v>
      </c>
      <c r="D69">
        <v>1251</v>
      </c>
      <c r="E69">
        <v>23210020</v>
      </c>
      <c r="F69" t="s">
        <v>445</v>
      </c>
      <c r="G69" t="s">
        <v>446</v>
      </c>
      <c r="H69">
        <v>12000</v>
      </c>
      <c r="I69">
        <v>205</v>
      </c>
      <c r="J69">
        <v>2460000</v>
      </c>
      <c r="K69" t="str">
        <f>IFERROR(IF(B69&lt;&gt;"", TEXT(VLOOKUP(B69, 'Expected Date'!A:B, 2, FALSE) + DATE(RIGHT(C69,2),MID(C69,4,2),LEFT(C69,2)), "dd/mm/yy"), ""), "")</f>
        <v>28/04/23</v>
      </c>
      <c r="L69" t="s">
        <v>38</v>
      </c>
      <c r="M69" t="s">
        <v>48</v>
      </c>
      <c r="N69" t="s">
        <v>381</v>
      </c>
      <c r="O69" t="s">
        <v>35</v>
      </c>
      <c r="P69">
        <v>23290128</v>
      </c>
      <c r="Q69" t="s">
        <v>445</v>
      </c>
      <c r="R69" t="s">
        <v>446</v>
      </c>
      <c r="S69">
        <v>2000</v>
      </c>
      <c r="T69">
        <v>205</v>
      </c>
      <c r="U69">
        <v>410000</v>
      </c>
      <c r="V69" t="str">
        <f t="shared" si="35"/>
        <v>Accepted</v>
      </c>
      <c r="W69">
        <f>IFERROR(VLOOKUP(N69, Payment_Terms!A:B, 2, FALSE), "Payment term not found!")</f>
        <v>30</v>
      </c>
      <c r="X69" t="str">
        <f>IFERROR(VLOOKUP(R69, Item_Category!A:B, 2, FALSE), "Uncategorized")</f>
        <v>SSG - Potato</v>
      </c>
      <c r="Y69" s="5">
        <f t="shared" si="22"/>
        <v>0</v>
      </c>
      <c r="Z69">
        <f t="shared" si="23"/>
        <v>5</v>
      </c>
      <c r="AA69">
        <f t="shared" si="24"/>
        <v>-1</v>
      </c>
      <c r="AB69">
        <f t="shared" si="25"/>
        <v>5</v>
      </c>
      <c r="AC69" s="10">
        <f t="shared" si="26"/>
        <v>14</v>
      </c>
      <c r="AD69" s="5">
        <f t="shared" si="18"/>
        <v>1</v>
      </c>
      <c r="AE69" s="5">
        <f t="shared" si="19"/>
        <v>1</v>
      </c>
      <c r="AF69" s="5">
        <f t="shared" si="27"/>
        <v>0</v>
      </c>
      <c r="AG69">
        <f>IF(B69&lt;&gt;"", COUNTIFS($B$2:B69, B69), "")</f>
        <v>1</v>
      </c>
      <c r="AH69">
        <f t="shared" si="28"/>
        <v>5</v>
      </c>
      <c r="AI69" t="str">
        <f>VLOOKUP(B69, Currency!A:B, 2, FALSE)</f>
        <v>INR</v>
      </c>
      <c r="AJ69">
        <f t="shared" si="20"/>
        <v>5</v>
      </c>
      <c r="AK69">
        <f t="shared" si="29"/>
        <v>4</v>
      </c>
      <c r="AL69" t="str">
        <f t="shared" si="30"/>
        <v>April</v>
      </c>
      <c r="AM69">
        <f t="shared" si="31"/>
        <v>2023</v>
      </c>
      <c r="AN69" t="str">
        <f t="shared" si="21"/>
        <v>30Ascot Pharmachem Pvt Ltd</v>
      </c>
      <c r="AO69">
        <f>IF(COUNTIF($AN$2:AN69, AN69)=1, 1, 0)</f>
        <v>1</v>
      </c>
      <c r="AP69" t="str">
        <f t="shared" si="32"/>
        <v>&gt;3</v>
      </c>
      <c r="AQ69" t="str">
        <f t="shared" si="33"/>
        <v>&gt;3</v>
      </c>
      <c r="AR69" t="str">
        <f t="shared" si="34"/>
        <v>&gt;3</v>
      </c>
    </row>
    <row r="70" spans="1:44" x14ac:dyDescent="0.3">
      <c r="A70" t="s">
        <v>33</v>
      </c>
      <c r="B70" t="s">
        <v>436</v>
      </c>
      <c r="C70" t="s">
        <v>447</v>
      </c>
      <c r="D70">
        <v>2291</v>
      </c>
      <c r="E70">
        <v>23210245</v>
      </c>
      <c r="F70" t="s">
        <v>430</v>
      </c>
      <c r="G70" t="s">
        <v>431</v>
      </c>
      <c r="H70">
        <v>2500</v>
      </c>
      <c r="I70">
        <v>9.5</v>
      </c>
      <c r="J70">
        <v>23750</v>
      </c>
      <c r="K70" t="str">
        <f>IFERROR(IF(B70&lt;&gt;"", TEXT(VLOOKUP(B70, 'Expected Date'!A:B, 2, FALSE) + DATE(RIGHT(C70,2),MID(C70,4,2),LEFT(C70,2)), "dd/mm/yy"), ""), "")</f>
        <v>14/06/23</v>
      </c>
      <c r="L70" t="s">
        <v>38</v>
      </c>
      <c r="M70" t="s">
        <v>48</v>
      </c>
      <c r="N70" t="s">
        <v>318</v>
      </c>
      <c r="O70" t="s">
        <v>160</v>
      </c>
      <c r="P70">
        <v>23290445</v>
      </c>
      <c r="Q70" t="s">
        <v>430</v>
      </c>
      <c r="R70" t="s">
        <v>431</v>
      </c>
      <c r="S70">
        <v>2500</v>
      </c>
      <c r="T70">
        <v>9.5</v>
      </c>
      <c r="U70">
        <v>23750</v>
      </c>
      <c r="V70" t="str">
        <f t="shared" si="35"/>
        <v>Accepted</v>
      </c>
      <c r="W70">
        <f>IFERROR(VLOOKUP(N70, Payment_Terms!A:B, 2, FALSE), "Payment term not found!")</f>
        <v>30</v>
      </c>
      <c r="X70" t="str">
        <f>IFERROR(VLOOKUP(R70, Item_Category!A:B, 2, FALSE), "Uncategorized")</f>
        <v>Lime</v>
      </c>
      <c r="Y70" s="5">
        <f t="shared" si="22"/>
        <v>0</v>
      </c>
      <c r="Z70">
        <f t="shared" si="23"/>
        <v>5</v>
      </c>
      <c r="AA70">
        <f t="shared" si="24"/>
        <v>-9</v>
      </c>
      <c r="AB70">
        <f t="shared" si="25"/>
        <v>5</v>
      </c>
      <c r="AC70" s="10">
        <f t="shared" si="26"/>
        <v>1</v>
      </c>
      <c r="AD70" s="5">
        <f t="shared" si="18"/>
        <v>1</v>
      </c>
      <c r="AE70" s="5">
        <f t="shared" si="19"/>
        <v>1</v>
      </c>
      <c r="AF70" s="5">
        <f t="shared" si="27"/>
        <v>0</v>
      </c>
      <c r="AG70">
        <f>IF(B70&lt;&gt;"", COUNTIFS($B$2:B70, B70), "")</f>
        <v>2</v>
      </c>
      <c r="AH70">
        <f t="shared" si="28"/>
        <v>5</v>
      </c>
      <c r="AI70" t="str">
        <f>VLOOKUP(B70, Currency!A:B, 2, FALSE)</f>
        <v>INR</v>
      </c>
      <c r="AJ70">
        <f t="shared" si="20"/>
        <v>5</v>
      </c>
      <c r="AK70">
        <f t="shared" si="29"/>
        <v>6</v>
      </c>
      <c r="AL70" t="str">
        <f t="shared" si="30"/>
        <v>June</v>
      </c>
      <c r="AM70">
        <f t="shared" si="31"/>
        <v>2023</v>
      </c>
      <c r="AN70" t="str">
        <f t="shared" si="21"/>
        <v>30Shree Gopal Celluchem Pvt Ltd</v>
      </c>
      <c r="AO70">
        <f>IF(COUNTIF($AN$2:AN70, AN70)=1, 1, 0)</f>
        <v>0</v>
      </c>
      <c r="AP70" t="str">
        <f t="shared" si="32"/>
        <v>&gt;3</v>
      </c>
      <c r="AQ70" t="str">
        <f t="shared" si="33"/>
        <v>&gt;3</v>
      </c>
      <c r="AR70" t="str">
        <f t="shared" si="34"/>
        <v>&gt;3</v>
      </c>
    </row>
    <row r="71" spans="1:44" x14ac:dyDescent="0.3">
      <c r="A71" t="s">
        <v>33</v>
      </c>
      <c r="B71" t="s">
        <v>448</v>
      </c>
      <c r="C71" t="s">
        <v>201</v>
      </c>
      <c r="D71">
        <v>2929</v>
      </c>
      <c r="E71">
        <v>23210384</v>
      </c>
      <c r="F71" t="s">
        <v>392</v>
      </c>
      <c r="G71" t="s">
        <v>393</v>
      </c>
      <c r="H71">
        <v>50</v>
      </c>
      <c r="I71">
        <v>9600</v>
      </c>
      <c r="J71">
        <v>480000</v>
      </c>
      <c r="K71" t="str">
        <f>IFERROR(IF(B71&lt;&gt;"", TEXT(VLOOKUP(B71, 'Expected Date'!A:B, 2, FALSE) + DATE(RIGHT(C71,2),MID(C71,4,2),LEFT(C71,2)), "dd/mm/yy"), ""), "")</f>
        <v>06/07/23</v>
      </c>
      <c r="L71" t="s">
        <v>68</v>
      </c>
      <c r="M71" t="s">
        <v>48</v>
      </c>
      <c r="N71" t="s">
        <v>364</v>
      </c>
      <c r="O71" t="s">
        <v>449</v>
      </c>
      <c r="P71">
        <v>23290699</v>
      </c>
      <c r="Q71" t="s">
        <v>392</v>
      </c>
      <c r="R71" t="s">
        <v>393</v>
      </c>
      <c r="S71">
        <v>25.52</v>
      </c>
      <c r="T71">
        <v>9600</v>
      </c>
      <c r="U71">
        <v>244992</v>
      </c>
      <c r="V71" t="str">
        <f t="shared" si="35"/>
        <v>Accepted</v>
      </c>
      <c r="W71">
        <f>IFERROR(VLOOKUP(N71, Payment_Terms!A:B, 2, FALSE), "Payment term not found!")</f>
        <v>30</v>
      </c>
      <c r="X71" t="str">
        <f>IFERROR(VLOOKUP(R71, Item_Category!A:B, 2, FALSE), "Uncategorized")</f>
        <v>Coal materials</v>
      </c>
      <c r="Y71" s="5">
        <f t="shared" si="22"/>
        <v>0.48960000000000004</v>
      </c>
      <c r="Z71">
        <f t="shared" si="23"/>
        <v>1</v>
      </c>
      <c r="AA71">
        <f t="shared" si="24"/>
        <v>-4</v>
      </c>
      <c r="AB71">
        <f t="shared" si="25"/>
        <v>5</v>
      </c>
      <c r="AC71" s="10">
        <f t="shared" si="26"/>
        <v>1</v>
      </c>
      <c r="AD71" s="5">
        <f t="shared" si="18"/>
        <v>1</v>
      </c>
      <c r="AE71" s="5">
        <f t="shared" si="19"/>
        <v>1</v>
      </c>
      <c r="AF71" s="5">
        <f t="shared" si="27"/>
        <v>0</v>
      </c>
      <c r="AG71">
        <f>IF(B71&lt;&gt;"", COUNTIFS($B$2:B71, B71), "")</f>
        <v>1</v>
      </c>
      <c r="AH71">
        <f t="shared" si="28"/>
        <v>5</v>
      </c>
      <c r="AI71" t="str">
        <f>VLOOKUP(B71, Currency!A:B, 2, FALSE)</f>
        <v>INR</v>
      </c>
      <c r="AJ71">
        <f t="shared" si="20"/>
        <v>4</v>
      </c>
      <c r="AK71">
        <f t="shared" si="29"/>
        <v>7</v>
      </c>
      <c r="AL71" t="str">
        <f t="shared" si="30"/>
        <v>July</v>
      </c>
      <c r="AM71">
        <f t="shared" si="31"/>
        <v>2023</v>
      </c>
      <c r="AN71" t="str">
        <f t="shared" si="21"/>
        <v>30Ganpati Energy Pvt Ltd</v>
      </c>
      <c r="AO71">
        <f>IF(COUNTIF($AN$2:AN71, AN71)=1, 1, 0)</f>
        <v>1</v>
      </c>
      <c r="AP71" t="str">
        <f t="shared" si="32"/>
        <v>&gt;3</v>
      </c>
      <c r="AQ71" t="str">
        <f t="shared" si="33"/>
        <v>&lt;=3</v>
      </c>
      <c r="AR71" t="str">
        <f t="shared" si="34"/>
        <v>&gt;3</v>
      </c>
    </row>
    <row r="72" spans="1:44" x14ac:dyDescent="0.3">
      <c r="A72" t="s">
        <v>33</v>
      </c>
      <c r="B72" t="s">
        <v>122</v>
      </c>
      <c r="C72" t="s">
        <v>192</v>
      </c>
      <c r="D72">
        <v>3695</v>
      </c>
      <c r="E72">
        <v>23210540</v>
      </c>
      <c r="F72" t="s">
        <v>405</v>
      </c>
      <c r="G72" t="s">
        <v>406</v>
      </c>
      <c r="H72">
        <v>600</v>
      </c>
      <c r="I72">
        <v>930</v>
      </c>
      <c r="J72">
        <v>558000</v>
      </c>
      <c r="K72" t="str">
        <f>IFERROR(IF(B72&lt;&gt;"", TEXT(VLOOKUP(B72, 'Expected Date'!A:B, 2, FALSE) + DATE(RIGHT(C72,2),MID(C72,4,2),LEFT(C72,2)), "dd/mm/yy"), ""), "")</f>
        <v>29/08/23</v>
      </c>
      <c r="L72" t="s">
        <v>38</v>
      </c>
      <c r="M72" t="s">
        <v>39</v>
      </c>
      <c r="N72" t="s">
        <v>364</v>
      </c>
      <c r="O72" t="s">
        <v>78</v>
      </c>
      <c r="P72">
        <v>23291213</v>
      </c>
      <c r="Q72" t="s">
        <v>405</v>
      </c>
      <c r="R72" t="s">
        <v>406</v>
      </c>
      <c r="S72">
        <v>180</v>
      </c>
      <c r="T72">
        <v>930</v>
      </c>
      <c r="U72">
        <v>167400</v>
      </c>
      <c r="V72" t="str">
        <f t="shared" si="35"/>
        <v>Accepted</v>
      </c>
      <c r="W72">
        <f>IFERROR(VLOOKUP(N72, Payment_Terms!A:B, 2, FALSE), "Payment term not found!")</f>
        <v>30</v>
      </c>
      <c r="X72" t="str">
        <f>IFERROR(VLOOKUP(R72, Item_Category!A:B, 2, FALSE), "Uncategorized")</f>
        <v>Pallets</v>
      </c>
      <c r="Y72" s="5">
        <f t="shared" si="22"/>
        <v>0</v>
      </c>
      <c r="Z72">
        <f t="shared" si="23"/>
        <v>5</v>
      </c>
      <c r="AA72">
        <f t="shared" si="24"/>
        <v>-5</v>
      </c>
      <c r="AB72">
        <f t="shared" si="25"/>
        <v>5</v>
      </c>
      <c r="AC72" s="10">
        <f t="shared" si="26"/>
        <v>10</v>
      </c>
      <c r="AD72" s="5">
        <f t="shared" si="18"/>
        <v>1</v>
      </c>
      <c r="AE72" s="5">
        <f t="shared" si="19"/>
        <v>1</v>
      </c>
      <c r="AF72" s="5">
        <f t="shared" si="27"/>
        <v>0</v>
      </c>
      <c r="AG72">
        <f>IF(B72&lt;&gt;"", COUNTIFS($B$2:B72, B72), "")</f>
        <v>7</v>
      </c>
      <c r="AH72">
        <f t="shared" si="28"/>
        <v>5</v>
      </c>
      <c r="AI72" t="str">
        <f>VLOOKUP(B72, Currency!A:B, 2, FALSE)</f>
        <v>INR</v>
      </c>
      <c r="AJ72">
        <f t="shared" si="20"/>
        <v>5</v>
      </c>
      <c r="AK72">
        <f t="shared" si="29"/>
        <v>8</v>
      </c>
      <c r="AL72" t="str">
        <f t="shared" si="30"/>
        <v>August</v>
      </c>
      <c r="AM72">
        <f t="shared" si="31"/>
        <v>2023</v>
      </c>
      <c r="AN72" t="str">
        <f t="shared" si="21"/>
        <v>30Plastocon Industries Pvt Ltd</v>
      </c>
      <c r="AO72">
        <f>IF(COUNTIF($AN$2:AN72, AN72)=1, 1, 0)</f>
        <v>0</v>
      </c>
      <c r="AP72" t="str">
        <f t="shared" si="32"/>
        <v>&gt;3</v>
      </c>
      <c r="AQ72" t="str">
        <f t="shared" si="33"/>
        <v>&gt;3</v>
      </c>
      <c r="AR72" t="str">
        <f t="shared" si="34"/>
        <v>&gt;3</v>
      </c>
    </row>
    <row r="73" spans="1:44" x14ac:dyDescent="0.3">
      <c r="A73" t="s">
        <v>95</v>
      </c>
      <c r="B73" t="s">
        <v>140</v>
      </c>
      <c r="C73" t="s">
        <v>146</v>
      </c>
      <c r="D73">
        <v>1747</v>
      </c>
      <c r="E73">
        <v>23220015</v>
      </c>
      <c r="F73" t="s">
        <v>359</v>
      </c>
      <c r="G73" t="s">
        <v>360</v>
      </c>
      <c r="H73">
        <v>75</v>
      </c>
      <c r="I73">
        <v>830</v>
      </c>
      <c r="J73">
        <v>5032912.5</v>
      </c>
      <c r="K73" t="str">
        <f>IFERROR(IF(B73&lt;&gt;"", TEXT(VLOOKUP(B73, 'Expected Date'!A:B, 2, FALSE) + DATE(RIGHT(C73,2),MID(C73,4,2),LEFT(C73,2)), "dd/mm/yy"), ""), "")</f>
        <v>23/06/23</v>
      </c>
      <c r="L73" t="s">
        <v>68</v>
      </c>
      <c r="M73" t="str">
        <f>M68</f>
        <v>MT</v>
      </c>
      <c r="N73" t="s">
        <v>144</v>
      </c>
      <c r="O73" t="s">
        <v>174</v>
      </c>
      <c r="P73">
        <v>23290273</v>
      </c>
      <c r="Q73" t="s">
        <v>359</v>
      </c>
      <c r="R73" t="s">
        <v>360</v>
      </c>
      <c r="S73">
        <v>74.194000000000003</v>
      </c>
      <c r="T73">
        <v>830</v>
      </c>
      <c r="U73">
        <v>4978825.47</v>
      </c>
      <c r="V73" t="str">
        <f t="shared" si="35"/>
        <v>Accepted</v>
      </c>
      <c r="W73">
        <f>IFERROR(VLOOKUP(N73, Payment_Terms!A:B, 2, FALSE), "Payment term not found!")</f>
        <v>30</v>
      </c>
      <c r="X73" t="str">
        <f>IFERROR(VLOOKUP(R73, Item_Category!A:B, 2, FALSE), "Uncategorized")</f>
        <v>Wood pulp</v>
      </c>
      <c r="Y73" s="5">
        <f t="shared" si="22"/>
        <v>1.0746666666666632E-2</v>
      </c>
      <c r="Z73">
        <f t="shared" si="23"/>
        <v>4</v>
      </c>
      <c r="AA73">
        <f t="shared" si="24"/>
        <v>-38</v>
      </c>
      <c r="AB73">
        <f t="shared" si="25"/>
        <v>5</v>
      </c>
      <c r="AC73" s="10">
        <f t="shared" si="26"/>
        <v>7</v>
      </c>
      <c r="AD73" s="5">
        <f t="shared" si="18"/>
        <v>1</v>
      </c>
      <c r="AE73" s="5">
        <f t="shared" si="19"/>
        <v>1</v>
      </c>
      <c r="AF73" s="5">
        <f t="shared" si="27"/>
        <v>0</v>
      </c>
      <c r="AG73">
        <f>IF(B73&lt;&gt;"", COUNTIFS($B$2:B73, B73), "")</f>
        <v>1</v>
      </c>
      <c r="AH73">
        <f t="shared" si="28"/>
        <v>5</v>
      </c>
      <c r="AI73" t="str">
        <f>VLOOKUP(B73, Currency!A:B, 2, FALSE)</f>
        <v>USD</v>
      </c>
      <c r="AJ73">
        <f t="shared" si="20"/>
        <v>5</v>
      </c>
      <c r="AK73">
        <f t="shared" si="29"/>
        <v>5</v>
      </c>
      <c r="AL73" t="str">
        <f t="shared" si="30"/>
        <v>May</v>
      </c>
      <c r="AM73">
        <f t="shared" si="31"/>
        <v>2023</v>
      </c>
      <c r="AN73" t="str">
        <f t="shared" si="21"/>
        <v>30Sappi Paper Holdings GMBH</v>
      </c>
      <c r="AO73">
        <f>IF(COUNTIF($AN$2:AN73, AN73)=1, 1, 0)</f>
        <v>1</v>
      </c>
      <c r="AP73" t="str">
        <f t="shared" si="32"/>
        <v>&gt;3</v>
      </c>
      <c r="AQ73" t="str">
        <f t="shared" si="33"/>
        <v>&gt;3</v>
      </c>
      <c r="AR73" t="str">
        <f t="shared" si="34"/>
        <v>&gt;3</v>
      </c>
    </row>
    <row r="74" spans="1:44" x14ac:dyDescent="0.3">
      <c r="A74" t="s">
        <v>33</v>
      </c>
      <c r="B74" t="s">
        <v>366</v>
      </c>
      <c r="C74" t="s">
        <v>63</v>
      </c>
      <c r="D74">
        <v>2875</v>
      </c>
      <c r="E74">
        <v>23210373</v>
      </c>
      <c r="F74" t="s">
        <v>392</v>
      </c>
      <c r="G74" t="s">
        <v>393</v>
      </c>
      <c r="H74">
        <v>200</v>
      </c>
      <c r="I74">
        <v>11000</v>
      </c>
      <c r="J74">
        <v>2200000</v>
      </c>
      <c r="K74" t="str">
        <f>IFERROR(IF(B74&lt;&gt;"", TEXT(VLOOKUP(B74, 'Expected Date'!A:B, 2, FALSE) + DATE(RIGHT(C74,2),MID(C74,4,2),LEFT(C74,2)), "dd/mm/yy"), ""), "")</f>
        <v>26/06/23</v>
      </c>
      <c r="L74" t="s">
        <v>68</v>
      </c>
      <c r="M74" t="s">
        <v>48</v>
      </c>
      <c r="N74" t="s">
        <v>370</v>
      </c>
      <c r="O74" t="s">
        <v>89</v>
      </c>
      <c r="P74">
        <v>23290697</v>
      </c>
      <c r="Q74" t="s">
        <v>392</v>
      </c>
      <c r="R74" t="s">
        <v>393</v>
      </c>
      <c r="S74">
        <v>29.38</v>
      </c>
      <c r="T74">
        <v>11000</v>
      </c>
      <c r="U74">
        <v>323180</v>
      </c>
      <c r="V74" t="str">
        <f t="shared" si="35"/>
        <v>Accepted</v>
      </c>
      <c r="W74">
        <f>IFERROR(VLOOKUP(N74, Payment_Terms!A:B, 2, FALSE), "Payment term not found!")</f>
        <v>15</v>
      </c>
      <c r="X74" t="str">
        <f>IFERROR(VLOOKUP(R74, Item_Category!A:B, 2, FALSE), "Uncategorized")</f>
        <v>Coal materials</v>
      </c>
      <c r="Y74" s="5">
        <f t="shared" si="22"/>
        <v>0.70605000000000007</v>
      </c>
      <c r="Z74">
        <f t="shared" si="23"/>
        <v>1</v>
      </c>
      <c r="AA74">
        <f t="shared" si="24"/>
        <v>9</v>
      </c>
      <c r="AB74">
        <f t="shared" si="25"/>
        <v>2</v>
      </c>
      <c r="AC74" s="10">
        <f t="shared" si="26"/>
        <v>11</v>
      </c>
      <c r="AD74" s="5">
        <f t="shared" si="18"/>
        <v>1</v>
      </c>
      <c r="AE74" s="5">
        <f t="shared" si="19"/>
        <v>1</v>
      </c>
      <c r="AF74" s="5">
        <f t="shared" si="27"/>
        <v>0</v>
      </c>
      <c r="AG74">
        <f>IF(B74&lt;&gt;"", COUNTIFS($B$2:B74, B74), "")</f>
        <v>20</v>
      </c>
      <c r="AH74">
        <f t="shared" si="28"/>
        <v>5</v>
      </c>
      <c r="AI74" t="str">
        <f>VLOOKUP(B74, Currency!A:B, 2, FALSE)</f>
        <v>INR</v>
      </c>
      <c r="AJ74">
        <f t="shared" si="20"/>
        <v>3</v>
      </c>
      <c r="AK74">
        <f t="shared" si="29"/>
        <v>6</v>
      </c>
      <c r="AL74" t="str">
        <f t="shared" si="30"/>
        <v>June</v>
      </c>
      <c r="AM74">
        <f t="shared" si="31"/>
        <v>2023</v>
      </c>
      <c r="AN74" t="str">
        <f t="shared" si="21"/>
        <v>15SKYWIN ENTERPRISE</v>
      </c>
      <c r="AO74">
        <f>IF(COUNTIF($AN$2:AN74, AN74)=1, 1, 0)</f>
        <v>0</v>
      </c>
      <c r="AP74" t="str">
        <f t="shared" si="32"/>
        <v>&gt;3</v>
      </c>
      <c r="AQ74" t="str">
        <f t="shared" si="33"/>
        <v>&lt;=3</v>
      </c>
      <c r="AR74" t="str">
        <f t="shared" si="34"/>
        <v>&lt;=3</v>
      </c>
    </row>
    <row r="75" spans="1:44" x14ac:dyDescent="0.3">
      <c r="A75" t="s">
        <v>33</v>
      </c>
      <c r="B75" t="s">
        <v>366</v>
      </c>
      <c r="C75" t="s">
        <v>63</v>
      </c>
      <c r="D75">
        <v>2875</v>
      </c>
      <c r="E75">
        <v>23210373</v>
      </c>
      <c r="F75" t="s">
        <v>392</v>
      </c>
      <c r="G75" t="s">
        <v>393</v>
      </c>
      <c r="H75">
        <v>200</v>
      </c>
      <c r="I75">
        <v>11000</v>
      </c>
      <c r="J75">
        <v>2200000</v>
      </c>
      <c r="K75" t="str">
        <f>IFERROR(IF(B75&lt;&gt;"", TEXT(VLOOKUP(B75, 'Expected Date'!A:B, 2, FALSE) + DATE(RIGHT(C75,2),MID(C75,4,2),LEFT(C75,2)), "dd/mm/yy"), ""), "")</f>
        <v>26/06/23</v>
      </c>
      <c r="L75" t="s">
        <v>68</v>
      </c>
      <c r="M75" t="s">
        <v>48</v>
      </c>
      <c r="N75" t="s">
        <v>370</v>
      </c>
      <c r="O75" t="s">
        <v>89</v>
      </c>
      <c r="P75">
        <v>23290698</v>
      </c>
      <c r="Q75" t="s">
        <v>392</v>
      </c>
      <c r="R75" t="s">
        <v>393</v>
      </c>
      <c r="S75">
        <v>29.41</v>
      </c>
      <c r="T75">
        <v>11000</v>
      </c>
      <c r="U75">
        <v>323510</v>
      </c>
      <c r="V75" t="str">
        <f t="shared" si="35"/>
        <v>Accepted</v>
      </c>
      <c r="W75">
        <f>IFERROR(VLOOKUP(N75, Payment_Terms!A:B, 2, FALSE), "Payment term not found!")</f>
        <v>15</v>
      </c>
      <c r="X75" t="str">
        <f>IFERROR(VLOOKUP(R75, Item_Category!A:B, 2, FALSE), "Uncategorized")</f>
        <v>Coal materials</v>
      </c>
      <c r="Y75" s="5">
        <f t="shared" si="22"/>
        <v>0.70605000000000007</v>
      </c>
      <c r="Z75">
        <f t="shared" si="23"/>
        <v>1</v>
      </c>
      <c r="AA75">
        <f t="shared" si="24"/>
        <v>9</v>
      </c>
      <c r="AB75">
        <f t="shared" si="25"/>
        <v>2</v>
      </c>
      <c r="AC75" s="10">
        <f t="shared" si="26"/>
        <v>11</v>
      </c>
      <c r="AD75" s="5">
        <f t="shared" si="18"/>
        <v>1</v>
      </c>
      <c r="AE75" s="5">
        <f t="shared" si="19"/>
        <v>1</v>
      </c>
      <c r="AF75" s="5">
        <f t="shared" si="27"/>
        <v>0</v>
      </c>
      <c r="AG75">
        <f>IF(B75&lt;&gt;"", COUNTIFS($B$2:B75, B75), "")</f>
        <v>21</v>
      </c>
      <c r="AH75">
        <f t="shared" si="28"/>
        <v>5</v>
      </c>
      <c r="AI75" t="str">
        <f>VLOOKUP(B75, Currency!A:B, 2, FALSE)</f>
        <v>INR</v>
      </c>
      <c r="AJ75">
        <f t="shared" si="20"/>
        <v>3</v>
      </c>
      <c r="AK75">
        <f t="shared" si="29"/>
        <v>6</v>
      </c>
      <c r="AL75" t="str">
        <f t="shared" si="30"/>
        <v>June</v>
      </c>
      <c r="AM75">
        <f t="shared" si="31"/>
        <v>2023</v>
      </c>
      <c r="AN75" t="str">
        <f t="shared" si="21"/>
        <v>15SKYWIN ENTERPRISE</v>
      </c>
      <c r="AO75">
        <f>IF(COUNTIF($AN$2:AN75, AN75)=1, 1, 0)</f>
        <v>0</v>
      </c>
      <c r="AP75" t="str">
        <f t="shared" si="32"/>
        <v>&gt;3</v>
      </c>
      <c r="AQ75" t="str">
        <f t="shared" si="33"/>
        <v>&lt;=3</v>
      </c>
      <c r="AR75" t="str">
        <f t="shared" si="34"/>
        <v>&lt;=3</v>
      </c>
    </row>
    <row r="76" spans="1:44" x14ac:dyDescent="0.3">
      <c r="A76" t="s">
        <v>33</v>
      </c>
      <c r="B76" t="s">
        <v>386</v>
      </c>
      <c r="C76" t="s">
        <v>238</v>
      </c>
      <c r="D76">
        <v>1760</v>
      </c>
      <c r="E76">
        <v>23210140</v>
      </c>
      <c r="F76" t="s">
        <v>450</v>
      </c>
      <c r="G76" t="s">
        <v>451</v>
      </c>
      <c r="H76">
        <v>280</v>
      </c>
      <c r="I76">
        <v>35</v>
      </c>
      <c r="J76">
        <v>9800</v>
      </c>
      <c r="K76" t="str">
        <f>IFERROR(IF(B76&lt;&gt;"", TEXT(VLOOKUP(B76, 'Expected Date'!A:B, 2, FALSE) + DATE(RIGHT(C76,2),MID(C76,4,2),LEFT(C76,2)), "dd/mm/yy"), ""), "")</f>
        <v>09/05/23</v>
      </c>
      <c r="L76" t="s">
        <v>38</v>
      </c>
      <c r="M76" t="s">
        <v>39</v>
      </c>
      <c r="N76" t="s">
        <v>342</v>
      </c>
      <c r="O76" t="s">
        <v>145</v>
      </c>
      <c r="P76">
        <v>23290232</v>
      </c>
      <c r="Q76" t="s">
        <v>450</v>
      </c>
      <c r="R76" t="s">
        <v>451</v>
      </c>
      <c r="S76">
        <v>280</v>
      </c>
      <c r="T76">
        <v>35</v>
      </c>
      <c r="U76">
        <v>9800</v>
      </c>
      <c r="V76" t="str">
        <f t="shared" si="35"/>
        <v>Accepted</v>
      </c>
      <c r="W76">
        <f>IFERROR(VLOOKUP(N76, Payment_Terms!A:B, 2, FALSE), "Payment term not found!")</f>
        <v>30</v>
      </c>
      <c r="X76" t="str">
        <f>IFERROR(VLOOKUP(R76, Item_Category!A:B, 2, FALSE), "Uncategorized")</f>
        <v>PP thread</v>
      </c>
      <c r="Y76" s="5">
        <f t="shared" si="22"/>
        <v>0</v>
      </c>
      <c r="Z76">
        <f t="shared" si="23"/>
        <v>5</v>
      </c>
      <c r="AA76">
        <f t="shared" si="24"/>
        <v>-2</v>
      </c>
      <c r="AB76">
        <f t="shared" si="25"/>
        <v>5</v>
      </c>
      <c r="AC76" s="10">
        <f t="shared" si="26"/>
        <v>3</v>
      </c>
      <c r="AD76" s="5">
        <f t="shared" si="18"/>
        <v>1</v>
      </c>
      <c r="AE76" s="5">
        <f t="shared" si="19"/>
        <v>1</v>
      </c>
      <c r="AF76" s="5">
        <f t="shared" si="27"/>
        <v>0</v>
      </c>
      <c r="AG76">
        <f>IF(B76&lt;&gt;"", COUNTIFS($B$2:B76, B76), "")</f>
        <v>6</v>
      </c>
      <c r="AH76">
        <f t="shared" si="28"/>
        <v>5</v>
      </c>
      <c r="AI76" t="str">
        <f>VLOOKUP(B76, Currency!A:B, 2, FALSE)</f>
        <v>INR</v>
      </c>
      <c r="AJ76">
        <f t="shared" si="20"/>
        <v>5</v>
      </c>
      <c r="AK76">
        <f t="shared" si="29"/>
        <v>5</v>
      </c>
      <c r="AL76" t="str">
        <f t="shared" si="30"/>
        <v>May</v>
      </c>
      <c r="AM76">
        <f t="shared" si="31"/>
        <v>2023</v>
      </c>
      <c r="AN76" t="str">
        <f t="shared" si="21"/>
        <v>30Shree Shyam Enterprises</v>
      </c>
      <c r="AO76">
        <f>IF(COUNTIF($AN$2:AN76, AN76)=1, 1, 0)</f>
        <v>0</v>
      </c>
      <c r="AP76" t="str">
        <f t="shared" si="32"/>
        <v>&gt;3</v>
      </c>
      <c r="AQ76" t="str">
        <f t="shared" si="33"/>
        <v>&gt;3</v>
      </c>
      <c r="AR76" t="str">
        <f t="shared" si="34"/>
        <v>&gt;3</v>
      </c>
    </row>
    <row r="77" spans="1:44" x14ac:dyDescent="0.3">
      <c r="A77" t="s">
        <v>111</v>
      </c>
      <c r="B77" t="s">
        <v>452</v>
      </c>
      <c r="C77" t="s">
        <v>108</v>
      </c>
      <c r="D77">
        <v>1817</v>
      </c>
      <c r="E77">
        <v>23220018</v>
      </c>
      <c r="F77" t="s">
        <v>453</v>
      </c>
      <c r="G77" t="s">
        <v>454</v>
      </c>
      <c r="H77">
        <v>5</v>
      </c>
      <c r="I77">
        <v>7000</v>
      </c>
      <c r="J77">
        <v>35000</v>
      </c>
      <c r="K77" t="str">
        <f>IFERROR(IF(B77&lt;&gt;"", TEXT(VLOOKUP(B77, 'Expected Date'!A:B, 2, FALSE) + DATE(RIGHT(C77,2),MID(C77,4,2),LEFT(C77,2)), "dd/mm/yy"), ""), "")</f>
        <v>25/05/23</v>
      </c>
      <c r="L77" t="s">
        <v>38</v>
      </c>
      <c r="M77" t="s">
        <v>48</v>
      </c>
      <c r="N77" t="s">
        <v>237</v>
      </c>
      <c r="O77" t="s">
        <v>141</v>
      </c>
      <c r="P77">
        <v>23290239</v>
      </c>
      <c r="Q77" t="s">
        <v>453</v>
      </c>
      <c r="R77" t="s">
        <v>454</v>
      </c>
      <c r="S77">
        <v>5</v>
      </c>
      <c r="T77">
        <v>7000</v>
      </c>
      <c r="U77">
        <v>35000</v>
      </c>
      <c r="V77" t="str">
        <f t="shared" si="35"/>
        <v>Accepted</v>
      </c>
      <c r="W77">
        <f>IFERROR(VLOOKUP(N77, Payment_Terms!A:B, 2, FALSE), "Payment term not found!")</f>
        <v>0</v>
      </c>
      <c r="X77" t="str">
        <f>IFERROR(VLOOKUP(R77, Item_Category!A:B, 2, FALSE), "Uncategorized")</f>
        <v xml:space="preserve">Lithium salts </v>
      </c>
      <c r="Y77" s="5">
        <f t="shared" si="22"/>
        <v>0</v>
      </c>
      <c r="Z77">
        <f t="shared" si="23"/>
        <v>5</v>
      </c>
      <c r="AA77">
        <f t="shared" si="24"/>
        <v>-17</v>
      </c>
      <c r="AB77">
        <f t="shared" si="25"/>
        <v>5</v>
      </c>
      <c r="AC77" s="10">
        <f t="shared" si="26"/>
        <v>2</v>
      </c>
      <c r="AD77" s="5">
        <f t="shared" si="18"/>
        <v>1</v>
      </c>
      <c r="AE77" s="5">
        <f t="shared" si="19"/>
        <v>1</v>
      </c>
      <c r="AF77" s="5">
        <f t="shared" si="27"/>
        <v>0</v>
      </c>
      <c r="AG77">
        <f>IF(B77&lt;&gt;"", COUNTIFS($B$2:B77, B77), "")</f>
        <v>1</v>
      </c>
      <c r="AH77">
        <f t="shared" si="28"/>
        <v>5</v>
      </c>
      <c r="AI77" t="str">
        <f>VLOOKUP(B77, Currency!A:B, 2, FALSE)</f>
        <v>INR</v>
      </c>
      <c r="AJ77">
        <f t="shared" si="20"/>
        <v>5</v>
      </c>
      <c r="AK77">
        <f t="shared" si="29"/>
        <v>5</v>
      </c>
      <c r="AL77" t="str">
        <f t="shared" si="30"/>
        <v>May</v>
      </c>
      <c r="AM77">
        <f t="shared" si="31"/>
        <v>2023</v>
      </c>
      <c r="AN77" t="str">
        <f t="shared" si="21"/>
        <v>0ENVEE DRUGS PVT LTD</v>
      </c>
      <c r="AO77">
        <f>IF(COUNTIF($AN$2:AN77, AN77)=1, 1, 0)</f>
        <v>1</v>
      </c>
      <c r="AP77" t="str">
        <f t="shared" si="32"/>
        <v>&gt;3</v>
      </c>
      <c r="AQ77" t="str">
        <f t="shared" si="33"/>
        <v>&gt;3</v>
      </c>
      <c r="AR77" t="str">
        <f t="shared" si="34"/>
        <v>&gt;3</v>
      </c>
    </row>
    <row r="78" spans="1:44" x14ac:dyDescent="0.3">
      <c r="A78" t="str">
        <f>A73</f>
        <v>Woodpulp</v>
      </c>
      <c r="B78" t="s">
        <v>140</v>
      </c>
      <c r="C78" t="s">
        <v>146</v>
      </c>
      <c r="D78">
        <v>1748</v>
      </c>
      <c r="E78">
        <v>23220016</v>
      </c>
      <c r="F78" t="s">
        <v>359</v>
      </c>
      <c r="G78" t="s">
        <v>360</v>
      </c>
      <c r="H78">
        <v>75</v>
      </c>
      <c r="I78">
        <v>830</v>
      </c>
      <c r="J78">
        <v>5032912.5</v>
      </c>
      <c r="K78" t="str">
        <f>IFERROR(IF(B78&lt;&gt;"", TEXT(VLOOKUP(B78, 'Expected Date'!A:B, 2, FALSE) + DATE(RIGHT(C78,2),MID(C78,4,2),LEFT(C78,2)), "dd/mm/yy"), ""), "")</f>
        <v>23/06/23</v>
      </c>
      <c r="L78" t="s">
        <v>68</v>
      </c>
      <c r="M78" t="str">
        <f>M73</f>
        <v>MT</v>
      </c>
      <c r="N78" t="s">
        <v>144</v>
      </c>
      <c r="O78" t="s">
        <v>238</v>
      </c>
      <c r="P78">
        <v>23290243</v>
      </c>
      <c r="Q78" t="s">
        <v>359</v>
      </c>
      <c r="R78" t="s">
        <v>360</v>
      </c>
      <c r="S78">
        <v>74.227999999999994</v>
      </c>
      <c r="T78">
        <v>830</v>
      </c>
      <c r="U78">
        <v>5014992.1399999997</v>
      </c>
      <c r="V78" t="str">
        <f t="shared" si="35"/>
        <v>Accepted</v>
      </c>
      <c r="W78">
        <f>IFERROR(VLOOKUP(N78, Payment_Terms!A:B, 2, FALSE), "Payment term not found!")</f>
        <v>30</v>
      </c>
      <c r="X78" t="str">
        <f>IFERROR(VLOOKUP(R78, Item_Category!A:B, 2, FALSE), "Uncategorized")</f>
        <v>Wood pulp</v>
      </c>
      <c r="Y78" s="5">
        <f t="shared" si="22"/>
        <v>1.0293333333333408E-2</v>
      </c>
      <c r="Z78">
        <f t="shared" si="23"/>
        <v>4</v>
      </c>
      <c r="AA78">
        <f t="shared" si="24"/>
        <v>-50</v>
      </c>
      <c r="AB78">
        <f t="shared" si="25"/>
        <v>5</v>
      </c>
      <c r="AC78" s="10">
        <f t="shared" si="26"/>
        <v>5</v>
      </c>
      <c r="AD78" s="5">
        <f t="shared" si="18"/>
        <v>1</v>
      </c>
      <c r="AE78" s="5">
        <f t="shared" si="19"/>
        <v>1</v>
      </c>
      <c r="AF78" s="5">
        <f t="shared" si="27"/>
        <v>0</v>
      </c>
      <c r="AG78">
        <f>IF(B78&lt;&gt;"", COUNTIFS($B$2:B78, B78), "")</f>
        <v>2</v>
      </c>
      <c r="AH78">
        <f t="shared" si="28"/>
        <v>5</v>
      </c>
      <c r="AI78" t="str">
        <f>VLOOKUP(B78, Currency!A:B, 2, FALSE)</f>
        <v>USD</v>
      </c>
      <c r="AJ78">
        <f t="shared" si="20"/>
        <v>5</v>
      </c>
      <c r="AK78">
        <f t="shared" si="29"/>
        <v>5</v>
      </c>
      <c r="AL78" t="str">
        <f t="shared" si="30"/>
        <v>May</v>
      </c>
      <c r="AM78">
        <f t="shared" si="31"/>
        <v>2023</v>
      </c>
      <c r="AN78" t="str">
        <f t="shared" si="21"/>
        <v>30Sappi Paper Holdings GMBH</v>
      </c>
      <c r="AO78">
        <f>IF(COUNTIF($AN$2:AN78, AN78)=1, 1, 0)</f>
        <v>0</v>
      </c>
      <c r="AP78" t="str">
        <f t="shared" si="32"/>
        <v>&gt;3</v>
      </c>
      <c r="AQ78" t="str">
        <f t="shared" si="33"/>
        <v>&gt;3</v>
      </c>
      <c r="AR78" t="str">
        <f t="shared" si="34"/>
        <v>&gt;3</v>
      </c>
    </row>
    <row r="79" spans="1:44" x14ac:dyDescent="0.3">
      <c r="A79" t="s">
        <v>33</v>
      </c>
      <c r="B79" t="s">
        <v>122</v>
      </c>
      <c r="C79" t="s">
        <v>404</v>
      </c>
      <c r="D79">
        <v>1611</v>
      </c>
      <c r="E79">
        <v>23210100</v>
      </c>
      <c r="F79" t="s">
        <v>405</v>
      </c>
      <c r="G79" t="s">
        <v>406</v>
      </c>
      <c r="H79">
        <v>600</v>
      </c>
      <c r="I79">
        <v>930</v>
      </c>
      <c r="J79">
        <v>558000</v>
      </c>
      <c r="K79" t="str">
        <f>IFERROR(IF(B79&lt;&gt;"", TEXT(VLOOKUP(B79, 'Expected Date'!A:B, 2, FALSE) + DATE(RIGHT(C79,2),MID(C79,4,2),LEFT(C79,2)), "dd/mm/yy"), ""), "")</f>
        <v>13/05/23</v>
      </c>
      <c r="L79" t="s">
        <v>38</v>
      </c>
      <c r="M79" t="s">
        <v>48</v>
      </c>
      <c r="N79" t="s">
        <v>364</v>
      </c>
      <c r="O79" t="s">
        <v>300</v>
      </c>
      <c r="P79">
        <v>23290244</v>
      </c>
      <c r="Q79" t="s">
        <v>405</v>
      </c>
      <c r="R79" t="s">
        <v>406</v>
      </c>
      <c r="S79">
        <v>180</v>
      </c>
      <c r="T79">
        <v>930</v>
      </c>
      <c r="U79">
        <v>167400</v>
      </c>
      <c r="V79" t="str">
        <f t="shared" si="35"/>
        <v>Accepted</v>
      </c>
      <c r="W79">
        <f>IFERROR(VLOOKUP(N79, Payment_Terms!A:B, 2, FALSE), "Payment term not found!")</f>
        <v>30</v>
      </c>
      <c r="X79" t="str">
        <f>IFERROR(VLOOKUP(R79, Item_Category!A:B, 2, FALSE), "Uncategorized")</f>
        <v>Pallets</v>
      </c>
      <c r="Y79" s="5">
        <f t="shared" si="22"/>
        <v>0</v>
      </c>
      <c r="Z79">
        <f t="shared" si="23"/>
        <v>5</v>
      </c>
      <c r="AA79">
        <f t="shared" si="24"/>
        <v>-1</v>
      </c>
      <c r="AB79">
        <f t="shared" si="25"/>
        <v>5</v>
      </c>
      <c r="AC79" s="10">
        <f t="shared" si="26"/>
        <v>14</v>
      </c>
      <c r="AD79" s="5">
        <f t="shared" si="18"/>
        <v>1</v>
      </c>
      <c r="AE79" s="5">
        <f t="shared" si="19"/>
        <v>1</v>
      </c>
      <c r="AF79" s="5">
        <f t="shared" si="27"/>
        <v>0</v>
      </c>
      <c r="AG79">
        <f>IF(B79&lt;&gt;"", COUNTIFS($B$2:B79, B79), "")</f>
        <v>8</v>
      </c>
      <c r="AH79">
        <f t="shared" si="28"/>
        <v>5</v>
      </c>
      <c r="AI79" t="str">
        <f>VLOOKUP(B79, Currency!A:B, 2, FALSE)</f>
        <v>INR</v>
      </c>
      <c r="AJ79">
        <f t="shared" si="20"/>
        <v>5</v>
      </c>
      <c r="AK79">
        <f t="shared" si="29"/>
        <v>4</v>
      </c>
      <c r="AL79" t="str">
        <f t="shared" si="30"/>
        <v>April</v>
      </c>
      <c r="AM79">
        <f t="shared" si="31"/>
        <v>2023</v>
      </c>
      <c r="AN79" t="str">
        <f t="shared" si="21"/>
        <v>30Plastocon Industries Pvt Ltd</v>
      </c>
      <c r="AO79">
        <f>IF(COUNTIF($AN$2:AN79, AN79)=1, 1, 0)</f>
        <v>0</v>
      </c>
      <c r="AP79" t="str">
        <f t="shared" si="32"/>
        <v>&gt;3</v>
      </c>
      <c r="AQ79" t="str">
        <f t="shared" si="33"/>
        <v>&gt;3</v>
      </c>
      <c r="AR79" t="str">
        <f t="shared" si="34"/>
        <v>&gt;3</v>
      </c>
    </row>
    <row r="80" spans="1:44" x14ac:dyDescent="0.3">
      <c r="A80" t="s">
        <v>33</v>
      </c>
      <c r="B80" t="s">
        <v>386</v>
      </c>
      <c r="C80" t="s">
        <v>432</v>
      </c>
      <c r="D80">
        <v>2145</v>
      </c>
      <c r="E80">
        <v>23210192</v>
      </c>
      <c r="F80" t="s">
        <v>437</v>
      </c>
      <c r="G80" t="s">
        <v>438</v>
      </c>
      <c r="H80">
        <v>12279</v>
      </c>
      <c r="I80">
        <v>9.0442999999999998</v>
      </c>
      <c r="J80">
        <v>111054.96</v>
      </c>
      <c r="K80" t="str">
        <f>IFERROR(IF(B80&lt;&gt;"", TEXT(VLOOKUP(B80, 'Expected Date'!A:B, 2, FALSE) + DATE(RIGHT(C80,2),MID(C80,4,2),LEFT(C80,2)), "dd/mm/yy"), ""), "")</f>
        <v>27/05/23</v>
      </c>
      <c r="L80" t="s">
        <v>38</v>
      </c>
      <c r="M80" t="s">
        <v>48</v>
      </c>
      <c r="N80" t="s">
        <v>342</v>
      </c>
      <c r="O80" t="s">
        <v>239</v>
      </c>
      <c r="P80">
        <v>23290433</v>
      </c>
      <c r="Q80" t="s">
        <v>437</v>
      </c>
      <c r="R80" t="s">
        <v>438</v>
      </c>
      <c r="S80">
        <v>12279</v>
      </c>
      <c r="T80">
        <v>9.0442999999999998</v>
      </c>
      <c r="U80">
        <v>111054.96</v>
      </c>
      <c r="V80" t="str">
        <f t="shared" si="35"/>
        <v>Accepted</v>
      </c>
      <c r="W80">
        <f>IFERROR(VLOOKUP(N80, Payment_Terms!A:B, 2, FALSE), "Payment term not found!")</f>
        <v>30</v>
      </c>
      <c r="X80" t="str">
        <f>IFERROR(VLOOKUP(R80, Item_Category!A:B, 2, FALSE), "Uncategorized")</f>
        <v>Liner</v>
      </c>
      <c r="Y80" s="5">
        <f t="shared" si="22"/>
        <v>0</v>
      </c>
      <c r="Z80">
        <f t="shared" si="23"/>
        <v>5</v>
      </c>
      <c r="AA80">
        <f t="shared" si="24"/>
        <v>-3</v>
      </c>
      <c r="AB80">
        <f t="shared" si="25"/>
        <v>5</v>
      </c>
      <c r="AC80" s="10">
        <f t="shared" si="26"/>
        <v>2</v>
      </c>
      <c r="AD80" s="5">
        <f t="shared" si="18"/>
        <v>1</v>
      </c>
      <c r="AE80" s="5">
        <f t="shared" si="19"/>
        <v>1</v>
      </c>
      <c r="AF80" s="5">
        <f t="shared" si="27"/>
        <v>0</v>
      </c>
      <c r="AG80">
        <f>IF(B80&lt;&gt;"", COUNTIFS($B$2:B80, B80), "")</f>
        <v>7</v>
      </c>
      <c r="AH80">
        <f t="shared" si="28"/>
        <v>5</v>
      </c>
      <c r="AI80" t="str">
        <f>VLOOKUP(B80, Currency!A:B, 2, FALSE)</f>
        <v>INR</v>
      </c>
      <c r="AJ80">
        <f t="shared" si="20"/>
        <v>5</v>
      </c>
      <c r="AK80">
        <f t="shared" si="29"/>
        <v>5</v>
      </c>
      <c r="AL80" t="str">
        <f t="shared" si="30"/>
        <v>May</v>
      </c>
      <c r="AM80">
        <f t="shared" si="31"/>
        <v>2023</v>
      </c>
      <c r="AN80" t="str">
        <f t="shared" si="21"/>
        <v>30Shree Shyam Enterprises</v>
      </c>
      <c r="AO80">
        <f>IF(COUNTIF($AN$2:AN80, AN80)=1, 1, 0)</f>
        <v>0</v>
      </c>
      <c r="AP80" t="str">
        <f t="shared" si="32"/>
        <v>&gt;3</v>
      </c>
      <c r="AQ80" t="str">
        <f t="shared" si="33"/>
        <v>&gt;3</v>
      </c>
      <c r="AR80" t="str">
        <f t="shared" si="34"/>
        <v>&gt;3</v>
      </c>
    </row>
    <row r="81" spans="1:44" x14ac:dyDescent="0.3">
      <c r="A81" t="s">
        <v>33</v>
      </c>
      <c r="B81" t="s">
        <v>436</v>
      </c>
      <c r="C81" t="s">
        <v>357</v>
      </c>
      <c r="D81">
        <v>2292</v>
      </c>
      <c r="E81">
        <v>23210246</v>
      </c>
      <c r="F81" t="s">
        <v>430</v>
      </c>
      <c r="G81" t="s">
        <v>431</v>
      </c>
      <c r="H81">
        <v>2500</v>
      </c>
      <c r="I81">
        <v>9.5</v>
      </c>
      <c r="J81">
        <v>23750</v>
      </c>
      <c r="K81" t="str">
        <f>IFERROR(IF(B81&lt;&gt;"", TEXT(VLOOKUP(B81, 'Expected Date'!A:B, 2, FALSE) + DATE(RIGHT(C81,2),MID(C81,4,2),LEFT(C81,2)), "dd/mm/yy"), ""), "")</f>
        <v>09/06/23</v>
      </c>
      <c r="L81" t="s">
        <v>38</v>
      </c>
      <c r="M81" t="s">
        <v>48</v>
      </c>
      <c r="N81" t="s">
        <v>318</v>
      </c>
      <c r="O81" t="s">
        <v>357</v>
      </c>
      <c r="P81">
        <v>23290444</v>
      </c>
      <c r="Q81" t="s">
        <v>430</v>
      </c>
      <c r="R81" t="s">
        <v>431</v>
      </c>
      <c r="S81">
        <v>2500</v>
      </c>
      <c r="T81">
        <v>9.5</v>
      </c>
      <c r="U81">
        <v>23750</v>
      </c>
      <c r="V81" t="str">
        <f t="shared" si="35"/>
        <v>Accepted</v>
      </c>
      <c r="W81">
        <f>IFERROR(VLOOKUP(N81, Payment_Terms!A:B, 2, FALSE), "Payment term not found!")</f>
        <v>30</v>
      </c>
      <c r="X81" t="str">
        <f>IFERROR(VLOOKUP(R81, Item_Category!A:B, 2, FALSE), "Uncategorized")</f>
        <v>Lime</v>
      </c>
      <c r="Y81" s="5">
        <f t="shared" si="22"/>
        <v>0</v>
      </c>
      <c r="Z81">
        <f t="shared" si="23"/>
        <v>5</v>
      </c>
      <c r="AA81">
        <f t="shared" si="24"/>
        <v>-10</v>
      </c>
      <c r="AB81">
        <f t="shared" si="25"/>
        <v>5</v>
      </c>
      <c r="AC81" s="10">
        <f t="shared" si="26"/>
        <v>0</v>
      </c>
      <c r="AD81" s="5">
        <f t="shared" si="18"/>
        <v>1</v>
      </c>
      <c r="AE81" s="5">
        <f t="shared" si="19"/>
        <v>1</v>
      </c>
      <c r="AF81" s="5">
        <f t="shared" si="27"/>
        <v>0</v>
      </c>
      <c r="AG81">
        <f>IF(B81&lt;&gt;"", COUNTIFS($B$2:B81, B81), "")</f>
        <v>3</v>
      </c>
      <c r="AH81">
        <f t="shared" si="28"/>
        <v>5</v>
      </c>
      <c r="AI81" t="str">
        <f>VLOOKUP(B81, Currency!A:B, 2, FALSE)</f>
        <v>INR</v>
      </c>
      <c r="AJ81">
        <f t="shared" si="20"/>
        <v>5</v>
      </c>
      <c r="AK81">
        <f t="shared" si="29"/>
        <v>5</v>
      </c>
      <c r="AL81" t="str">
        <f t="shared" si="30"/>
        <v>May</v>
      </c>
      <c r="AM81">
        <f t="shared" si="31"/>
        <v>2023</v>
      </c>
      <c r="AN81" t="str">
        <f t="shared" si="21"/>
        <v>30Shree Gopal Celluchem Pvt Ltd</v>
      </c>
      <c r="AO81">
        <f>IF(COUNTIF($AN$2:AN81, AN81)=1, 1, 0)</f>
        <v>0</v>
      </c>
      <c r="AP81" t="str">
        <f t="shared" si="32"/>
        <v>&gt;3</v>
      </c>
      <c r="AQ81" t="str">
        <f t="shared" si="33"/>
        <v>&gt;3</v>
      </c>
      <c r="AR81" t="str">
        <f t="shared" si="34"/>
        <v>&gt;3</v>
      </c>
    </row>
    <row r="82" spans="1:44" x14ac:dyDescent="0.3">
      <c r="A82" t="s">
        <v>33</v>
      </c>
      <c r="B82" t="s">
        <v>122</v>
      </c>
      <c r="C82" t="s">
        <v>416</v>
      </c>
      <c r="D82">
        <v>2054</v>
      </c>
      <c r="E82">
        <v>23210173</v>
      </c>
      <c r="F82" t="s">
        <v>405</v>
      </c>
      <c r="G82" t="s">
        <v>406</v>
      </c>
      <c r="H82">
        <v>600</v>
      </c>
      <c r="I82">
        <v>930</v>
      </c>
      <c r="J82">
        <v>558000</v>
      </c>
      <c r="K82" t="str">
        <f>IFERROR(IF(B82&lt;&gt;"", TEXT(VLOOKUP(B82, 'Expected Date'!A:B, 2, FALSE) + DATE(RIGHT(C82,2),MID(C82,4,2),LEFT(C82,2)), "dd/mm/yy"), ""), "")</f>
        <v>04/06/23</v>
      </c>
      <c r="L82" t="s">
        <v>38</v>
      </c>
      <c r="M82" t="s">
        <v>39</v>
      </c>
      <c r="N82" t="s">
        <v>364</v>
      </c>
      <c r="O82" t="s">
        <v>89</v>
      </c>
      <c r="P82">
        <v>23290663</v>
      </c>
      <c r="Q82" t="s">
        <v>405</v>
      </c>
      <c r="R82" t="s">
        <v>406</v>
      </c>
      <c r="S82">
        <v>150</v>
      </c>
      <c r="T82">
        <v>930</v>
      </c>
      <c r="U82">
        <v>139500</v>
      </c>
      <c r="V82" t="str">
        <f t="shared" si="35"/>
        <v>Accepted</v>
      </c>
      <c r="W82">
        <f>IFERROR(VLOOKUP(N82, Payment_Terms!A:B, 2, FALSE), "Payment term not found!")</f>
        <v>30</v>
      </c>
      <c r="X82" t="str">
        <f>IFERROR(VLOOKUP(R82, Item_Category!A:B, 2, FALSE), "Uncategorized")</f>
        <v>Pallets</v>
      </c>
      <c r="Y82" s="5">
        <f t="shared" si="22"/>
        <v>0</v>
      </c>
      <c r="Z82">
        <f t="shared" si="23"/>
        <v>5</v>
      </c>
      <c r="AA82">
        <f t="shared" si="24"/>
        <v>31</v>
      </c>
      <c r="AB82">
        <f t="shared" si="25"/>
        <v>1</v>
      </c>
      <c r="AC82" s="10">
        <f t="shared" si="26"/>
        <v>46</v>
      </c>
      <c r="AD82" s="5">
        <f t="shared" si="18"/>
        <v>1</v>
      </c>
      <c r="AE82" s="5">
        <f t="shared" si="19"/>
        <v>1</v>
      </c>
      <c r="AF82" s="5">
        <f t="shared" si="27"/>
        <v>0</v>
      </c>
      <c r="AG82">
        <f>IF(B82&lt;&gt;"", COUNTIFS($B$2:B82, B82), "")</f>
        <v>9</v>
      </c>
      <c r="AH82">
        <f t="shared" si="28"/>
        <v>5</v>
      </c>
      <c r="AI82" t="str">
        <f>VLOOKUP(B82, Currency!A:B, 2, FALSE)</f>
        <v>INR</v>
      </c>
      <c r="AJ82">
        <f t="shared" si="20"/>
        <v>4</v>
      </c>
      <c r="AK82">
        <f t="shared" si="29"/>
        <v>5</v>
      </c>
      <c r="AL82" t="str">
        <f t="shared" si="30"/>
        <v>May</v>
      </c>
      <c r="AM82">
        <f t="shared" si="31"/>
        <v>2023</v>
      </c>
      <c r="AN82" t="str">
        <f t="shared" si="21"/>
        <v>30Plastocon Industries Pvt Ltd</v>
      </c>
      <c r="AO82">
        <f>IF(COUNTIF($AN$2:AN82, AN82)=1, 1, 0)</f>
        <v>0</v>
      </c>
      <c r="AP82" t="str">
        <f t="shared" si="32"/>
        <v>&gt;3</v>
      </c>
      <c r="AQ82" t="str">
        <f t="shared" si="33"/>
        <v>&gt;3</v>
      </c>
      <c r="AR82" t="str">
        <f t="shared" si="34"/>
        <v>&lt;=3</v>
      </c>
    </row>
    <row r="83" spans="1:44" x14ac:dyDescent="0.3">
      <c r="A83" t="str">
        <f>A22</f>
        <v>Woodpulp</v>
      </c>
      <c r="B83" t="s">
        <v>96</v>
      </c>
      <c r="C83" t="s">
        <v>97</v>
      </c>
      <c r="D83">
        <v>1234</v>
      </c>
      <c r="E83">
        <v>23220003</v>
      </c>
      <c r="F83" t="s">
        <v>443</v>
      </c>
      <c r="G83" t="s">
        <v>99</v>
      </c>
      <c r="H83">
        <v>52</v>
      </c>
      <c r="I83">
        <v>820</v>
      </c>
      <c r="J83">
        <v>3458104</v>
      </c>
      <c r="K83" t="str">
        <f>IFERROR(IF(B83&lt;&gt;"", TEXT(VLOOKUP(B83, 'Expected Date'!A:B, 2, FALSE) + DATE(RIGHT(C83,2),MID(C83,4,2),LEFT(C83,2)), "dd/mm/yy"), ""), "")</f>
        <v>10/06/23</v>
      </c>
      <c r="L83" t="s">
        <v>38</v>
      </c>
      <c r="M83" t="str">
        <f>M73</f>
        <v>MT</v>
      </c>
      <c r="N83" t="s">
        <v>102</v>
      </c>
      <c r="O83" t="s">
        <v>120</v>
      </c>
      <c r="P83">
        <v>23290901</v>
      </c>
      <c r="Q83" t="s">
        <v>443</v>
      </c>
      <c r="R83" t="s">
        <v>444</v>
      </c>
      <c r="S83">
        <v>52.762999999999998</v>
      </c>
      <c r="T83">
        <v>820</v>
      </c>
      <c r="U83">
        <v>3528314.57</v>
      </c>
      <c r="V83" t="str">
        <f t="shared" si="35"/>
        <v>Accepted</v>
      </c>
      <c r="W83">
        <f>IFERROR(VLOOKUP(N83, Payment_Terms!A:B, 2, FALSE), "Payment term not found!")</f>
        <v>60</v>
      </c>
      <c r="X83" t="str">
        <f>IFERROR(VLOOKUP(R83, Item_Category!A:B, 2, FALSE), "Uncategorized")</f>
        <v>Wood pulp</v>
      </c>
      <c r="Y83" s="5">
        <f t="shared" si="22"/>
        <v>0</v>
      </c>
      <c r="Z83">
        <f t="shared" si="23"/>
        <v>5</v>
      </c>
      <c r="AA83">
        <f t="shared" si="24"/>
        <v>40</v>
      </c>
      <c r="AB83">
        <f t="shared" si="25"/>
        <v>1</v>
      </c>
      <c r="AC83" s="10">
        <f t="shared" si="26"/>
        <v>100</v>
      </c>
      <c r="AD83" s="5">
        <f t="shared" si="18"/>
        <v>1</v>
      </c>
      <c r="AE83" s="5">
        <f t="shared" si="19"/>
        <v>1</v>
      </c>
      <c r="AF83" s="5">
        <f t="shared" si="27"/>
        <v>0</v>
      </c>
      <c r="AG83">
        <f>IF(B83&lt;&gt;"", COUNTIFS($B$2:B83, B83), "")</f>
        <v>3</v>
      </c>
      <c r="AH83">
        <f t="shared" si="28"/>
        <v>5</v>
      </c>
      <c r="AI83" t="str">
        <f>VLOOKUP(B83, Currency!A:B, 2, FALSE)</f>
        <v>USD</v>
      </c>
      <c r="AJ83">
        <f t="shared" si="20"/>
        <v>4</v>
      </c>
      <c r="AK83">
        <f t="shared" si="29"/>
        <v>4</v>
      </c>
      <c r="AL83" t="str">
        <f t="shared" si="30"/>
        <v>April</v>
      </c>
      <c r="AM83">
        <f t="shared" si="31"/>
        <v>2023</v>
      </c>
      <c r="AN83" t="str">
        <f t="shared" si="21"/>
        <v>60G P Cellulose GMBH</v>
      </c>
      <c r="AO83">
        <f>IF(COUNTIF($AN$2:AN83, AN83)=1, 1, 0)</f>
        <v>0</v>
      </c>
      <c r="AP83" t="str">
        <f t="shared" si="32"/>
        <v>&gt;3</v>
      </c>
      <c r="AQ83" t="str">
        <f t="shared" si="33"/>
        <v>&gt;3</v>
      </c>
      <c r="AR83" t="str">
        <f t="shared" si="34"/>
        <v>&lt;=3</v>
      </c>
    </row>
    <row r="84" spans="1:44" x14ac:dyDescent="0.3">
      <c r="A84" t="s">
        <v>33</v>
      </c>
      <c r="B84" t="s">
        <v>366</v>
      </c>
      <c r="C84" t="s">
        <v>432</v>
      </c>
      <c r="D84">
        <v>2140</v>
      </c>
      <c r="E84">
        <v>23210187</v>
      </c>
      <c r="F84" t="s">
        <v>368</v>
      </c>
      <c r="G84" t="s">
        <v>369</v>
      </c>
      <c r="H84">
        <v>100000</v>
      </c>
      <c r="I84">
        <v>9.1</v>
      </c>
      <c r="J84">
        <v>910000</v>
      </c>
      <c r="K84" t="str">
        <f>IFERROR(IF(B84&lt;&gt;"", TEXT(VLOOKUP(B84, 'Expected Date'!A:B, 2, FALSE) + DATE(RIGHT(C84,2),MID(C84,4,2),LEFT(C84,2)), "dd/mm/yy"), ""), "")</f>
        <v>24/05/23</v>
      </c>
      <c r="L84" t="s">
        <v>68</v>
      </c>
      <c r="M84" t="s">
        <v>48</v>
      </c>
      <c r="N84" t="s">
        <v>370</v>
      </c>
      <c r="O84" t="s">
        <v>138</v>
      </c>
      <c r="P84">
        <v>23290399</v>
      </c>
      <c r="Q84" t="s">
        <v>368</v>
      </c>
      <c r="R84" t="s">
        <v>369</v>
      </c>
      <c r="S84">
        <v>29490</v>
      </c>
      <c r="T84">
        <v>9.1</v>
      </c>
      <c r="U84">
        <v>268359</v>
      </c>
      <c r="V84" t="str">
        <f t="shared" si="35"/>
        <v>Accepted</v>
      </c>
      <c r="W84">
        <f>IFERROR(VLOOKUP(N84, Payment_Terms!A:B, 2, FALSE), "Payment term not found!")</f>
        <v>15</v>
      </c>
      <c r="X84" t="str">
        <f>IFERROR(VLOOKUP(R84, Item_Category!A:B, 2, FALSE), "Uncategorized")</f>
        <v>Coal materials</v>
      </c>
      <c r="Y84" s="5">
        <f t="shared" si="22"/>
        <v>2.7099999999999999E-2</v>
      </c>
      <c r="Z84">
        <f t="shared" si="23"/>
        <v>3</v>
      </c>
      <c r="AA84">
        <f t="shared" si="24"/>
        <v>4</v>
      </c>
      <c r="AB84">
        <f t="shared" si="25"/>
        <v>4</v>
      </c>
      <c r="AC84" s="10">
        <f t="shared" si="26"/>
        <v>6</v>
      </c>
      <c r="AD84" s="5">
        <f t="shared" si="18"/>
        <v>1</v>
      </c>
      <c r="AE84" s="5">
        <f t="shared" si="19"/>
        <v>1</v>
      </c>
      <c r="AF84" s="5">
        <f t="shared" si="27"/>
        <v>0</v>
      </c>
      <c r="AG84">
        <f>IF(B84&lt;&gt;"", COUNTIFS($B$2:B84, B84), "")</f>
        <v>22</v>
      </c>
      <c r="AH84">
        <f t="shared" si="28"/>
        <v>5</v>
      </c>
      <c r="AI84" t="str">
        <f>VLOOKUP(B84, Currency!A:B, 2, FALSE)</f>
        <v>INR</v>
      </c>
      <c r="AJ84">
        <f t="shared" si="20"/>
        <v>5</v>
      </c>
      <c r="AK84">
        <f t="shared" si="29"/>
        <v>5</v>
      </c>
      <c r="AL84" t="str">
        <f t="shared" si="30"/>
        <v>May</v>
      </c>
      <c r="AM84">
        <f t="shared" si="31"/>
        <v>2023</v>
      </c>
      <c r="AN84" t="str">
        <f t="shared" si="21"/>
        <v>15SKYWIN ENTERPRISE</v>
      </c>
      <c r="AO84">
        <f>IF(COUNTIF($AN$2:AN84, AN84)=1, 1, 0)</f>
        <v>0</v>
      </c>
      <c r="AP84" t="str">
        <f t="shared" si="32"/>
        <v>&gt;3</v>
      </c>
      <c r="AQ84" t="str">
        <f t="shared" si="33"/>
        <v>&lt;=3</v>
      </c>
      <c r="AR84" t="str">
        <f t="shared" si="34"/>
        <v>&gt;3</v>
      </c>
    </row>
    <row r="85" spans="1:44" x14ac:dyDescent="0.3">
      <c r="A85" t="s">
        <v>33</v>
      </c>
      <c r="B85" t="s">
        <v>122</v>
      </c>
      <c r="C85" t="s">
        <v>416</v>
      </c>
      <c r="D85">
        <v>2054</v>
      </c>
      <c r="E85">
        <v>23210173</v>
      </c>
      <c r="F85" t="s">
        <v>405</v>
      </c>
      <c r="G85" t="s">
        <v>406</v>
      </c>
      <c r="H85">
        <v>600</v>
      </c>
      <c r="I85">
        <v>930</v>
      </c>
      <c r="J85">
        <v>558000</v>
      </c>
      <c r="K85" t="str">
        <f>IFERROR(IF(B85&lt;&gt;"", TEXT(VLOOKUP(B85, 'Expected Date'!A:B, 2, FALSE) + DATE(RIGHT(C85,2),MID(C85,4,2),LEFT(C85,2)), "dd/mm/yy"), ""), "")</f>
        <v>04/06/23</v>
      </c>
      <c r="L85" t="s">
        <v>38</v>
      </c>
      <c r="M85" t="s">
        <v>39</v>
      </c>
      <c r="N85" t="s">
        <v>364</v>
      </c>
      <c r="O85" t="s">
        <v>72</v>
      </c>
      <c r="P85">
        <v>23290554</v>
      </c>
      <c r="Q85" t="s">
        <v>405</v>
      </c>
      <c r="R85" t="s">
        <v>406</v>
      </c>
      <c r="S85">
        <v>50</v>
      </c>
      <c r="T85">
        <v>930</v>
      </c>
      <c r="U85">
        <v>46500</v>
      </c>
      <c r="V85" t="str">
        <f t="shared" si="35"/>
        <v>Accepted</v>
      </c>
      <c r="W85">
        <f>IFERROR(VLOOKUP(N85, Payment_Terms!A:B, 2, FALSE), "Payment term not found!")</f>
        <v>30</v>
      </c>
      <c r="X85" t="str">
        <f>IFERROR(VLOOKUP(R85, Item_Category!A:B, 2, FALSE), "Uncategorized")</f>
        <v>Pallets</v>
      </c>
      <c r="Y85" s="5">
        <f t="shared" si="22"/>
        <v>0</v>
      </c>
      <c r="Z85">
        <f t="shared" si="23"/>
        <v>5</v>
      </c>
      <c r="AA85">
        <f t="shared" si="24"/>
        <v>19</v>
      </c>
      <c r="AB85">
        <f t="shared" si="25"/>
        <v>1</v>
      </c>
      <c r="AC85" s="10">
        <f t="shared" si="26"/>
        <v>34</v>
      </c>
      <c r="AD85" s="5">
        <f t="shared" si="18"/>
        <v>1</v>
      </c>
      <c r="AE85" s="5">
        <f t="shared" si="19"/>
        <v>1</v>
      </c>
      <c r="AF85" s="5">
        <f t="shared" si="27"/>
        <v>0</v>
      </c>
      <c r="AG85">
        <f>IF(B85&lt;&gt;"", COUNTIFS($B$2:B85, B85), "")</f>
        <v>10</v>
      </c>
      <c r="AH85">
        <f t="shared" si="28"/>
        <v>5</v>
      </c>
      <c r="AI85" t="str">
        <f>VLOOKUP(B85, Currency!A:B, 2, FALSE)</f>
        <v>INR</v>
      </c>
      <c r="AJ85">
        <f t="shared" si="20"/>
        <v>4</v>
      </c>
      <c r="AK85">
        <f t="shared" si="29"/>
        <v>5</v>
      </c>
      <c r="AL85" t="str">
        <f t="shared" si="30"/>
        <v>May</v>
      </c>
      <c r="AM85">
        <f t="shared" si="31"/>
        <v>2023</v>
      </c>
      <c r="AN85" t="str">
        <f t="shared" si="21"/>
        <v>30Plastocon Industries Pvt Ltd</v>
      </c>
      <c r="AO85">
        <f>IF(COUNTIF($AN$2:AN85, AN85)=1, 1, 0)</f>
        <v>0</v>
      </c>
      <c r="AP85" t="str">
        <f t="shared" si="32"/>
        <v>&gt;3</v>
      </c>
      <c r="AQ85" t="str">
        <f t="shared" si="33"/>
        <v>&gt;3</v>
      </c>
      <c r="AR85" t="str">
        <f t="shared" si="34"/>
        <v>&lt;=3</v>
      </c>
    </row>
    <row r="86" spans="1:44" x14ac:dyDescent="0.3">
      <c r="A86" t="s">
        <v>33</v>
      </c>
      <c r="B86" t="s">
        <v>122</v>
      </c>
      <c r="C86" t="s">
        <v>354</v>
      </c>
      <c r="D86">
        <v>2806</v>
      </c>
      <c r="E86">
        <v>23210359</v>
      </c>
      <c r="F86" t="s">
        <v>405</v>
      </c>
      <c r="G86" t="s">
        <v>406</v>
      </c>
      <c r="H86">
        <v>600</v>
      </c>
      <c r="I86">
        <v>930</v>
      </c>
      <c r="J86">
        <v>558000</v>
      </c>
      <c r="K86" t="str">
        <f>IFERROR(IF(B86&lt;&gt;"", TEXT(VLOOKUP(B86, 'Expected Date'!A:B, 2, FALSE) + DATE(RIGHT(C86,2),MID(C86,4,2),LEFT(C86,2)), "dd/mm/yy"), ""), "")</f>
        <v>18/07/23</v>
      </c>
      <c r="L86" t="s">
        <v>38</v>
      </c>
      <c r="M86" t="s">
        <v>39</v>
      </c>
      <c r="N86" t="s">
        <v>364</v>
      </c>
      <c r="O86" t="s">
        <v>91</v>
      </c>
      <c r="P86">
        <v>23290696</v>
      </c>
      <c r="Q86" t="s">
        <v>405</v>
      </c>
      <c r="R86" t="s">
        <v>406</v>
      </c>
      <c r="S86">
        <v>80</v>
      </c>
      <c r="T86">
        <v>930</v>
      </c>
      <c r="U86">
        <v>74400</v>
      </c>
      <c r="V86" t="str">
        <f t="shared" si="35"/>
        <v>Accepted</v>
      </c>
      <c r="W86">
        <f>IFERROR(VLOOKUP(N86, Payment_Terms!A:B, 2, FALSE), "Payment term not found!")</f>
        <v>30</v>
      </c>
      <c r="X86" t="str">
        <f>IFERROR(VLOOKUP(R86, Item_Category!A:B, 2, FALSE), "Uncategorized")</f>
        <v>Pallets</v>
      </c>
      <c r="Y86" s="5">
        <f t="shared" si="22"/>
        <v>0</v>
      </c>
      <c r="Z86">
        <f t="shared" si="23"/>
        <v>5</v>
      </c>
      <c r="AA86">
        <f t="shared" si="24"/>
        <v>-9</v>
      </c>
      <c r="AB86">
        <f t="shared" si="25"/>
        <v>5</v>
      </c>
      <c r="AC86" s="10">
        <f t="shared" si="26"/>
        <v>6</v>
      </c>
      <c r="AD86" s="5">
        <f t="shared" si="18"/>
        <v>1</v>
      </c>
      <c r="AE86" s="5">
        <f t="shared" si="19"/>
        <v>1</v>
      </c>
      <c r="AF86" s="5">
        <f t="shared" si="27"/>
        <v>0</v>
      </c>
      <c r="AG86">
        <f>IF(B86&lt;&gt;"", COUNTIFS($B$2:B86, B86), "")</f>
        <v>11</v>
      </c>
      <c r="AH86">
        <f t="shared" si="28"/>
        <v>5</v>
      </c>
      <c r="AI86" t="str">
        <f>VLOOKUP(B86, Currency!A:B, 2, FALSE)</f>
        <v>INR</v>
      </c>
      <c r="AJ86">
        <f t="shared" si="20"/>
        <v>5</v>
      </c>
      <c r="AK86">
        <f t="shared" si="29"/>
        <v>7</v>
      </c>
      <c r="AL86" t="str">
        <f t="shared" si="30"/>
        <v>July</v>
      </c>
      <c r="AM86">
        <f t="shared" si="31"/>
        <v>2023</v>
      </c>
      <c r="AN86" t="str">
        <f t="shared" si="21"/>
        <v>30Plastocon Industries Pvt Ltd</v>
      </c>
      <c r="AO86">
        <f>IF(COUNTIF($AN$2:AN86, AN86)=1, 1, 0)</f>
        <v>0</v>
      </c>
      <c r="AP86" t="str">
        <f t="shared" si="32"/>
        <v>&gt;3</v>
      </c>
      <c r="AQ86" t="str">
        <f t="shared" si="33"/>
        <v>&gt;3</v>
      </c>
      <c r="AR86" t="str">
        <f t="shared" si="34"/>
        <v>&gt;3</v>
      </c>
    </row>
    <row r="87" spans="1:44" x14ac:dyDescent="0.3">
      <c r="A87" t="s">
        <v>33</v>
      </c>
      <c r="B87" t="s">
        <v>429</v>
      </c>
      <c r="C87" t="s">
        <v>198</v>
      </c>
      <c r="D87">
        <v>3458</v>
      </c>
      <c r="E87">
        <v>23210474</v>
      </c>
      <c r="F87" t="s">
        <v>430</v>
      </c>
      <c r="G87" t="s">
        <v>431</v>
      </c>
      <c r="H87">
        <v>10000</v>
      </c>
      <c r="I87">
        <v>8.1999999999999993</v>
      </c>
      <c r="J87">
        <v>82000</v>
      </c>
      <c r="K87" t="str">
        <f>IFERROR(IF(B87&lt;&gt;"", TEXT(VLOOKUP(B87, 'Expected Date'!A:B, 2, FALSE) + DATE(RIGHT(C87,2),MID(C87,4,2),LEFT(C87,2)), "dd/mm/yy"), ""), "")</f>
        <v>05/08/23</v>
      </c>
      <c r="L87" t="s">
        <v>38</v>
      </c>
      <c r="M87" t="s">
        <v>48</v>
      </c>
      <c r="N87" t="s">
        <v>299</v>
      </c>
      <c r="O87" t="s">
        <v>58</v>
      </c>
      <c r="P87">
        <v>23291000</v>
      </c>
      <c r="Q87" t="s">
        <v>430</v>
      </c>
      <c r="R87" t="s">
        <v>431</v>
      </c>
      <c r="S87">
        <v>2660</v>
      </c>
      <c r="T87">
        <v>8.1999999999999993</v>
      </c>
      <c r="U87">
        <v>21812</v>
      </c>
      <c r="V87" t="str">
        <f t="shared" si="35"/>
        <v>Accepted</v>
      </c>
      <c r="W87">
        <f>IFERROR(VLOOKUP(N87, Payment_Terms!A:B, 2, FALSE), "Payment term not found!")</f>
        <v>60</v>
      </c>
      <c r="X87" t="str">
        <f>IFERROR(VLOOKUP(R87, Item_Category!A:B, 2, FALSE), "Uncategorized")</f>
        <v>Lime</v>
      </c>
      <c r="Y87" s="5">
        <f t="shared" si="22"/>
        <v>0</v>
      </c>
      <c r="Z87">
        <f t="shared" si="23"/>
        <v>5</v>
      </c>
      <c r="AA87">
        <f t="shared" si="24"/>
        <v>-4</v>
      </c>
      <c r="AB87">
        <f t="shared" si="25"/>
        <v>5</v>
      </c>
      <c r="AC87" s="10">
        <f t="shared" si="26"/>
        <v>1</v>
      </c>
      <c r="AD87" s="5">
        <f t="shared" si="18"/>
        <v>1</v>
      </c>
      <c r="AE87" s="5">
        <f t="shared" si="19"/>
        <v>1</v>
      </c>
      <c r="AF87" s="5">
        <f t="shared" si="27"/>
        <v>0</v>
      </c>
      <c r="AG87">
        <f>IF(B87&lt;&gt;"", COUNTIFS($B$2:B87, B87), "")</f>
        <v>2</v>
      </c>
      <c r="AH87">
        <f t="shared" si="28"/>
        <v>5</v>
      </c>
      <c r="AI87" t="str">
        <f>VLOOKUP(B87, Currency!A:B, 2, FALSE)</f>
        <v>INR</v>
      </c>
      <c r="AJ87">
        <f t="shared" si="20"/>
        <v>5</v>
      </c>
      <c r="AK87">
        <f t="shared" si="29"/>
        <v>7</v>
      </c>
      <c r="AL87" t="str">
        <f t="shared" si="30"/>
        <v>July</v>
      </c>
      <c r="AM87">
        <f t="shared" si="31"/>
        <v>2023</v>
      </c>
      <c r="AN87" t="str">
        <f t="shared" si="21"/>
        <v>60HELIK ENTERPRISE</v>
      </c>
      <c r="AO87">
        <f>IF(COUNTIF($AN$2:AN87, AN87)=1, 1, 0)</f>
        <v>0</v>
      </c>
      <c r="AP87" t="str">
        <f t="shared" si="32"/>
        <v>&gt;3</v>
      </c>
      <c r="AQ87" t="str">
        <f t="shared" si="33"/>
        <v>&gt;3</v>
      </c>
      <c r="AR87" t="str">
        <f t="shared" si="34"/>
        <v>&gt;3</v>
      </c>
    </row>
    <row r="88" spans="1:44" x14ac:dyDescent="0.3">
      <c r="A88" t="s">
        <v>33</v>
      </c>
      <c r="B88" t="s">
        <v>395</v>
      </c>
      <c r="C88" t="s">
        <v>58</v>
      </c>
      <c r="D88">
        <v>3539</v>
      </c>
      <c r="E88">
        <v>23210491</v>
      </c>
      <c r="F88" t="s">
        <v>368</v>
      </c>
      <c r="G88" t="s">
        <v>369</v>
      </c>
      <c r="H88">
        <v>100000</v>
      </c>
      <c r="I88">
        <v>7.7</v>
      </c>
      <c r="J88">
        <v>770000</v>
      </c>
      <c r="K88" t="str">
        <f>IFERROR(IF(B88&lt;&gt;"", TEXT(VLOOKUP(B88, 'Expected Date'!A:B, 2, FALSE) + DATE(RIGHT(C88,2),MID(C88,4,2),LEFT(C88,2)), "dd/mm/yy"), ""), "")</f>
        <v>06/08/23</v>
      </c>
      <c r="L88" t="s">
        <v>68</v>
      </c>
      <c r="M88" t="s">
        <v>48</v>
      </c>
      <c r="N88" t="s">
        <v>318</v>
      </c>
      <c r="O88" t="s">
        <v>56</v>
      </c>
      <c r="P88">
        <v>23291023</v>
      </c>
      <c r="Q88" t="s">
        <v>368</v>
      </c>
      <c r="R88" t="s">
        <v>369</v>
      </c>
      <c r="S88">
        <v>28480</v>
      </c>
      <c r="T88">
        <v>7.7</v>
      </c>
      <c r="U88">
        <v>219296</v>
      </c>
      <c r="V88" t="str">
        <f t="shared" si="35"/>
        <v>Accepted</v>
      </c>
      <c r="W88">
        <f>IFERROR(VLOOKUP(N88, Payment_Terms!A:B, 2, FALSE), "Payment term not found!")</f>
        <v>30</v>
      </c>
      <c r="X88" t="str">
        <f>IFERROR(VLOOKUP(R88, Item_Category!A:B, 2, FALSE), "Uncategorized")</f>
        <v>Coal materials</v>
      </c>
      <c r="Y88" s="5">
        <f t="shared" si="22"/>
        <v>0.38919999999999999</v>
      </c>
      <c r="Z88">
        <f t="shared" si="23"/>
        <v>1</v>
      </c>
      <c r="AA88">
        <f t="shared" si="24"/>
        <v>-2</v>
      </c>
      <c r="AB88">
        <f t="shared" si="25"/>
        <v>5</v>
      </c>
      <c r="AC88" s="10">
        <f t="shared" si="26"/>
        <v>3</v>
      </c>
      <c r="AD88" s="5">
        <f t="shared" si="18"/>
        <v>1</v>
      </c>
      <c r="AE88" s="5">
        <f t="shared" si="19"/>
        <v>1</v>
      </c>
      <c r="AF88" s="5">
        <f t="shared" si="27"/>
        <v>0</v>
      </c>
      <c r="AG88">
        <f>IF(B88&lt;&gt;"", COUNTIFS($B$2:B88, B88), "")</f>
        <v>9</v>
      </c>
      <c r="AH88">
        <f t="shared" si="28"/>
        <v>5</v>
      </c>
      <c r="AI88" t="str">
        <f>VLOOKUP(B88, Currency!A:B, 2, FALSE)</f>
        <v>INR</v>
      </c>
      <c r="AJ88">
        <f t="shared" si="20"/>
        <v>4</v>
      </c>
      <c r="AK88">
        <f t="shared" si="29"/>
        <v>8</v>
      </c>
      <c r="AL88" t="str">
        <f t="shared" si="30"/>
        <v>August</v>
      </c>
      <c r="AM88">
        <f t="shared" si="31"/>
        <v>2023</v>
      </c>
      <c r="AN88" t="str">
        <f t="shared" si="21"/>
        <v>30Crystal coal corporation</v>
      </c>
      <c r="AO88">
        <f>IF(COUNTIF($AN$2:AN88, AN88)=1, 1, 0)</f>
        <v>0</v>
      </c>
      <c r="AP88" t="str">
        <f t="shared" si="32"/>
        <v>&gt;3</v>
      </c>
      <c r="AQ88" t="str">
        <f t="shared" si="33"/>
        <v>&lt;=3</v>
      </c>
      <c r="AR88" t="str">
        <f t="shared" si="34"/>
        <v>&gt;3</v>
      </c>
    </row>
    <row r="89" spans="1:44" x14ac:dyDescent="0.3">
      <c r="A89" t="s">
        <v>33</v>
      </c>
      <c r="B89" t="s">
        <v>395</v>
      </c>
      <c r="C89" t="s">
        <v>70</v>
      </c>
      <c r="D89">
        <v>1553</v>
      </c>
      <c r="E89">
        <v>23210089</v>
      </c>
      <c r="F89" t="s">
        <v>368</v>
      </c>
      <c r="G89" t="s">
        <v>369</v>
      </c>
      <c r="H89">
        <v>35000</v>
      </c>
      <c r="I89">
        <v>8.9</v>
      </c>
      <c r="J89">
        <v>311500</v>
      </c>
      <c r="K89" t="str">
        <f>IFERROR(IF(B89&lt;&gt;"", TEXT(VLOOKUP(B89, 'Expected Date'!A:B, 2, FALSE) + DATE(RIGHT(C89,2),MID(C89,4,2),LEFT(C89,2)), "dd/mm/yy"), ""), "")</f>
        <v>29/04/23</v>
      </c>
      <c r="L89" t="s">
        <v>38</v>
      </c>
      <c r="M89" t="s">
        <v>48</v>
      </c>
      <c r="N89" t="s">
        <v>370</v>
      </c>
      <c r="O89" t="s">
        <v>442</v>
      </c>
      <c r="P89">
        <v>23290150</v>
      </c>
      <c r="Q89" t="s">
        <v>368</v>
      </c>
      <c r="R89" t="s">
        <v>369</v>
      </c>
      <c r="S89">
        <v>35030</v>
      </c>
      <c r="T89">
        <v>8.9</v>
      </c>
      <c r="U89">
        <v>311767</v>
      </c>
      <c r="V89" t="str">
        <f t="shared" si="35"/>
        <v>Accepted</v>
      </c>
      <c r="W89">
        <f>IFERROR(VLOOKUP(N89, Payment_Terms!A:B, 2, FALSE), "Payment term not found!")</f>
        <v>15</v>
      </c>
      <c r="X89" t="str">
        <f>IFERROR(VLOOKUP(R89, Item_Category!A:B, 2, FALSE), "Uncategorized")</f>
        <v>Coal materials</v>
      </c>
      <c r="Y89" s="5">
        <f t="shared" si="22"/>
        <v>0</v>
      </c>
      <c r="Z89">
        <f t="shared" si="23"/>
        <v>5</v>
      </c>
      <c r="AA89">
        <f t="shared" si="24"/>
        <v>-4</v>
      </c>
      <c r="AB89">
        <f t="shared" si="25"/>
        <v>5</v>
      </c>
      <c r="AC89" s="10">
        <f t="shared" si="26"/>
        <v>1</v>
      </c>
      <c r="AD89" s="5">
        <f t="shared" si="18"/>
        <v>1</v>
      </c>
      <c r="AE89" s="5">
        <f t="shared" si="19"/>
        <v>1</v>
      </c>
      <c r="AF89" s="5">
        <f t="shared" si="27"/>
        <v>0</v>
      </c>
      <c r="AG89">
        <f>IF(B89&lt;&gt;"", COUNTIFS($B$2:B89, B89), "")</f>
        <v>10</v>
      </c>
      <c r="AH89">
        <f t="shared" si="28"/>
        <v>5</v>
      </c>
      <c r="AI89" t="str">
        <f>VLOOKUP(B89, Currency!A:B, 2, FALSE)</f>
        <v>INR</v>
      </c>
      <c r="AJ89">
        <f t="shared" si="20"/>
        <v>5</v>
      </c>
      <c r="AK89">
        <f t="shared" si="29"/>
        <v>4</v>
      </c>
      <c r="AL89" t="str">
        <f t="shared" si="30"/>
        <v>April</v>
      </c>
      <c r="AM89">
        <f t="shared" si="31"/>
        <v>2023</v>
      </c>
      <c r="AN89" t="str">
        <f t="shared" si="21"/>
        <v>15Crystal coal corporation</v>
      </c>
      <c r="AO89">
        <f>IF(COUNTIF($AN$2:AN89, AN89)=1, 1, 0)</f>
        <v>0</v>
      </c>
      <c r="AP89" t="str">
        <f t="shared" si="32"/>
        <v>&gt;3</v>
      </c>
      <c r="AQ89" t="str">
        <f t="shared" si="33"/>
        <v>&gt;3</v>
      </c>
      <c r="AR89" t="str">
        <f t="shared" si="34"/>
        <v>&gt;3</v>
      </c>
    </row>
    <row r="90" spans="1:44" x14ac:dyDescent="0.3">
      <c r="A90" t="s">
        <v>33</v>
      </c>
      <c r="B90" t="s">
        <v>456</v>
      </c>
      <c r="C90" t="s">
        <v>88</v>
      </c>
      <c r="D90">
        <v>3063</v>
      </c>
      <c r="E90">
        <v>23210412</v>
      </c>
      <c r="F90" t="s">
        <v>457</v>
      </c>
      <c r="G90" t="s">
        <v>458</v>
      </c>
      <c r="H90">
        <v>1</v>
      </c>
      <c r="I90">
        <v>2090</v>
      </c>
      <c r="J90">
        <v>2090</v>
      </c>
      <c r="K90" t="str">
        <f>IFERROR(IF(B90&lt;&gt;"", TEXT(VLOOKUP(B90, 'Expected Date'!A:B, 2, FALSE) + DATE(RIGHT(C90,2),MID(C90,4,2),LEFT(C90,2)), "dd/mm/yy"), ""), "")</f>
        <v>14/07/23</v>
      </c>
      <c r="L90" t="s">
        <v>38</v>
      </c>
      <c r="M90" t="s">
        <v>39</v>
      </c>
      <c r="N90" t="s">
        <v>459</v>
      </c>
      <c r="O90" t="s">
        <v>78</v>
      </c>
      <c r="P90">
        <v>23291216</v>
      </c>
      <c r="Q90" t="s">
        <v>457</v>
      </c>
      <c r="R90" t="s">
        <v>458</v>
      </c>
      <c r="S90">
        <v>1</v>
      </c>
      <c r="T90">
        <v>2090</v>
      </c>
      <c r="U90">
        <v>2090</v>
      </c>
      <c r="V90" t="str">
        <f t="shared" si="35"/>
        <v>Accepted</v>
      </c>
      <c r="W90">
        <f>IFERROR(VLOOKUP(N90, Payment_Terms!A:B, 2, FALSE), "Payment term not found!")</f>
        <v>0</v>
      </c>
      <c r="X90" t="str">
        <f>IFERROR(VLOOKUP(R90, Item_Category!A:B, 2, FALSE), "Uncategorized")</f>
        <v>Mesh vibro sifter</v>
      </c>
      <c r="Y90" s="5">
        <f t="shared" si="22"/>
        <v>0</v>
      </c>
      <c r="Z90">
        <f t="shared" si="23"/>
        <v>5</v>
      </c>
      <c r="AA90">
        <f t="shared" si="24"/>
        <v>41</v>
      </c>
      <c r="AB90">
        <f t="shared" si="25"/>
        <v>1</v>
      </c>
      <c r="AC90" s="10">
        <f t="shared" si="26"/>
        <v>51</v>
      </c>
      <c r="AD90" s="5">
        <f t="shared" si="18"/>
        <v>1</v>
      </c>
      <c r="AE90" s="5">
        <f t="shared" si="19"/>
        <v>1</v>
      </c>
      <c r="AF90" s="5">
        <f t="shared" si="27"/>
        <v>0</v>
      </c>
      <c r="AG90">
        <f>IF(B90&lt;&gt;"", COUNTIFS($B$2:B90, B90), "")</f>
        <v>1</v>
      </c>
      <c r="AH90">
        <f t="shared" si="28"/>
        <v>5</v>
      </c>
      <c r="AI90" t="str">
        <f>VLOOKUP(B90, Currency!A:B, 2, FALSE)</f>
        <v>INR</v>
      </c>
      <c r="AJ90">
        <f t="shared" si="20"/>
        <v>4</v>
      </c>
      <c r="AK90">
        <f t="shared" si="29"/>
        <v>7</v>
      </c>
      <c r="AL90" t="str">
        <f t="shared" si="30"/>
        <v>July</v>
      </c>
      <c r="AM90">
        <f t="shared" si="31"/>
        <v>2023</v>
      </c>
      <c r="AN90" t="str">
        <f t="shared" si="21"/>
        <v>0GEM Pharma Machineries</v>
      </c>
      <c r="AO90">
        <f>IF(COUNTIF($AN$2:AN90, AN90)=1, 1, 0)</f>
        <v>1</v>
      </c>
      <c r="AP90" t="str">
        <f t="shared" si="32"/>
        <v>&gt;3</v>
      </c>
      <c r="AQ90" t="str">
        <f t="shared" si="33"/>
        <v>&gt;3</v>
      </c>
      <c r="AR90" t="str">
        <f t="shared" si="34"/>
        <v>&lt;=3</v>
      </c>
    </row>
    <row r="91" spans="1:44" x14ac:dyDescent="0.3">
      <c r="A91" t="s">
        <v>33</v>
      </c>
      <c r="B91" t="str">
        <f>B2</f>
        <v>Ami Enterprises</v>
      </c>
      <c r="C91" t="s">
        <v>78</v>
      </c>
      <c r="D91">
        <v>3974</v>
      </c>
      <c r="E91">
        <v>23210575</v>
      </c>
      <c r="F91" t="s">
        <v>460</v>
      </c>
      <c r="G91" t="s">
        <v>461</v>
      </c>
      <c r="H91">
        <v>15000</v>
      </c>
      <c r="I91">
        <v>33.5</v>
      </c>
      <c r="J91">
        <v>502500</v>
      </c>
      <c r="K91" t="str">
        <f>IFERROR(IF(B91&lt;&gt;"", TEXT(VLOOKUP(B91, 'Expected Date'!A:B, 2, FALSE) + DATE(RIGHT(C91,2),MID(C91,4,2),LEFT(C91,2)), "dd/mm/yy"), ""), "")</f>
        <v>03/09/23</v>
      </c>
      <c r="L91" t="s">
        <v>68</v>
      </c>
      <c r="M91" t="s">
        <v>39</v>
      </c>
      <c r="N91" t="s">
        <v>342</v>
      </c>
      <c r="O91" t="s">
        <v>105</v>
      </c>
      <c r="P91">
        <v>23291218</v>
      </c>
      <c r="Q91" t="s">
        <v>460</v>
      </c>
      <c r="R91" t="s">
        <v>461</v>
      </c>
      <c r="S91">
        <v>13000</v>
      </c>
      <c r="T91">
        <v>33.5</v>
      </c>
      <c r="U91">
        <v>435500</v>
      </c>
      <c r="V91" t="str">
        <f t="shared" si="35"/>
        <v>Accepted</v>
      </c>
      <c r="W91">
        <f>IFERROR(VLOOKUP(N91, Payment_Terms!A:B, 2, FALSE), "Payment term not found!")</f>
        <v>30</v>
      </c>
      <c r="X91" t="str">
        <f>IFERROR(VLOOKUP(R91, Item_Category!A:B, 2, FALSE), "Uncategorized")</f>
        <v>Bags</v>
      </c>
      <c r="Y91" s="5">
        <f t="shared" si="22"/>
        <v>0.13333333333333333</v>
      </c>
      <c r="Z91">
        <f t="shared" si="23"/>
        <v>1</v>
      </c>
      <c r="AA91">
        <f t="shared" si="24"/>
        <v>-9</v>
      </c>
      <c r="AB91">
        <f t="shared" si="25"/>
        <v>5</v>
      </c>
      <c r="AC91" s="10">
        <f t="shared" si="26"/>
        <v>1</v>
      </c>
      <c r="AD91" s="5">
        <f t="shared" si="18"/>
        <v>1</v>
      </c>
      <c r="AE91" s="5">
        <f t="shared" si="19"/>
        <v>1</v>
      </c>
      <c r="AF91" s="5">
        <f t="shared" si="27"/>
        <v>0</v>
      </c>
      <c r="AG91">
        <f>IF(B91&lt;&gt;"", COUNTIFS($B$2:B91, B91), "")</f>
        <v>4</v>
      </c>
      <c r="AH91">
        <f t="shared" si="28"/>
        <v>5</v>
      </c>
      <c r="AI91" t="str">
        <f>VLOOKUP(B91, Currency!A:B, 2, FALSE)</f>
        <v>INR</v>
      </c>
      <c r="AJ91">
        <f t="shared" si="20"/>
        <v>4</v>
      </c>
      <c r="AK91">
        <f t="shared" si="29"/>
        <v>8</v>
      </c>
      <c r="AL91" t="str">
        <f t="shared" si="30"/>
        <v>August</v>
      </c>
      <c r="AM91">
        <f t="shared" si="31"/>
        <v>2023</v>
      </c>
      <c r="AN91" t="str">
        <f t="shared" si="21"/>
        <v>30Ami Enterprises</v>
      </c>
      <c r="AO91">
        <f>IF(COUNTIF($AN$2:AN91, AN91)=1, 1, 0)</f>
        <v>0</v>
      </c>
      <c r="AP91" t="str">
        <f t="shared" si="32"/>
        <v>&gt;3</v>
      </c>
      <c r="AQ91" t="str">
        <f t="shared" si="33"/>
        <v>&lt;=3</v>
      </c>
      <c r="AR91" t="str">
        <f t="shared" si="34"/>
        <v>&gt;3</v>
      </c>
    </row>
    <row r="92" spans="1:44" x14ac:dyDescent="0.3">
      <c r="A92" t="s">
        <v>33</v>
      </c>
      <c r="B92" t="s">
        <v>366</v>
      </c>
      <c r="C92" t="s">
        <v>210</v>
      </c>
      <c r="D92">
        <v>1907</v>
      </c>
      <c r="E92">
        <v>23210167</v>
      </c>
      <c r="F92" t="s">
        <v>392</v>
      </c>
      <c r="G92" t="s">
        <v>393</v>
      </c>
      <c r="H92">
        <v>100</v>
      </c>
      <c r="I92">
        <v>11000</v>
      </c>
      <c r="J92">
        <v>1100000</v>
      </c>
      <c r="K92" t="str">
        <f>IFERROR(IF(B92&lt;&gt;"", TEXT(VLOOKUP(B92, 'Expected Date'!A:B, 2, FALSE) + DATE(RIGHT(C92,2),MID(C92,4,2),LEFT(C92,2)), "dd/mm/yy"), ""), "")</f>
        <v>15/05/23</v>
      </c>
      <c r="L92" t="s">
        <v>68</v>
      </c>
      <c r="M92" t="s">
        <v>48</v>
      </c>
      <c r="N92" t="s">
        <v>370</v>
      </c>
      <c r="O92" t="s">
        <v>415</v>
      </c>
      <c r="P92">
        <v>23290360</v>
      </c>
      <c r="Q92" t="s">
        <v>392</v>
      </c>
      <c r="R92" t="s">
        <v>393</v>
      </c>
      <c r="S92">
        <v>27.5</v>
      </c>
      <c r="T92">
        <v>11000</v>
      </c>
      <c r="U92">
        <v>302500</v>
      </c>
      <c r="V92" t="str">
        <f t="shared" si="35"/>
        <v>Accepted</v>
      </c>
      <c r="W92">
        <f>IFERROR(VLOOKUP(N92, Payment_Terms!A:B, 2, FALSE), "Payment term not found!")</f>
        <v>15</v>
      </c>
      <c r="X92" t="str">
        <f>IFERROR(VLOOKUP(R92, Item_Category!A:B, 2, FALSE), "Uncategorized")</f>
        <v>Coal materials</v>
      </c>
      <c r="Y92" s="5">
        <f t="shared" si="22"/>
        <v>0.1686</v>
      </c>
      <c r="Z92">
        <f t="shared" si="23"/>
        <v>1</v>
      </c>
      <c r="AA92">
        <f t="shared" si="24"/>
        <v>6</v>
      </c>
      <c r="AB92">
        <f t="shared" si="25"/>
        <v>3</v>
      </c>
      <c r="AC92" s="10">
        <f t="shared" si="26"/>
        <v>8</v>
      </c>
      <c r="AD92" s="5">
        <f t="shared" si="18"/>
        <v>1</v>
      </c>
      <c r="AE92" s="5">
        <f t="shared" si="19"/>
        <v>1</v>
      </c>
      <c r="AF92" s="5">
        <f t="shared" si="27"/>
        <v>0</v>
      </c>
      <c r="AG92">
        <f>IF(B92&lt;&gt;"", COUNTIFS($B$2:B92, B92), "")</f>
        <v>23</v>
      </c>
      <c r="AH92">
        <f t="shared" si="28"/>
        <v>5</v>
      </c>
      <c r="AI92" t="str">
        <f>VLOOKUP(B92, Currency!A:B, 2, FALSE)</f>
        <v>INR</v>
      </c>
      <c r="AJ92">
        <f t="shared" si="20"/>
        <v>4</v>
      </c>
      <c r="AK92">
        <f t="shared" si="29"/>
        <v>5</v>
      </c>
      <c r="AL92" t="str">
        <f t="shared" si="30"/>
        <v>May</v>
      </c>
      <c r="AM92">
        <f t="shared" si="31"/>
        <v>2023</v>
      </c>
      <c r="AN92" t="str">
        <f t="shared" si="21"/>
        <v>15SKYWIN ENTERPRISE</v>
      </c>
      <c r="AO92">
        <f>IF(COUNTIF($AN$2:AN92, AN92)=1, 1, 0)</f>
        <v>0</v>
      </c>
      <c r="AP92" t="str">
        <f t="shared" si="32"/>
        <v>&gt;3</v>
      </c>
      <c r="AQ92" t="str">
        <f t="shared" si="33"/>
        <v>&lt;=3</v>
      </c>
      <c r="AR92" t="str">
        <f t="shared" si="34"/>
        <v>&lt;=3</v>
      </c>
    </row>
    <row r="93" spans="1:44" x14ac:dyDescent="0.3">
      <c r="A93" t="s">
        <v>33</v>
      </c>
      <c r="B93" t="s">
        <v>456</v>
      </c>
      <c r="C93" t="s">
        <v>88</v>
      </c>
      <c r="D93">
        <v>3063</v>
      </c>
      <c r="E93">
        <v>23210412</v>
      </c>
      <c r="F93" t="s">
        <v>462</v>
      </c>
      <c r="G93" t="s">
        <v>463</v>
      </c>
      <c r="H93">
        <v>1</v>
      </c>
      <c r="I93">
        <v>2090</v>
      </c>
      <c r="J93">
        <v>2090</v>
      </c>
      <c r="K93" t="str">
        <f>IFERROR(IF(B93&lt;&gt;"", TEXT(VLOOKUP(B93, 'Expected Date'!A:B, 2, FALSE) + DATE(RIGHT(C93,2),MID(C93,4,2),LEFT(C93,2)), "dd/mm/yy"), ""), "")</f>
        <v>14/07/23</v>
      </c>
      <c r="L93" t="s">
        <v>38</v>
      </c>
      <c r="M93" t="s">
        <v>39</v>
      </c>
      <c r="N93" t="s">
        <v>459</v>
      </c>
      <c r="O93" t="s">
        <v>78</v>
      </c>
      <c r="P93">
        <v>23291216</v>
      </c>
      <c r="Q93" t="s">
        <v>462</v>
      </c>
      <c r="R93" t="s">
        <v>463</v>
      </c>
      <c r="S93">
        <v>1</v>
      </c>
      <c r="T93">
        <v>2090</v>
      </c>
      <c r="U93">
        <v>2090</v>
      </c>
      <c r="V93" t="str">
        <f t="shared" si="35"/>
        <v>Accepted</v>
      </c>
      <c r="W93">
        <f>IFERROR(VLOOKUP(N93, Payment_Terms!A:B, 2, FALSE), "Payment term not found!")</f>
        <v>0</v>
      </c>
      <c r="X93" t="str">
        <f>IFERROR(VLOOKUP(R93, Item_Category!A:B, 2, FALSE), "Uncategorized")</f>
        <v>Mesh vibro sifter</v>
      </c>
      <c r="Y93" s="5">
        <f t="shared" si="22"/>
        <v>0</v>
      </c>
      <c r="Z93">
        <f t="shared" si="23"/>
        <v>5</v>
      </c>
      <c r="AA93">
        <f t="shared" si="24"/>
        <v>41</v>
      </c>
      <c r="AB93">
        <f t="shared" si="25"/>
        <v>1</v>
      </c>
      <c r="AC93" s="10">
        <f t="shared" si="26"/>
        <v>51</v>
      </c>
      <c r="AD93" s="5">
        <f t="shared" si="18"/>
        <v>1</v>
      </c>
      <c r="AE93" s="5">
        <f t="shared" si="19"/>
        <v>1</v>
      </c>
      <c r="AF93" s="5">
        <f t="shared" si="27"/>
        <v>0</v>
      </c>
      <c r="AG93">
        <f>IF(B93&lt;&gt;"", COUNTIFS($B$2:B93, B93), "")</f>
        <v>2</v>
      </c>
      <c r="AH93">
        <f t="shared" si="28"/>
        <v>5</v>
      </c>
      <c r="AI93" t="str">
        <f>VLOOKUP(B93, Currency!A:B, 2, FALSE)</f>
        <v>INR</v>
      </c>
      <c r="AJ93">
        <f t="shared" si="20"/>
        <v>4</v>
      </c>
      <c r="AK93">
        <f t="shared" si="29"/>
        <v>7</v>
      </c>
      <c r="AL93" t="str">
        <f t="shared" si="30"/>
        <v>July</v>
      </c>
      <c r="AM93">
        <f t="shared" si="31"/>
        <v>2023</v>
      </c>
      <c r="AN93" t="str">
        <f t="shared" si="21"/>
        <v>0GEM Pharma Machineries</v>
      </c>
      <c r="AO93">
        <f>IF(COUNTIF($AN$2:AN93, AN93)=1, 1, 0)</f>
        <v>0</v>
      </c>
      <c r="AP93" t="str">
        <f t="shared" si="32"/>
        <v>&gt;3</v>
      </c>
      <c r="AQ93" t="str">
        <f t="shared" si="33"/>
        <v>&gt;3</v>
      </c>
      <c r="AR93" t="str">
        <f t="shared" si="34"/>
        <v>&lt;=3</v>
      </c>
    </row>
    <row r="94" spans="1:44" x14ac:dyDescent="0.3">
      <c r="A94" t="s">
        <v>33</v>
      </c>
      <c r="B94" t="s">
        <v>456</v>
      </c>
      <c r="C94" t="s">
        <v>88</v>
      </c>
      <c r="D94">
        <v>3063</v>
      </c>
      <c r="E94">
        <v>23210412</v>
      </c>
      <c r="F94" t="s">
        <v>464</v>
      </c>
      <c r="G94" t="s">
        <v>465</v>
      </c>
      <c r="H94">
        <v>1</v>
      </c>
      <c r="I94">
        <v>2090</v>
      </c>
      <c r="J94">
        <v>2090</v>
      </c>
      <c r="K94" t="str">
        <f>IFERROR(IF(B94&lt;&gt;"", TEXT(VLOOKUP(B94, 'Expected Date'!A:B, 2, FALSE) + DATE(RIGHT(C94,2),MID(C94,4,2),LEFT(C94,2)), "dd/mm/yy"), ""), "")</f>
        <v>14/07/23</v>
      </c>
      <c r="L94" t="s">
        <v>38</v>
      </c>
      <c r="M94" t="s">
        <v>39</v>
      </c>
      <c r="N94" t="s">
        <v>459</v>
      </c>
      <c r="O94" t="s">
        <v>78</v>
      </c>
      <c r="P94">
        <v>23291216</v>
      </c>
      <c r="Q94" t="s">
        <v>464</v>
      </c>
      <c r="R94" t="s">
        <v>465</v>
      </c>
      <c r="S94">
        <v>1</v>
      </c>
      <c r="T94">
        <v>2090</v>
      </c>
      <c r="U94">
        <v>2090</v>
      </c>
      <c r="V94" t="str">
        <f t="shared" si="35"/>
        <v>Accepted</v>
      </c>
      <c r="W94">
        <f>IFERROR(VLOOKUP(N94, Payment_Terms!A:B, 2, FALSE), "Payment term not found!")</f>
        <v>0</v>
      </c>
      <c r="X94" t="str">
        <f>IFERROR(VLOOKUP(R94, Item_Category!A:B, 2, FALSE), "Uncategorized")</f>
        <v>Mesh vibro sifter</v>
      </c>
      <c r="Y94" s="5">
        <f t="shared" si="22"/>
        <v>0</v>
      </c>
      <c r="Z94">
        <f t="shared" si="23"/>
        <v>5</v>
      </c>
      <c r="AA94">
        <f t="shared" si="24"/>
        <v>41</v>
      </c>
      <c r="AB94">
        <f t="shared" si="25"/>
        <v>1</v>
      </c>
      <c r="AC94" s="10">
        <f t="shared" si="26"/>
        <v>51</v>
      </c>
      <c r="AD94" s="5">
        <f t="shared" si="18"/>
        <v>1</v>
      </c>
      <c r="AE94" s="5">
        <f t="shared" si="19"/>
        <v>1</v>
      </c>
      <c r="AF94" s="5">
        <f t="shared" si="27"/>
        <v>0</v>
      </c>
      <c r="AG94">
        <f>IF(B94&lt;&gt;"", COUNTIFS($B$2:B94, B94), "")</f>
        <v>3</v>
      </c>
      <c r="AH94">
        <f t="shared" si="28"/>
        <v>5</v>
      </c>
      <c r="AI94" t="str">
        <f>VLOOKUP(B94, Currency!A:B, 2, FALSE)</f>
        <v>INR</v>
      </c>
      <c r="AJ94">
        <f t="shared" si="20"/>
        <v>4</v>
      </c>
      <c r="AK94">
        <f t="shared" si="29"/>
        <v>7</v>
      </c>
      <c r="AL94" t="str">
        <f t="shared" si="30"/>
        <v>July</v>
      </c>
      <c r="AM94">
        <f t="shared" si="31"/>
        <v>2023</v>
      </c>
      <c r="AN94" t="str">
        <f t="shared" si="21"/>
        <v>0GEM Pharma Machineries</v>
      </c>
      <c r="AO94">
        <f>IF(COUNTIF($AN$2:AN94, AN94)=1, 1, 0)</f>
        <v>0</v>
      </c>
      <c r="AP94" t="str">
        <f t="shared" si="32"/>
        <v>&gt;3</v>
      </c>
      <c r="AQ94" t="str">
        <f t="shared" si="33"/>
        <v>&gt;3</v>
      </c>
      <c r="AR94" t="str">
        <f t="shared" si="34"/>
        <v>&lt;=3</v>
      </c>
    </row>
    <row r="95" spans="1:44" x14ac:dyDescent="0.3">
      <c r="A95" t="s">
        <v>33</v>
      </c>
      <c r="B95" t="s">
        <v>429</v>
      </c>
      <c r="C95" t="s">
        <v>198</v>
      </c>
      <c r="D95">
        <v>3458</v>
      </c>
      <c r="E95">
        <v>23210474</v>
      </c>
      <c r="F95" t="s">
        <v>430</v>
      </c>
      <c r="G95" t="s">
        <v>431</v>
      </c>
      <c r="H95">
        <v>10000</v>
      </c>
      <c r="I95">
        <v>8.1999999999999993</v>
      </c>
      <c r="J95">
        <v>82000</v>
      </c>
      <c r="K95" t="str">
        <f>IFERROR(IF(B95&lt;&gt;"", TEXT(VLOOKUP(B95, 'Expected Date'!A:B, 2, FALSE) + DATE(RIGHT(C95,2),MID(C95,4,2),LEFT(C95,2)), "dd/mm/yy"), ""), "")</f>
        <v>05/08/23</v>
      </c>
      <c r="L95" t="s">
        <v>38</v>
      </c>
      <c r="M95" t="s">
        <v>48</v>
      </c>
      <c r="N95" t="s">
        <v>299</v>
      </c>
      <c r="O95" t="s">
        <v>78</v>
      </c>
      <c r="P95">
        <v>23291215</v>
      </c>
      <c r="Q95" t="s">
        <v>430</v>
      </c>
      <c r="R95" t="s">
        <v>431</v>
      </c>
      <c r="S95">
        <v>2455</v>
      </c>
      <c r="T95">
        <v>8.1999999999999993</v>
      </c>
      <c r="U95">
        <v>20131</v>
      </c>
      <c r="V95" t="str">
        <f t="shared" si="35"/>
        <v>Accepted</v>
      </c>
      <c r="W95">
        <f>IFERROR(VLOOKUP(N95, Payment_Terms!A:B, 2, FALSE), "Payment term not found!")</f>
        <v>60</v>
      </c>
      <c r="X95" t="str">
        <f>IFERROR(VLOOKUP(R95, Item_Category!A:B, 2, FALSE), "Uncategorized")</f>
        <v>Lime</v>
      </c>
      <c r="Y95" s="5">
        <f t="shared" si="22"/>
        <v>0</v>
      </c>
      <c r="Z95">
        <f t="shared" si="23"/>
        <v>5</v>
      </c>
      <c r="AA95">
        <f t="shared" si="24"/>
        <v>19</v>
      </c>
      <c r="AB95">
        <f t="shared" si="25"/>
        <v>1</v>
      </c>
      <c r="AC95" s="10">
        <f t="shared" si="26"/>
        <v>24</v>
      </c>
      <c r="AD95" s="5">
        <f t="shared" si="18"/>
        <v>1</v>
      </c>
      <c r="AE95" s="5">
        <f t="shared" si="19"/>
        <v>1</v>
      </c>
      <c r="AF95" s="5">
        <f t="shared" si="27"/>
        <v>0</v>
      </c>
      <c r="AG95">
        <f>IF(B95&lt;&gt;"", COUNTIFS($B$2:B95, B95), "")</f>
        <v>3</v>
      </c>
      <c r="AH95">
        <f t="shared" si="28"/>
        <v>5</v>
      </c>
      <c r="AI95" t="str">
        <f>VLOOKUP(B95, Currency!A:B, 2, FALSE)</f>
        <v>INR</v>
      </c>
      <c r="AJ95">
        <f t="shared" si="20"/>
        <v>4</v>
      </c>
      <c r="AK95">
        <f t="shared" si="29"/>
        <v>7</v>
      </c>
      <c r="AL95" t="str">
        <f t="shared" si="30"/>
        <v>July</v>
      </c>
      <c r="AM95">
        <f t="shared" si="31"/>
        <v>2023</v>
      </c>
      <c r="AN95" t="str">
        <f t="shared" si="21"/>
        <v>60HELIK ENTERPRISE</v>
      </c>
      <c r="AO95">
        <f>IF(COUNTIF($AN$2:AN95, AN95)=1, 1, 0)</f>
        <v>0</v>
      </c>
      <c r="AP95" t="str">
        <f t="shared" si="32"/>
        <v>&gt;3</v>
      </c>
      <c r="AQ95" t="str">
        <f t="shared" si="33"/>
        <v>&gt;3</v>
      </c>
      <c r="AR95" t="str">
        <f t="shared" si="34"/>
        <v>&lt;=3</v>
      </c>
    </row>
    <row r="96" spans="1:44" x14ac:dyDescent="0.3">
      <c r="A96" t="s">
        <v>33</v>
      </c>
      <c r="B96" t="s">
        <v>456</v>
      </c>
      <c r="C96" t="s">
        <v>88</v>
      </c>
      <c r="D96">
        <v>3063</v>
      </c>
      <c r="E96">
        <v>23210412</v>
      </c>
      <c r="F96" t="s">
        <v>466</v>
      </c>
      <c r="G96" t="s">
        <v>467</v>
      </c>
      <c r="H96">
        <v>1</v>
      </c>
      <c r="I96">
        <v>2090</v>
      </c>
      <c r="J96">
        <v>2090</v>
      </c>
      <c r="K96" t="str">
        <f>IFERROR(IF(B96&lt;&gt;"", TEXT(VLOOKUP(B96, 'Expected Date'!A:B, 2, FALSE) + DATE(RIGHT(C96,2),MID(C96,4,2),LEFT(C96,2)), "dd/mm/yy"), ""), "")</f>
        <v>14/07/23</v>
      </c>
      <c r="L96" t="s">
        <v>38</v>
      </c>
      <c r="M96" t="s">
        <v>39</v>
      </c>
      <c r="N96" t="s">
        <v>459</v>
      </c>
      <c r="O96" t="s">
        <v>78</v>
      </c>
      <c r="P96">
        <v>23291216</v>
      </c>
      <c r="Q96" t="s">
        <v>466</v>
      </c>
      <c r="R96" t="s">
        <v>467</v>
      </c>
      <c r="S96">
        <v>1</v>
      </c>
      <c r="T96">
        <v>2090</v>
      </c>
      <c r="U96">
        <v>2090</v>
      </c>
      <c r="V96" t="str">
        <f t="shared" si="35"/>
        <v>Accepted</v>
      </c>
      <c r="W96">
        <f>IFERROR(VLOOKUP(N96, Payment_Terms!A:B, 2, FALSE), "Payment term not found!")</f>
        <v>0</v>
      </c>
      <c r="X96" t="str">
        <f>IFERROR(VLOOKUP(R96, Item_Category!A:B, 2, FALSE), "Uncategorized")</f>
        <v>Mesh vibro sifter</v>
      </c>
      <c r="Y96" s="5">
        <f t="shared" si="22"/>
        <v>0</v>
      </c>
      <c r="Z96">
        <f t="shared" si="23"/>
        <v>5</v>
      </c>
      <c r="AA96">
        <f t="shared" si="24"/>
        <v>41</v>
      </c>
      <c r="AB96">
        <f t="shared" si="25"/>
        <v>1</v>
      </c>
      <c r="AC96" s="10">
        <f t="shared" si="26"/>
        <v>51</v>
      </c>
      <c r="AD96" s="5">
        <f t="shared" si="18"/>
        <v>1</v>
      </c>
      <c r="AE96" s="5">
        <f t="shared" si="19"/>
        <v>1</v>
      </c>
      <c r="AF96" s="5">
        <f t="shared" si="27"/>
        <v>0</v>
      </c>
      <c r="AG96">
        <f>IF(B96&lt;&gt;"", COUNTIFS($B$2:B96, B96), "")</f>
        <v>4</v>
      </c>
      <c r="AH96">
        <f t="shared" si="28"/>
        <v>5</v>
      </c>
      <c r="AI96" t="str">
        <f>VLOOKUP(B96, Currency!A:B, 2, FALSE)</f>
        <v>INR</v>
      </c>
      <c r="AJ96">
        <f t="shared" si="20"/>
        <v>4</v>
      </c>
      <c r="AK96">
        <f t="shared" si="29"/>
        <v>7</v>
      </c>
      <c r="AL96" t="str">
        <f t="shared" si="30"/>
        <v>July</v>
      </c>
      <c r="AM96">
        <f t="shared" si="31"/>
        <v>2023</v>
      </c>
      <c r="AN96" t="str">
        <f t="shared" si="21"/>
        <v>0GEM Pharma Machineries</v>
      </c>
      <c r="AO96">
        <f>IF(COUNTIF($AN$2:AN96, AN96)=1, 1, 0)</f>
        <v>0</v>
      </c>
      <c r="AP96" t="str">
        <f t="shared" si="32"/>
        <v>&gt;3</v>
      </c>
      <c r="AQ96" t="str">
        <f t="shared" si="33"/>
        <v>&gt;3</v>
      </c>
      <c r="AR96" t="str">
        <f t="shared" si="34"/>
        <v>&lt;=3</v>
      </c>
    </row>
    <row r="97" spans="1:44" x14ac:dyDescent="0.3">
      <c r="A97" t="s">
        <v>33</v>
      </c>
      <c r="B97" t="s">
        <v>436</v>
      </c>
      <c r="C97" t="s">
        <v>468</v>
      </c>
      <c r="D97">
        <v>2519</v>
      </c>
      <c r="E97">
        <v>23210304</v>
      </c>
      <c r="F97" t="s">
        <v>430</v>
      </c>
      <c r="G97" t="s">
        <v>431</v>
      </c>
      <c r="H97">
        <v>10000</v>
      </c>
      <c r="I97">
        <v>9.5</v>
      </c>
      <c r="J97">
        <v>95000</v>
      </c>
      <c r="K97" t="str">
        <f>IFERROR(IF(B97&lt;&gt;"", TEXT(VLOOKUP(B97, 'Expected Date'!A:B, 2, FALSE) + DATE(RIGHT(C97,2),MID(C97,4,2),LEFT(C97,2)), "dd/mm/yy"), ""), "")</f>
        <v>28/06/23</v>
      </c>
      <c r="L97" t="s">
        <v>68</v>
      </c>
      <c r="M97" t="s">
        <v>48</v>
      </c>
      <c r="N97" t="s">
        <v>318</v>
      </c>
      <c r="O97" t="s">
        <v>324</v>
      </c>
      <c r="P97">
        <v>23290540</v>
      </c>
      <c r="Q97" t="s">
        <v>430</v>
      </c>
      <c r="R97" t="s">
        <v>431</v>
      </c>
      <c r="S97">
        <v>2500</v>
      </c>
      <c r="T97">
        <v>9.5</v>
      </c>
      <c r="U97">
        <v>23750</v>
      </c>
      <c r="V97" t="str">
        <f t="shared" si="35"/>
        <v>Accepted</v>
      </c>
      <c r="W97">
        <f>IFERROR(VLOOKUP(N97, Payment_Terms!A:B, 2, FALSE), "Payment term not found!")</f>
        <v>30</v>
      </c>
      <c r="X97" t="str">
        <f>IFERROR(VLOOKUP(R97, Item_Category!A:B, 2, FALSE), "Uncategorized")</f>
        <v>Lime</v>
      </c>
      <c r="Y97" s="5">
        <f t="shared" si="22"/>
        <v>0.75</v>
      </c>
      <c r="Z97">
        <f t="shared" si="23"/>
        <v>1</v>
      </c>
      <c r="AA97">
        <f t="shared" si="24"/>
        <v>-8</v>
      </c>
      <c r="AB97">
        <f t="shared" si="25"/>
        <v>5</v>
      </c>
      <c r="AC97" s="10">
        <f t="shared" si="26"/>
        <v>2</v>
      </c>
      <c r="AD97" s="5">
        <f t="shared" si="18"/>
        <v>1</v>
      </c>
      <c r="AE97" s="5">
        <f t="shared" si="19"/>
        <v>1</v>
      </c>
      <c r="AF97" s="5">
        <f t="shared" si="27"/>
        <v>0</v>
      </c>
      <c r="AG97">
        <f>IF(B97&lt;&gt;"", COUNTIFS($B$2:B97, B97), "")</f>
        <v>4</v>
      </c>
      <c r="AH97">
        <f t="shared" si="28"/>
        <v>5</v>
      </c>
      <c r="AI97" t="str">
        <f>VLOOKUP(B97, Currency!A:B, 2, FALSE)</f>
        <v>INR</v>
      </c>
      <c r="AJ97">
        <f t="shared" si="20"/>
        <v>4</v>
      </c>
      <c r="AK97">
        <f t="shared" si="29"/>
        <v>6</v>
      </c>
      <c r="AL97" t="str">
        <f t="shared" si="30"/>
        <v>June</v>
      </c>
      <c r="AM97">
        <f t="shared" si="31"/>
        <v>2023</v>
      </c>
      <c r="AN97" t="str">
        <f t="shared" si="21"/>
        <v>30Shree Gopal Celluchem Pvt Ltd</v>
      </c>
      <c r="AO97">
        <f>IF(COUNTIF($AN$2:AN97, AN97)=1, 1, 0)</f>
        <v>0</v>
      </c>
      <c r="AP97" t="str">
        <f t="shared" si="32"/>
        <v>&gt;3</v>
      </c>
      <c r="AQ97" t="str">
        <f t="shared" si="33"/>
        <v>&lt;=3</v>
      </c>
      <c r="AR97" t="str">
        <f t="shared" si="34"/>
        <v>&gt;3</v>
      </c>
    </row>
    <row r="98" spans="1:44" x14ac:dyDescent="0.3">
      <c r="A98" t="s">
        <v>33</v>
      </c>
      <c r="B98" t="s">
        <v>157</v>
      </c>
      <c r="C98" t="s">
        <v>162</v>
      </c>
      <c r="D98">
        <v>2765</v>
      </c>
      <c r="E98">
        <v>23210346</v>
      </c>
      <c r="F98" t="s">
        <v>433</v>
      </c>
      <c r="G98" t="s">
        <v>434</v>
      </c>
      <c r="H98">
        <v>600</v>
      </c>
      <c r="I98">
        <v>270</v>
      </c>
      <c r="J98">
        <v>162000</v>
      </c>
      <c r="K98" t="str">
        <f>IFERROR(IF(B98&lt;&gt;"", TEXT(VLOOKUP(B98, 'Expected Date'!A:B, 2, FALSE) + DATE(RIGHT(C98,2),MID(C98,4,2),LEFT(C98,2)), "dd/mm/yy"), ""), "")</f>
        <v>09/07/23</v>
      </c>
      <c r="L98" t="s">
        <v>38</v>
      </c>
      <c r="M98" t="s">
        <v>48</v>
      </c>
      <c r="N98" t="s">
        <v>435</v>
      </c>
      <c r="O98" t="s">
        <v>391</v>
      </c>
      <c r="P98">
        <v>23290793</v>
      </c>
      <c r="Q98" t="s">
        <v>433</v>
      </c>
      <c r="R98" t="s">
        <v>434</v>
      </c>
      <c r="S98">
        <v>600</v>
      </c>
      <c r="T98">
        <v>270</v>
      </c>
      <c r="U98">
        <v>162000</v>
      </c>
      <c r="V98" t="str">
        <f t="shared" si="35"/>
        <v>Accepted</v>
      </c>
      <c r="W98">
        <f>IFERROR(VLOOKUP(N98, Payment_Terms!A:B, 2, FALSE), "Payment term not found!")</f>
        <v>0</v>
      </c>
      <c r="X98" t="str">
        <f>IFERROR(VLOOKUP(R98, Item_Category!A:B, 2, FALSE), "Uncategorized")</f>
        <v>Sodium salts</v>
      </c>
      <c r="Y98" s="5">
        <f t="shared" si="22"/>
        <v>0</v>
      </c>
      <c r="Z98">
        <f t="shared" si="23"/>
        <v>5</v>
      </c>
      <c r="AA98">
        <f t="shared" si="24"/>
        <v>5</v>
      </c>
      <c r="AB98">
        <f t="shared" si="25"/>
        <v>3</v>
      </c>
      <c r="AC98" s="10">
        <f t="shared" si="26"/>
        <v>15</v>
      </c>
      <c r="AD98" s="5">
        <f t="shared" si="18"/>
        <v>1</v>
      </c>
      <c r="AE98" s="5">
        <f t="shared" si="19"/>
        <v>1</v>
      </c>
      <c r="AF98" s="5">
        <f t="shared" si="27"/>
        <v>0</v>
      </c>
      <c r="AG98">
        <f>IF(B98&lt;&gt;"", COUNTIFS($B$2:B98, B98), "")</f>
        <v>2</v>
      </c>
      <c r="AH98">
        <f t="shared" si="28"/>
        <v>5</v>
      </c>
      <c r="AI98" t="str">
        <f>VLOOKUP(B98, Currency!A:B, 2, FALSE)</f>
        <v>INR</v>
      </c>
      <c r="AJ98">
        <f t="shared" si="20"/>
        <v>5</v>
      </c>
      <c r="AK98">
        <f t="shared" si="29"/>
        <v>6</v>
      </c>
      <c r="AL98" t="str">
        <f t="shared" si="30"/>
        <v>June</v>
      </c>
      <c r="AM98">
        <f t="shared" si="31"/>
        <v>2023</v>
      </c>
      <c r="AN98" t="str">
        <f t="shared" si="21"/>
        <v>0ZED CHEM PVT LTD</v>
      </c>
      <c r="AO98">
        <f>IF(COUNTIF($AN$2:AN98, AN98)=1, 1, 0)</f>
        <v>0</v>
      </c>
      <c r="AP98" t="str">
        <f t="shared" si="32"/>
        <v>&gt;3</v>
      </c>
      <c r="AQ98" t="str">
        <f t="shared" si="33"/>
        <v>&gt;3</v>
      </c>
      <c r="AR98" t="str">
        <f t="shared" si="34"/>
        <v>&lt;=3</v>
      </c>
    </row>
    <row r="99" spans="1:44" x14ac:dyDescent="0.3">
      <c r="A99" t="s">
        <v>33</v>
      </c>
      <c r="B99" t="s">
        <v>409</v>
      </c>
      <c r="C99" t="s">
        <v>89</v>
      </c>
      <c r="D99">
        <v>2850</v>
      </c>
      <c r="E99">
        <v>23210368</v>
      </c>
      <c r="F99" t="s">
        <v>437</v>
      </c>
      <c r="G99" t="s">
        <v>438</v>
      </c>
      <c r="H99">
        <v>20000</v>
      </c>
      <c r="I99">
        <v>9.25</v>
      </c>
      <c r="J99">
        <v>185000</v>
      </c>
      <c r="K99" t="str">
        <f>IFERROR(IF(B99&lt;&gt;"", TEXT(VLOOKUP(B99, 'Expected Date'!A:B, 2, FALSE) + DATE(RIGHT(C99,2),MID(C99,4,2),LEFT(C99,2)), "dd/mm/yy"), ""), "")</f>
        <v>15/07/23</v>
      </c>
      <c r="L99" t="s">
        <v>38</v>
      </c>
      <c r="M99" t="s">
        <v>48</v>
      </c>
      <c r="N99" t="s">
        <v>364</v>
      </c>
      <c r="O99" t="s">
        <v>469</v>
      </c>
      <c r="P99">
        <v>23290797</v>
      </c>
      <c r="Q99" t="s">
        <v>437</v>
      </c>
      <c r="R99" t="s">
        <v>438</v>
      </c>
      <c r="S99">
        <v>15000</v>
      </c>
      <c r="T99">
        <v>9.25</v>
      </c>
      <c r="U99">
        <v>138750</v>
      </c>
      <c r="V99" t="str">
        <f t="shared" si="35"/>
        <v>Accepted</v>
      </c>
      <c r="W99">
        <f>IFERROR(VLOOKUP(N99, Payment_Terms!A:B, 2, FALSE), "Payment term not found!")</f>
        <v>30</v>
      </c>
      <c r="X99" t="str">
        <f>IFERROR(VLOOKUP(R99, Item_Category!A:B, 2, FALSE), "Uncategorized")</f>
        <v>Liner</v>
      </c>
      <c r="Y99" s="5">
        <f t="shared" si="22"/>
        <v>0</v>
      </c>
      <c r="Z99">
        <f t="shared" si="23"/>
        <v>5</v>
      </c>
      <c r="AA99">
        <f t="shared" si="24"/>
        <v>-2</v>
      </c>
      <c r="AB99">
        <f t="shared" si="25"/>
        <v>5</v>
      </c>
      <c r="AC99" s="10">
        <f t="shared" si="26"/>
        <v>8</v>
      </c>
      <c r="AD99" s="5">
        <f t="shared" si="18"/>
        <v>1</v>
      </c>
      <c r="AE99" s="5">
        <f t="shared" si="19"/>
        <v>1</v>
      </c>
      <c r="AF99" s="5">
        <f t="shared" si="27"/>
        <v>0</v>
      </c>
      <c r="AG99">
        <f>IF(B99&lt;&gt;"", COUNTIFS($B$2:B99, B99), "")</f>
        <v>3</v>
      </c>
      <c r="AH99">
        <f t="shared" si="28"/>
        <v>5</v>
      </c>
      <c r="AI99" t="str">
        <f>VLOOKUP(B99, Currency!A:B, 2, FALSE)</f>
        <v>INR</v>
      </c>
      <c r="AJ99">
        <f t="shared" si="20"/>
        <v>5</v>
      </c>
      <c r="AK99">
        <f t="shared" si="29"/>
        <v>7</v>
      </c>
      <c r="AL99" t="str">
        <f t="shared" si="30"/>
        <v>July</v>
      </c>
      <c r="AM99">
        <f t="shared" si="31"/>
        <v>2023</v>
      </c>
      <c r="AN99" t="str">
        <f t="shared" si="21"/>
        <v>30Patkar Extrusions Pvt Ltd</v>
      </c>
      <c r="AO99">
        <f>IF(COUNTIF($AN$2:AN99, AN99)=1, 1, 0)</f>
        <v>0</v>
      </c>
      <c r="AP99" t="str">
        <f t="shared" si="32"/>
        <v>&gt;3</v>
      </c>
      <c r="AQ99" t="str">
        <f t="shared" si="33"/>
        <v>&gt;3</v>
      </c>
      <c r="AR99" t="str">
        <f t="shared" si="34"/>
        <v>&gt;3</v>
      </c>
    </row>
    <row r="100" spans="1:44" x14ac:dyDescent="0.3">
      <c r="A100" t="s">
        <v>33</v>
      </c>
      <c r="B100" t="s">
        <v>347</v>
      </c>
      <c r="C100" t="s">
        <v>455</v>
      </c>
      <c r="D100">
        <v>2968</v>
      </c>
      <c r="E100">
        <v>23210393</v>
      </c>
      <c r="F100" t="s">
        <v>349</v>
      </c>
      <c r="G100" t="s">
        <v>350</v>
      </c>
      <c r="H100">
        <v>24</v>
      </c>
      <c r="I100">
        <v>44150</v>
      </c>
      <c r="J100">
        <v>1059600</v>
      </c>
      <c r="K100" t="str">
        <f>IFERROR(IF(B100&lt;&gt;"", TEXT(VLOOKUP(B100, 'Expected Date'!A:B, 2, FALSE) + DATE(RIGHT(C100,2),MID(C100,4,2),LEFT(C100,2)), "dd/mm/yy"), ""), "")</f>
        <v>11/07/23</v>
      </c>
      <c r="L100" t="s">
        <v>68</v>
      </c>
      <c r="M100" t="s">
        <v>48</v>
      </c>
      <c r="N100" t="s">
        <v>351</v>
      </c>
      <c r="O100" t="s">
        <v>193</v>
      </c>
      <c r="P100">
        <v>23290810</v>
      </c>
      <c r="Q100" t="s">
        <v>349</v>
      </c>
      <c r="R100" t="s">
        <v>350</v>
      </c>
      <c r="S100">
        <v>23.18</v>
      </c>
      <c r="T100">
        <v>44150</v>
      </c>
      <c r="U100">
        <v>1023397</v>
      </c>
      <c r="V100" t="str">
        <f t="shared" si="35"/>
        <v>Accepted</v>
      </c>
      <c r="W100">
        <f>IFERROR(VLOOKUP(N100, Payment_Terms!A:B, 2, FALSE), "Payment term not found!")</f>
        <v>0</v>
      </c>
      <c r="X100" t="str">
        <f>IFERROR(VLOOKUP(R100, Item_Category!A:B, 2, FALSE), "Uncategorized")</f>
        <v>Oil</v>
      </c>
      <c r="Y100" s="5">
        <f t="shared" si="22"/>
        <v>3.4166666666666679E-2</v>
      </c>
      <c r="Z100">
        <f t="shared" si="23"/>
        <v>3</v>
      </c>
      <c r="AA100">
        <f t="shared" si="24"/>
        <v>6</v>
      </c>
      <c r="AB100">
        <f t="shared" si="25"/>
        <v>3</v>
      </c>
      <c r="AC100" s="10">
        <f t="shared" si="26"/>
        <v>7</v>
      </c>
      <c r="AD100" s="5">
        <f t="shared" si="18"/>
        <v>1</v>
      </c>
      <c r="AE100" s="5">
        <f t="shared" si="19"/>
        <v>1</v>
      </c>
      <c r="AF100" s="5">
        <f t="shared" si="27"/>
        <v>0</v>
      </c>
      <c r="AG100">
        <f>IF(B100&lt;&gt;"", COUNTIFS($B$2:B100, B100), "")</f>
        <v>4</v>
      </c>
      <c r="AH100">
        <f t="shared" si="28"/>
        <v>5</v>
      </c>
      <c r="AI100" t="str">
        <f>VLOOKUP(B100, Currency!A:B, 2, FALSE)</f>
        <v>INR</v>
      </c>
      <c r="AJ100">
        <f t="shared" si="20"/>
        <v>4</v>
      </c>
      <c r="AK100">
        <f t="shared" si="29"/>
        <v>7</v>
      </c>
      <c r="AL100" t="str">
        <f t="shared" si="30"/>
        <v>July</v>
      </c>
      <c r="AM100">
        <f t="shared" si="31"/>
        <v>2023</v>
      </c>
      <c r="AN100" t="str">
        <f t="shared" si="21"/>
        <v>0Bharat Petroleum Corporation Ltd</v>
      </c>
      <c r="AO100">
        <f>IF(COUNTIF($AN$2:AN100, AN100)=1, 1, 0)</f>
        <v>0</v>
      </c>
      <c r="AP100" t="str">
        <f t="shared" si="32"/>
        <v>&gt;3</v>
      </c>
      <c r="AQ100" t="str">
        <f t="shared" si="33"/>
        <v>&lt;=3</v>
      </c>
      <c r="AR100" t="str">
        <f t="shared" si="34"/>
        <v>&lt;=3</v>
      </c>
    </row>
    <row r="101" spans="1:44" x14ac:dyDescent="0.3">
      <c r="A101" t="s">
        <v>33</v>
      </c>
      <c r="B101" t="s">
        <v>429</v>
      </c>
      <c r="C101" t="s">
        <v>89</v>
      </c>
      <c r="D101">
        <v>2822</v>
      </c>
      <c r="E101">
        <v>23210366</v>
      </c>
      <c r="F101" t="s">
        <v>430</v>
      </c>
      <c r="G101" t="s">
        <v>431</v>
      </c>
      <c r="H101">
        <v>5000</v>
      </c>
      <c r="I101">
        <v>8.1999999999999993</v>
      </c>
      <c r="J101">
        <v>41000</v>
      </c>
      <c r="K101" t="str">
        <f>IFERROR(IF(B101&lt;&gt;"", TEXT(VLOOKUP(B101, 'Expected Date'!A:B, 2, FALSE) + DATE(RIGHT(C101,2),MID(C101,4,2),LEFT(C101,2)), "dd/mm/yy"), ""), "")</f>
        <v>10/07/23</v>
      </c>
      <c r="L101" t="s">
        <v>38</v>
      </c>
      <c r="M101" t="s">
        <v>48</v>
      </c>
      <c r="N101" t="s">
        <v>299</v>
      </c>
      <c r="O101" t="s">
        <v>116</v>
      </c>
      <c r="P101">
        <v>23290813</v>
      </c>
      <c r="Q101" t="s">
        <v>430</v>
      </c>
      <c r="R101" t="s">
        <v>431</v>
      </c>
      <c r="S101">
        <v>2500</v>
      </c>
      <c r="T101">
        <v>8.1999999999999993</v>
      </c>
      <c r="U101">
        <v>20500</v>
      </c>
      <c r="V101" t="str">
        <f t="shared" si="35"/>
        <v>Accepted</v>
      </c>
      <c r="W101">
        <f>IFERROR(VLOOKUP(N101, Payment_Terms!A:B, 2, FALSE), "Payment term not found!")</f>
        <v>60</v>
      </c>
      <c r="X101" t="str">
        <f>IFERROR(VLOOKUP(R101, Item_Category!A:B, 2, FALSE), "Uncategorized")</f>
        <v>Lime</v>
      </c>
      <c r="Y101" s="5">
        <f t="shared" si="22"/>
        <v>0</v>
      </c>
      <c r="Z101">
        <f t="shared" si="23"/>
        <v>5</v>
      </c>
      <c r="AA101">
        <f t="shared" si="24"/>
        <v>8</v>
      </c>
      <c r="AB101">
        <f t="shared" si="25"/>
        <v>2</v>
      </c>
      <c r="AC101" s="10">
        <f t="shared" si="26"/>
        <v>13</v>
      </c>
      <c r="AD101" s="5">
        <f t="shared" si="18"/>
        <v>1</v>
      </c>
      <c r="AE101" s="5">
        <f t="shared" si="19"/>
        <v>1</v>
      </c>
      <c r="AF101" s="5">
        <f t="shared" si="27"/>
        <v>0</v>
      </c>
      <c r="AG101">
        <f>IF(B101&lt;&gt;"", COUNTIFS($B$2:B101, B101), "")</f>
        <v>4</v>
      </c>
      <c r="AH101">
        <f t="shared" si="28"/>
        <v>5</v>
      </c>
      <c r="AI101" t="str">
        <f>VLOOKUP(B101, Currency!A:B, 2, FALSE)</f>
        <v>INR</v>
      </c>
      <c r="AJ101">
        <f t="shared" si="20"/>
        <v>5</v>
      </c>
      <c r="AK101">
        <f t="shared" si="29"/>
        <v>7</v>
      </c>
      <c r="AL101" t="str">
        <f t="shared" si="30"/>
        <v>July</v>
      </c>
      <c r="AM101">
        <f t="shared" si="31"/>
        <v>2023</v>
      </c>
      <c r="AN101" t="str">
        <f t="shared" si="21"/>
        <v>60HELIK ENTERPRISE</v>
      </c>
      <c r="AO101">
        <f>IF(COUNTIF($AN$2:AN101, AN101)=1, 1, 0)</f>
        <v>0</v>
      </c>
      <c r="AP101" t="str">
        <f t="shared" si="32"/>
        <v>&gt;3</v>
      </c>
      <c r="AQ101" t="str">
        <f t="shared" si="33"/>
        <v>&gt;3</v>
      </c>
      <c r="AR101" t="str">
        <f t="shared" si="34"/>
        <v>&lt;=3</v>
      </c>
    </row>
    <row r="102" spans="1:44" x14ac:dyDescent="0.3">
      <c r="A102" t="s">
        <v>33</v>
      </c>
      <c r="B102" t="s">
        <v>409</v>
      </c>
      <c r="C102" t="s">
        <v>89</v>
      </c>
      <c r="D102">
        <v>2850</v>
      </c>
      <c r="E102">
        <v>23210368</v>
      </c>
      <c r="F102" t="s">
        <v>437</v>
      </c>
      <c r="G102" t="s">
        <v>438</v>
      </c>
      <c r="H102">
        <v>20000</v>
      </c>
      <c r="I102">
        <v>9.25</v>
      </c>
      <c r="J102">
        <v>185000</v>
      </c>
      <c r="K102" t="str">
        <f>IFERROR(IF(B102&lt;&gt;"", TEXT(VLOOKUP(B102, 'Expected Date'!A:B, 2, FALSE) + DATE(RIGHT(C102,2),MID(C102,4,2),LEFT(C102,2)), "dd/mm/yy"), ""), "")</f>
        <v>15/07/23</v>
      </c>
      <c r="L102" t="s">
        <v>38</v>
      </c>
      <c r="M102" t="s">
        <v>48</v>
      </c>
      <c r="N102" t="s">
        <v>364</v>
      </c>
      <c r="O102" t="s">
        <v>57</v>
      </c>
      <c r="P102">
        <v>23291033</v>
      </c>
      <c r="Q102" t="s">
        <v>437</v>
      </c>
      <c r="R102" t="s">
        <v>438</v>
      </c>
      <c r="S102">
        <v>5000</v>
      </c>
      <c r="T102">
        <v>9.25</v>
      </c>
      <c r="U102">
        <v>46250</v>
      </c>
      <c r="V102" t="str">
        <f t="shared" si="35"/>
        <v>Accepted</v>
      </c>
      <c r="W102">
        <f>IFERROR(VLOOKUP(N102, Payment_Terms!A:B, 2, FALSE), "Payment term not found!")</f>
        <v>30</v>
      </c>
      <c r="X102" t="str">
        <f>IFERROR(VLOOKUP(R102, Item_Category!A:B, 2, FALSE), "Uncategorized")</f>
        <v>Liner</v>
      </c>
      <c r="Y102" s="5">
        <f t="shared" si="22"/>
        <v>0</v>
      </c>
      <c r="Z102">
        <f t="shared" si="23"/>
        <v>5</v>
      </c>
      <c r="AA102">
        <f t="shared" si="24"/>
        <v>19</v>
      </c>
      <c r="AB102">
        <f t="shared" si="25"/>
        <v>1</v>
      </c>
      <c r="AC102" s="10">
        <f t="shared" si="26"/>
        <v>29</v>
      </c>
      <c r="AD102" s="5">
        <f t="shared" si="18"/>
        <v>1</v>
      </c>
      <c r="AE102" s="5">
        <f t="shared" si="19"/>
        <v>1</v>
      </c>
      <c r="AF102" s="5">
        <f t="shared" si="27"/>
        <v>0</v>
      </c>
      <c r="AG102">
        <f>IF(B102&lt;&gt;"", COUNTIFS($B$2:B102, B102), "")</f>
        <v>4</v>
      </c>
      <c r="AH102">
        <f t="shared" si="28"/>
        <v>5</v>
      </c>
      <c r="AI102" t="str">
        <f>VLOOKUP(B102, Currency!A:B, 2, FALSE)</f>
        <v>INR</v>
      </c>
      <c r="AJ102">
        <f t="shared" si="20"/>
        <v>4</v>
      </c>
      <c r="AK102">
        <f t="shared" si="29"/>
        <v>7</v>
      </c>
      <c r="AL102" t="str">
        <f t="shared" si="30"/>
        <v>July</v>
      </c>
      <c r="AM102">
        <f t="shared" si="31"/>
        <v>2023</v>
      </c>
      <c r="AN102" t="str">
        <f t="shared" si="21"/>
        <v>30Patkar Extrusions Pvt Ltd</v>
      </c>
      <c r="AO102">
        <f>IF(COUNTIF($AN$2:AN102, AN102)=1, 1, 0)</f>
        <v>0</v>
      </c>
      <c r="AP102" t="str">
        <f t="shared" si="32"/>
        <v>&gt;3</v>
      </c>
      <c r="AQ102" t="str">
        <f t="shared" si="33"/>
        <v>&gt;3</v>
      </c>
      <c r="AR102" t="str">
        <f t="shared" si="34"/>
        <v>&lt;=3</v>
      </c>
    </row>
    <row r="103" spans="1:44" x14ac:dyDescent="0.3">
      <c r="A103" t="s">
        <v>33</v>
      </c>
      <c r="B103" t="s">
        <v>122</v>
      </c>
      <c r="C103" t="s">
        <v>354</v>
      </c>
      <c r="D103">
        <v>2806</v>
      </c>
      <c r="E103">
        <v>23210359</v>
      </c>
      <c r="F103" t="s">
        <v>405</v>
      </c>
      <c r="G103" t="s">
        <v>406</v>
      </c>
      <c r="H103">
        <v>600</v>
      </c>
      <c r="I103">
        <v>930</v>
      </c>
      <c r="J103">
        <v>558000</v>
      </c>
      <c r="K103" t="str">
        <f>IFERROR(IF(B103&lt;&gt;"", TEXT(VLOOKUP(B103, 'Expected Date'!A:B, 2, FALSE) + DATE(RIGHT(C103,2),MID(C103,4,2),LEFT(C103,2)), "dd/mm/yy"), ""), "")</f>
        <v>18/07/23</v>
      </c>
      <c r="L103" t="s">
        <v>38</v>
      </c>
      <c r="M103" t="s">
        <v>39</v>
      </c>
      <c r="N103" t="s">
        <v>364</v>
      </c>
      <c r="O103" t="s">
        <v>59</v>
      </c>
      <c r="P103">
        <v>23291022</v>
      </c>
      <c r="Q103" t="s">
        <v>405</v>
      </c>
      <c r="R103" t="s">
        <v>406</v>
      </c>
      <c r="S103">
        <v>100</v>
      </c>
      <c r="T103">
        <v>930</v>
      </c>
      <c r="U103">
        <v>93000</v>
      </c>
      <c r="V103" t="str">
        <f t="shared" si="35"/>
        <v>Accepted</v>
      </c>
      <c r="W103">
        <f>IFERROR(VLOOKUP(N103, Payment_Terms!A:B, 2, FALSE), "Payment term not found!")</f>
        <v>30</v>
      </c>
      <c r="X103" t="str">
        <f>IFERROR(VLOOKUP(R103, Item_Category!A:B, 2, FALSE), "Uncategorized")</f>
        <v>Pallets</v>
      </c>
      <c r="Y103" s="5">
        <f t="shared" si="22"/>
        <v>0</v>
      </c>
      <c r="Z103">
        <f t="shared" si="23"/>
        <v>5</v>
      </c>
      <c r="AA103">
        <f t="shared" si="24"/>
        <v>18</v>
      </c>
      <c r="AB103">
        <f t="shared" si="25"/>
        <v>1</v>
      </c>
      <c r="AC103" s="10">
        <f t="shared" si="26"/>
        <v>33</v>
      </c>
      <c r="AD103" s="5">
        <f t="shared" si="18"/>
        <v>1</v>
      </c>
      <c r="AE103" s="5">
        <f t="shared" si="19"/>
        <v>1</v>
      </c>
      <c r="AF103" s="5">
        <f t="shared" si="27"/>
        <v>0</v>
      </c>
      <c r="AG103">
        <f>IF(B103&lt;&gt;"", COUNTIFS($B$2:B103, B103), "")</f>
        <v>12</v>
      </c>
      <c r="AH103">
        <f t="shared" si="28"/>
        <v>5</v>
      </c>
      <c r="AI103" t="str">
        <f>VLOOKUP(B103, Currency!A:B, 2, FALSE)</f>
        <v>INR</v>
      </c>
      <c r="AJ103">
        <f t="shared" si="20"/>
        <v>4</v>
      </c>
      <c r="AK103">
        <f t="shared" si="29"/>
        <v>7</v>
      </c>
      <c r="AL103" t="str">
        <f t="shared" si="30"/>
        <v>July</v>
      </c>
      <c r="AM103">
        <f t="shared" si="31"/>
        <v>2023</v>
      </c>
      <c r="AN103" t="str">
        <f t="shared" si="21"/>
        <v>30Plastocon Industries Pvt Ltd</v>
      </c>
      <c r="AO103">
        <f>IF(COUNTIF($AN$2:AN103, AN103)=1, 1, 0)</f>
        <v>0</v>
      </c>
      <c r="AP103" t="str">
        <f t="shared" si="32"/>
        <v>&gt;3</v>
      </c>
      <c r="AQ103" t="str">
        <f t="shared" si="33"/>
        <v>&gt;3</v>
      </c>
      <c r="AR103" t="str">
        <f t="shared" si="34"/>
        <v>&lt;=3</v>
      </c>
    </row>
    <row r="104" spans="1:44" x14ac:dyDescent="0.3">
      <c r="A104" t="s">
        <v>33</v>
      </c>
      <c r="B104" t="s">
        <v>122</v>
      </c>
      <c r="C104" t="s">
        <v>354</v>
      </c>
      <c r="D104">
        <v>2806</v>
      </c>
      <c r="E104">
        <v>23210359</v>
      </c>
      <c r="F104" t="s">
        <v>405</v>
      </c>
      <c r="G104" t="s">
        <v>406</v>
      </c>
      <c r="H104">
        <v>600</v>
      </c>
      <c r="I104">
        <v>930</v>
      </c>
      <c r="J104">
        <v>558000</v>
      </c>
      <c r="K104" t="str">
        <f>IFERROR(IF(B104&lt;&gt;"", TEXT(VLOOKUP(B104, 'Expected Date'!A:B, 2, FALSE) + DATE(RIGHT(C104,2),MID(C104,4,2),LEFT(C104,2)), "dd/mm/yy"), ""), "")</f>
        <v>18/07/23</v>
      </c>
      <c r="L104" t="s">
        <v>38</v>
      </c>
      <c r="M104" t="s">
        <v>39</v>
      </c>
      <c r="N104" t="s">
        <v>364</v>
      </c>
      <c r="O104" t="s">
        <v>57</v>
      </c>
      <c r="P104">
        <v>23291024</v>
      </c>
      <c r="Q104" t="s">
        <v>405</v>
      </c>
      <c r="R104" t="s">
        <v>406</v>
      </c>
      <c r="S104">
        <v>180</v>
      </c>
      <c r="T104">
        <v>930</v>
      </c>
      <c r="U104">
        <v>167400</v>
      </c>
      <c r="V104" t="str">
        <f t="shared" si="35"/>
        <v>Accepted</v>
      </c>
      <c r="W104">
        <f>IFERROR(VLOOKUP(N104, Payment_Terms!A:B, 2, FALSE), "Payment term not found!")</f>
        <v>30</v>
      </c>
      <c r="X104" t="str">
        <f>IFERROR(VLOOKUP(R104, Item_Category!A:B, 2, FALSE), "Uncategorized")</f>
        <v>Pallets</v>
      </c>
      <c r="Y104" s="5">
        <f t="shared" si="22"/>
        <v>0</v>
      </c>
      <c r="Z104">
        <f t="shared" si="23"/>
        <v>5</v>
      </c>
      <c r="AA104">
        <f t="shared" si="24"/>
        <v>16</v>
      </c>
      <c r="AB104">
        <f t="shared" si="25"/>
        <v>1</v>
      </c>
      <c r="AC104" s="10">
        <f t="shared" si="26"/>
        <v>31</v>
      </c>
      <c r="AD104" s="5">
        <f t="shared" si="18"/>
        <v>1</v>
      </c>
      <c r="AE104" s="5">
        <f t="shared" si="19"/>
        <v>1</v>
      </c>
      <c r="AF104" s="5">
        <f t="shared" si="27"/>
        <v>0</v>
      </c>
      <c r="AG104">
        <f>IF(B104&lt;&gt;"", COUNTIFS($B$2:B104, B104), "")</f>
        <v>13</v>
      </c>
      <c r="AH104">
        <f t="shared" si="28"/>
        <v>5</v>
      </c>
      <c r="AI104" t="str">
        <f>VLOOKUP(B104, Currency!A:B, 2, FALSE)</f>
        <v>INR</v>
      </c>
      <c r="AJ104">
        <f t="shared" si="20"/>
        <v>4</v>
      </c>
      <c r="AK104">
        <f t="shared" si="29"/>
        <v>7</v>
      </c>
      <c r="AL104" t="str">
        <f t="shared" si="30"/>
        <v>July</v>
      </c>
      <c r="AM104">
        <f t="shared" si="31"/>
        <v>2023</v>
      </c>
      <c r="AN104" t="str">
        <f t="shared" si="21"/>
        <v>30Plastocon Industries Pvt Ltd</v>
      </c>
      <c r="AO104">
        <f>IF(COUNTIF($AN$2:AN104, AN104)=1, 1, 0)</f>
        <v>0</v>
      </c>
      <c r="AP104" t="str">
        <f t="shared" si="32"/>
        <v>&gt;3</v>
      </c>
      <c r="AQ104" t="str">
        <f t="shared" si="33"/>
        <v>&gt;3</v>
      </c>
      <c r="AR104" t="str">
        <f t="shared" si="34"/>
        <v>&lt;=3</v>
      </c>
    </row>
    <row r="105" spans="1:44" x14ac:dyDescent="0.3">
      <c r="A105" t="s">
        <v>33</v>
      </c>
      <c r="B105" t="str">
        <f>B2</f>
        <v>Ami Enterprises</v>
      </c>
      <c r="C105" t="s">
        <v>94</v>
      </c>
      <c r="D105">
        <v>3574</v>
      </c>
      <c r="E105">
        <v>23210501</v>
      </c>
      <c r="F105" t="s">
        <v>460</v>
      </c>
      <c r="G105" t="s">
        <v>461</v>
      </c>
      <c r="H105">
        <v>15000</v>
      </c>
      <c r="I105">
        <v>33.5</v>
      </c>
      <c r="J105">
        <v>502500</v>
      </c>
      <c r="K105" t="str">
        <f>IFERROR(IF(B105&lt;&gt;"", TEXT(VLOOKUP(B105, 'Expected Date'!A:B, 2, FALSE) + DATE(RIGHT(C105,2),MID(C105,4,2),LEFT(C105,2)), "dd/mm/yy"), ""), "")</f>
        <v>17/08/23</v>
      </c>
      <c r="L105" t="s">
        <v>68</v>
      </c>
      <c r="M105" t="s">
        <v>39</v>
      </c>
      <c r="N105" t="s">
        <v>342</v>
      </c>
      <c r="O105" t="s">
        <v>408</v>
      </c>
      <c r="P105">
        <v>23291049</v>
      </c>
      <c r="Q105" t="s">
        <v>460</v>
      </c>
      <c r="R105" t="s">
        <v>461</v>
      </c>
      <c r="S105">
        <v>12000</v>
      </c>
      <c r="T105">
        <v>33.5</v>
      </c>
      <c r="U105">
        <v>402000</v>
      </c>
      <c r="V105" t="str">
        <f t="shared" si="35"/>
        <v>Accepted</v>
      </c>
      <c r="W105">
        <f>IFERROR(VLOOKUP(N105, Payment_Terms!A:B, 2, FALSE), "Payment term not found!")</f>
        <v>30</v>
      </c>
      <c r="X105" t="str">
        <f>IFERROR(VLOOKUP(R105, Item_Category!A:B, 2, FALSE), "Uncategorized")</f>
        <v>Bags</v>
      </c>
      <c r="Y105" s="5">
        <f t="shared" si="22"/>
        <v>0.2</v>
      </c>
      <c r="Z105">
        <f t="shared" si="23"/>
        <v>1</v>
      </c>
      <c r="AA105">
        <f t="shared" si="24"/>
        <v>-9</v>
      </c>
      <c r="AB105">
        <f t="shared" si="25"/>
        <v>5</v>
      </c>
      <c r="AC105" s="10">
        <f t="shared" si="26"/>
        <v>1</v>
      </c>
      <c r="AD105" s="5">
        <f t="shared" si="18"/>
        <v>1</v>
      </c>
      <c r="AE105" s="5">
        <f t="shared" si="19"/>
        <v>1</v>
      </c>
      <c r="AF105" s="5">
        <f t="shared" si="27"/>
        <v>0</v>
      </c>
      <c r="AG105">
        <f>IF(B105&lt;&gt;"", COUNTIFS($B$2:B105, B105), "")</f>
        <v>5</v>
      </c>
      <c r="AH105">
        <f t="shared" si="28"/>
        <v>5</v>
      </c>
      <c r="AI105" t="str">
        <f>VLOOKUP(B105, Currency!A:B, 2, FALSE)</f>
        <v>INR</v>
      </c>
      <c r="AJ105">
        <f t="shared" si="20"/>
        <v>4</v>
      </c>
      <c r="AK105">
        <f t="shared" si="29"/>
        <v>8</v>
      </c>
      <c r="AL105" t="str">
        <f t="shared" si="30"/>
        <v>August</v>
      </c>
      <c r="AM105">
        <f t="shared" si="31"/>
        <v>2023</v>
      </c>
      <c r="AN105" t="str">
        <f t="shared" si="21"/>
        <v>30Ami Enterprises</v>
      </c>
      <c r="AO105">
        <f>IF(COUNTIF($AN$2:AN105, AN105)=1, 1, 0)</f>
        <v>0</v>
      </c>
      <c r="AP105" t="str">
        <f t="shared" si="32"/>
        <v>&gt;3</v>
      </c>
      <c r="AQ105" t="str">
        <f t="shared" si="33"/>
        <v>&lt;=3</v>
      </c>
      <c r="AR105" t="str">
        <f t="shared" si="34"/>
        <v>&gt;3</v>
      </c>
    </row>
    <row r="106" spans="1:44" x14ac:dyDescent="0.3">
      <c r="A106" t="s">
        <v>33</v>
      </c>
      <c r="B106" t="s">
        <v>382</v>
      </c>
      <c r="C106" t="s">
        <v>133</v>
      </c>
      <c r="D106">
        <v>2307</v>
      </c>
      <c r="E106">
        <v>23210248</v>
      </c>
      <c r="F106" t="s">
        <v>383</v>
      </c>
      <c r="G106" t="s">
        <v>384</v>
      </c>
      <c r="H106">
        <v>250</v>
      </c>
      <c r="I106">
        <v>96</v>
      </c>
      <c r="J106">
        <v>24000</v>
      </c>
      <c r="K106" t="str">
        <f>IFERROR(IF(B106&lt;&gt;"", TEXT(VLOOKUP(B106, 'Expected Date'!A:B, 2, FALSE) + DATE(RIGHT(C106,2),MID(C106,4,2),LEFT(C106,2)), "dd/mm/yy"), ""), "")</f>
        <v>16/06/23</v>
      </c>
      <c r="L106" t="s">
        <v>38</v>
      </c>
      <c r="M106" t="s">
        <v>48</v>
      </c>
      <c r="N106" t="s">
        <v>342</v>
      </c>
      <c r="O106" t="s">
        <v>134</v>
      </c>
      <c r="P106">
        <v>23290473</v>
      </c>
      <c r="Q106" t="s">
        <v>383</v>
      </c>
      <c r="R106" t="s">
        <v>384</v>
      </c>
      <c r="S106">
        <v>250</v>
      </c>
      <c r="T106">
        <v>96</v>
      </c>
      <c r="U106">
        <v>24000</v>
      </c>
      <c r="V106" t="str">
        <f t="shared" si="35"/>
        <v>Accepted</v>
      </c>
      <c r="W106">
        <f>IFERROR(VLOOKUP(N106, Payment_Terms!A:B, 2, FALSE), "Payment term not found!")</f>
        <v>30</v>
      </c>
      <c r="X106" t="str">
        <f>IFERROR(VLOOKUP(R106, Item_Category!A:B, 2, FALSE), "Uncategorized")</f>
        <v>Gas</v>
      </c>
      <c r="Y106" s="5">
        <f t="shared" si="22"/>
        <v>0</v>
      </c>
      <c r="Z106">
        <f t="shared" si="23"/>
        <v>5</v>
      </c>
      <c r="AA106">
        <f t="shared" si="24"/>
        <v>-8</v>
      </c>
      <c r="AB106">
        <f t="shared" si="25"/>
        <v>5</v>
      </c>
      <c r="AC106" s="10">
        <f t="shared" si="26"/>
        <v>2</v>
      </c>
      <c r="AD106" s="5">
        <f t="shared" si="18"/>
        <v>1</v>
      </c>
      <c r="AE106" s="5">
        <f t="shared" si="19"/>
        <v>1</v>
      </c>
      <c r="AF106" s="5">
        <f t="shared" si="27"/>
        <v>0</v>
      </c>
      <c r="AG106">
        <f>IF(B106&lt;&gt;"", COUNTIFS($B$2:B106, B106), "")</f>
        <v>4</v>
      </c>
      <c r="AH106">
        <f t="shared" si="28"/>
        <v>5</v>
      </c>
      <c r="AI106" t="str">
        <f>VLOOKUP(B106, Currency!A:B, 2, FALSE)</f>
        <v>INR</v>
      </c>
      <c r="AJ106">
        <f t="shared" si="20"/>
        <v>5</v>
      </c>
      <c r="AK106">
        <f t="shared" si="29"/>
        <v>6</v>
      </c>
      <c r="AL106" t="str">
        <f t="shared" si="30"/>
        <v>June</v>
      </c>
      <c r="AM106">
        <f t="shared" si="31"/>
        <v>2023</v>
      </c>
      <c r="AN106" t="str">
        <f t="shared" si="21"/>
        <v>30Aerochem Laboratories</v>
      </c>
      <c r="AO106">
        <f>IF(COUNTIF($AN$2:AN106, AN106)=1, 1, 0)</f>
        <v>0</v>
      </c>
      <c r="AP106" t="str">
        <f t="shared" si="32"/>
        <v>&gt;3</v>
      </c>
      <c r="AQ106" t="str">
        <f t="shared" si="33"/>
        <v>&gt;3</v>
      </c>
      <c r="AR106" t="str">
        <f t="shared" si="34"/>
        <v>&gt;3</v>
      </c>
    </row>
    <row r="107" spans="1:44" x14ac:dyDescent="0.3">
      <c r="A107" t="s">
        <v>111</v>
      </c>
      <c r="B107" t="s">
        <v>258</v>
      </c>
      <c r="C107" t="s">
        <v>398</v>
      </c>
      <c r="D107">
        <v>1631</v>
      </c>
      <c r="E107">
        <v>23220014</v>
      </c>
      <c r="F107" t="s">
        <v>379</v>
      </c>
      <c r="G107" t="s">
        <v>380</v>
      </c>
      <c r="H107">
        <v>2200</v>
      </c>
      <c r="I107">
        <v>105</v>
      </c>
      <c r="J107">
        <v>231000</v>
      </c>
      <c r="K107" t="str">
        <f>IFERROR(IF(B107&lt;&gt;"", TEXT(VLOOKUP(B107, 'Expected Date'!A:B, 2, FALSE) + DATE(RIGHT(C107,2),MID(C107,4,2),LEFT(C107,2)), "dd/mm/yy"), ""), "")</f>
        <v>11/05/23</v>
      </c>
      <c r="L107" t="s">
        <v>38</v>
      </c>
      <c r="M107" t="s">
        <v>48</v>
      </c>
      <c r="N107" t="s">
        <v>470</v>
      </c>
      <c r="O107" t="s">
        <v>146</v>
      </c>
      <c r="P107">
        <v>23290214</v>
      </c>
      <c r="Q107" t="s">
        <v>379</v>
      </c>
      <c r="R107" t="s">
        <v>380</v>
      </c>
      <c r="S107">
        <v>2200</v>
      </c>
      <c r="T107">
        <v>105</v>
      </c>
      <c r="U107">
        <v>231000</v>
      </c>
      <c r="V107" t="str">
        <f t="shared" si="35"/>
        <v>Accepted</v>
      </c>
      <c r="W107">
        <f>IFERROR(VLOOKUP(N107, Payment_Terms!A:B, 2, FALSE), "Payment term not found!")</f>
        <v>30</v>
      </c>
      <c r="X107" t="str">
        <f>IFERROR(VLOOKUP(R107, Item_Category!A:B, 2, FALSE), "Uncategorized")</f>
        <v>SSG - Maize</v>
      </c>
      <c r="Y107" s="5">
        <f t="shared" si="22"/>
        <v>0</v>
      </c>
      <c r="Z107">
        <f t="shared" si="23"/>
        <v>5</v>
      </c>
      <c r="AA107">
        <f t="shared" si="24"/>
        <v>-2</v>
      </c>
      <c r="AB107">
        <f t="shared" si="25"/>
        <v>5</v>
      </c>
      <c r="AC107" s="10">
        <f t="shared" si="26"/>
        <v>8</v>
      </c>
      <c r="AD107" s="5">
        <f t="shared" si="18"/>
        <v>1</v>
      </c>
      <c r="AE107" s="5">
        <f t="shared" si="19"/>
        <v>1</v>
      </c>
      <c r="AF107" s="5">
        <f t="shared" si="27"/>
        <v>0</v>
      </c>
      <c r="AG107">
        <f>IF(B107&lt;&gt;"", COUNTIFS($B$2:B107, B107), "")</f>
        <v>2</v>
      </c>
      <c r="AH107">
        <f t="shared" si="28"/>
        <v>5</v>
      </c>
      <c r="AI107" t="str">
        <f>VLOOKUP(B107, Currency!A:B, 2, FALSE)</f>
        <v>INR</v>
      </c>
      <c r="AJ107">
        <f t="shared" si="20"/>
        <v>5</v>
      </c>
      <c r="AK107">
        <f t="shared" si="29"/>
        <v>5</v>
      </c>
      <c r="AL107" t="str">
        <f t="shared" si="30"/>
        <v>May</v>
      </c>
      <c r="AM107">
        <f t="shared" si="31"/>
        <v>2023</v>
      </c>
      <c r="AN107" t="str">
        <f t="shared" si="21"/>
        <v>30BLUECRAFT AGRO PRIVATE LIMIMITED</v>
      </c>
      <c r="AO107">
        <f>IF(COUNTIF($AN$2:AN107, AN107)=1, 1, 0)</f>
        <v>0</v>
      </c>
      <c r="AP107" t="str">
        <f t="shared" si="32"/>
        <v>&gt;3</v>
      </c>
      <c r="AQ107" t="str">
        <f t="shared" si="33"/>
        <v>&gt;3</v>
      </c>
      <c r="AR107" t="str">
        <f t="shared" si="34"/>
        <v>&gt;3</v>
      </c>
    </row>
    <row r="108" spans="1:44" x14ac:dyDescent="0.3">
      <c r="A108" t="s">
        <v>33</v>
      </c>
      <c r="B108" t="str">
        <f>B2</f>
        <v>Ami Enterprises</v>
      </c>
      <c r="C108" t="s">
        <v>344</v>
      </c>
      <c r="D108">
        <v>1458</v>
      </c>
      <c r="E108">
        <v>23210064</v>
      </c>
      <c r="F108" t="s">
        <v>460</v>
      </c>
      <c r="G108" t="s">
        <v>461</v>
      </c>
      <c r="H108">
        <v>11100</v>
      </c>
      <c r="I108">
        <v>35</v>
      </c>
      <c r="J108">
        <v>388500</v>
      </c>
      <c r="K108" t="str">
        <f>IFERROR(IF(B108&lt;&gt;"", TEXT(VLOOKUP(B108, 'Expected Date'!A:B, 2, FALSE) + DATE(RIGHT(C108,2),MID(C108,4,2),LEFT(C108,2)), "dd/mm/yy"), ""), "")</f>
        <v>14/04/23</v>
      </c>
      <c r="L108" t="s">
        <v>68</v>
      </c>
      <c r="M108" t="s">
        <v>39</v>
      </c>
      <c r="N108" t="s">
        <v>318</v>
      </c>
      <c r="O108" t="s">
        <v>172</v>
      </c>
      <c r="P108">
        <v>23290081</v>
      </c>
      <c r="Q108" t="s">
        <v>460</v>
      </c>
      <c r="R108" t="s">
        <v>461</v>
      </c>
      <c r="S108">
        <v>11031</v>
      </c>
      <c r="T108">
        <v>35</v>
      </c>
      <c r="U108">
        <v>386085</v>
      </c>
      <c r="V108" t="str">
        <f t="shared" si="35"/>
        <v>Accepted</v>
      </c>
      <c r="W108">
        <f>IFERROR(VLOOKUP(N108, Payment_Terms!A:B, 2, FALSE), "Payment term not found!")</f>
        <v>30</v>
      </c>
      <c r="X108" t="str">
        <f>IFERROR(VLOOKUP(R108, Item_Category!A:B, 2, FALSE), "Uncategorized")</f>
        <v>Bags</v>
      </c>
      <c r="Y108" s="5">
        <f t="shared" si="22"/>
        <v>6.216216216216216E-3</v>
      </c>
      <c r="Z108">
        <f t="shared" si="23"/>
        <v>4</v>
      </c>
      <c r="AA108">
        <f t="shared" si="24"/>
        <v>-8</v>
      </c>
      <c r="AB108">
        <f t="shared" si="25"/>
        <v>5</v>
      </c>
      <c r="AC108" s="10">
        <f t="shared" si="26"/>
        <v>2</v>
      </c>
      <c r="AD108" s="5">
        <f t="shared" si="18"/>
        <v>1</v>
      </c>
      <c r="AE108" s="5">
        <f t="shared" si="19"/>
        <v>1</v>
      </c>
      <c r="AF108" s="5">
        <f t="shared" si="27"/>
        <v>0</v>
      </c>
      <c r="AG108">
        <f>IF(B108&lt;&gt;"", COUNTIFS($B$2:B108, B108), "")</f>
        <v>6</v>
      </c>
      <c r="AH108">
        <f t="shared" si="28"/>
        <v>5</v>
      </c>
      <c r="AI108" t="str">
        <f>VLOOKUP(B108, Currency!A:B, 2, FALSE)</f>
        <v>INR</v>
      </c>
      <c r="AJ108">
        <f t="shared" si="20"/>
        <v>5</v>
      </c>
      <c r="AK108">
        <f t="shared" si="29"/>
        <v>4</v>
      </c>
      <c r="AL108" t="str">
        <f t="shared" si="30"/>
        <v>April</v>
      </c>
      <c r="AM108">
        <f t="shared" si="31"/>
        <v>2023</v>
      </c>
      <c r="AN108" t="str">
        <f t="shared" si="21"/>
        <v>30Ami Enterprises</v>
      </c>
      <c r="AO108">
        <f>IF(COUNTIF($AN$2:AN108, AN108)=1, 1, 0)</f>
        <v>0</v>
      </c>
      <c r="AP108" t="str">
        <f t="shared" si="32"/>
        <v>&gt;3</v>
      </c>
      <c r="AQ108" t="str">
        <f t="shared" si="33"/>
        <v>&gt;3</v>
      </c>
      <c r="AR108" t="str">
        <f t="shared" si="34"/>
        <v>&gt;3</v>
      </c>
    </row>
    <row r="109" spans="1:44" x14ac:dyDescent="0.3">
      <c r="A109" t="s">
        <v>33</v>
      </c>
      <c r="B109" t="str">
        <f>B2</f>
        <v>Ami Enterprises</v>
      </c>
      <c r="C109" t="s">
        <v>344</v>
      </c>
      <c r="D109">
        <v>1458</v>
      </c>
      <c r="E109">
        <v>23210064</v>
      </c>
      <c r="F109" t="s">
        <v>471</v>
      </c>
      <c r="G109" t="s">
        <v>472</v>
      </c>
      <c r="H109">
        <v>1050</v>
      </c>
      <c r="I109">
        <v>35</v>
      </c>
      <c r="J109">
        <v>36750</v>
      </c>
      <c r="K109" t="str">
        <f>IFERROR(IF(B109&lt;&gt;"", TEXT(VLOOKUP(B109, 'Expected Date'!A:B, 2, FALSE) + DATE(RIGHT(C109,2),MID(C109,4,2),LEFT(C109,2)), "dd/mm/yy"), ""), "")</f>
        <v>14/04/23</v>
      </c>
      <c r="L109" t="s">
        <v>68</v>
      </c>
      <c r="M109" t="s">
        <v>39</v>
      </c>
      <c r="N109" t="s">
        <v>318</v>
      </c>
      <c r="O109" t="s">
        <v>172</v>
      </c>
      <c r="P109">
        <v>23290081</v>
      </c>
      <c r="Q109" t="s">
        <v>471</v>
      </c>
      <c r="R109" t="s">
        <v>472</v>
      </c>
      <c r="S109">
        <v>1044</v>
      </c>
      <c r="T109">
        <v>35</v>
      </c>
      <c r="U109">
        <v>36540</v>
      </c>
      <c r="V109" t="str">
        <f t="shared" si="35"/>
        <v>Accepted</v>
      </c>
      <c r="W109">
        <f>IFERROR(VLOOKUP(N109, Payment_Terms!A:B, 2, FALSE), "Payment term not found!")</f>
        <v>30</v>
      </c>
      <c r="X109" t="str">
        <f>IFERROR(VLOOKUP(R109, Item_Category!A:B, 2, FALSE), "Uncategorized")</f>
        <v>Bags</v>
      </c>
      <c r="Y109" s="5">
        <f t="shared" si="22"/>
        <v>5.7142857142857143E-3</v>
      </c>
      <c r="Z109">
        <f t="shared" si="23"/>
        <v>4</v>
      </c>
      <c r="AA109">
        <f t="shared" si="24"/>
        <v>-8</v>
      </c>
      <c r="AB109">
        <f t="shared" si="25"/>
        <v>5</v>
      </c>
      <c r="AC109" s="10">
        <f t="shared" si="26"/>
        <v>2</v>
      </c>
      <c r="AD109" s="5">
        <f t="shared" si="18"/>
        <v>1</v>
      </c>
      <c r="AE109" s="5">
        <f t="shared" si="19"/>
        <v>1</v>
      </c>
      <c r="AF109" s="5">
        <f t="shared" si="27"/>
        <v>0</v>
      </c>
      <c r="AG109">
        <f>IF(B109&lt;&gt;"", COUNTIFS($B$2:B109, B109), "")</f>
        <v>7</v>
      </c>
      <c r="AH109">
        <f t="shared" si="28"/>
        <v>5</v>
      </c>
      <c r="AI109" t="str">
        <f>VLOOKUP(B109, Currency!A:B, 2, FALSE)</f>
        <v>INR</v>
      </c>
      <c r="AJ109">
        <f t="shared" si="20"/>
        <v>5</v>
      </c>
      <c r="AK109">
        <f t="shared" si="29"/>
        <v>4</v>
      </c>
      <c r="AL109" t="str">
        <f t="shared" si="30"/>
        <v>April</v>
      </c>
      <c r="AM109">
        <f t="shared" si="31"/>
        <v>2023</v>
      </c>
      <c r="AN109" t="str">
        <f t="shared" si="21"/>
        <v>30Ami Enterprises</v>
      </c>
      <c r="AO109">
        <f>IF(COUNTIF($AN$2:AN109, AN109)=1, 1, 0)</f>
        <v>0</v>
      </c>
      <c r="AP109" t="str">
        <f t="shared" si="32"/>
        <v>&gt;3</v>
      </c>
      <c r="AQ109" t="str">
        <f t="shared" si="33"/>
        <v>&gt;3</v>
      </c>
      <c r="AR109" t="str">
        <f t="shared" si="34"/>
        <v>&gt;3</v>
      </c>
    </row>
    <row r="110" spans="1:44" x14ac:dyDescent="0.3">
      <c r="A110" t="s">
        <v>33</v>
      </c>
      <c r="B110" t="str">
        <f>B2</f>
        <v>Ami Enterprises</v>
      </c>
      <c r="C110" t="s">
        <v>344</v>
      </c>
      <c r="D110">
        <v>1458</v>
      </c>
      <c r="E110">
        <v>23210064</v>
      </c>
      <c r="F110" t="s">
        <v>473</v>
      </c>
      <c r="G110" t="s">
        <v>474</v>
      </c>
      <c r="H110">
        <v>1100</v>
      </c>
      <c r="I110">
        <v>34.5</v>
      </c>
      <c r="J110">
        <v>37950</v>
      </c>
      <c r="K110" t="str">
        <f>IFERROR(IF(B110&lt;&gt;"", TEXT(VLOOKUP(B110, 'Expected Date'!A:B, 2, FALSE) + DATE(RIGHT(C110,2),MID(C110,4,2),LEFT(C110,2)), "dd/mm/yy"), ""), "")</f>
        <v>14/04/23</v>
      </c>
      <c r="L110" t="s">
        <v>68</v>
      </c>
      <c r="M110" t="s">
        <v>39</v>
      </c>
      <c r="N110" t="s">
        <v>318</v>
      </c>
      <c r="O110" t="s">
        <v>172</v>
      </c>
      <c r="P110">
        <v>23290081</v>
      </c>
      <c r="Q110" t="s">
        <v>473</v>
      </c>
      <c r="R110" t="s">
        <v>474</v>
      </c>
      <c r="S110">
        <v>1080</v>
      </c>
      <c r="T110">
        <v>34.5</v>
      </c>
      <c r="U110">
        <v>37260</v>
      </c>
      <c r="V110" t="str">
        <f t="shared" si="35"/>
        <v>Accepted</v>
      </c>
      <c r="W110">
        <f>IFERROR(VLOOKUP(N110, Payment_Terms!A:B, 2, FALSE), "Payment term not found!")</f>
        <v>30</v>
      </c>
      <c r="X110" t="str">
        <f>IFERROR(VLOOKUP(R110, Item_Category!A:B, 2, FALSE), "Uncategorized")</f>
        <v>Bags</v>
      </c>
      <c r="Y110" s="5">
        <f t="shared" si="22"/>
        <v>1.8181818181818181E-2</v>
      </c>
      <c r="Z110">
        <f t="shared" si="23"/>
        <v>4</v>
      </c>
      <c r="AA110">
        <f t="shared" si="24"/>
        <v>-8</v>
      </c>
      <c r="AB110">
        <f t="shared" si="25"/>
        <v>5</v>
      </c>
      <c r="AC110" s="10">
        <f t="shared" si="26"/>
        <v>2</v>
      </c>
      <c r="AD110" s="5">
        <f t="shared" si="18"/>
        <v>1</v>
      </c>
      <c r="AE110" s="5">
        <f t="shared" si="19"/>
        <v>1</v>
      </c>
      <c r="AF110" s="5">
        <f t="shared" si="27"/>
        <v>0</v>
      </c>
      <c r="AG110">
        <f>IF(B110&lt;&gt;"", COUNTIFS($B$2:B110, B110), "")</f>
        <v>8</v>
      </c>
      <c r="AH110">
        <f t="shared" si="28"/>
        <v>5</v>
      </c>
      <c r="AI110" t="str">
        <f>VLOOKUP(B110, Currency!A:B, 2, FALSE)</f>
        <v>INR</v>
      </c>
      <c r="AJ110">
        <f t="shared" si="20"/>
        <v>5</v>
      </c>
      <c r="AK110">
        <f t="shared" si="29"/>
        <v>4</v>
      </c>
      <c r="AL110" t="str">
        <f t="shared" si="30"/>
        <v>April</v>
      </c>
      <c r="AM110">
        <f t="shared" si="31"/>
        <v>2023</v>
      </c>
      <c r="AN110" t="str">
        <f t="shared" si="21"/>
        <v>30Ami Enterprises</v>
      </c>
      <c r="AO110">
        <f>IF(COUNTIF($AN$2:AN110, AN110)=1, 1, 0)</f>
        <v>0</v>
      </c>
      <c r="AP110" t="str">
        <f t="shared" si="32"/>
        <v>&gt;3</v>
      </c>
      <c r="AQ110" t="str">
        <f t="shared" si="33"/>
        <v>&gt;3</v>
      </c>
      <c r="AR110" t="str">
        <f t="shared" si="34"/>
        <v>&gt;3</v>
      </c>
    </row>
    <row r="111" spans="1:44" x14ac:dyDescent="0.3">
      <c r="A111" t="s">
        <v>33</v>
      </c>
      <c r="B111" t="s">
        <v>366</v>
      </c>
      <c r="C111" t="s">
        <v>415</v>
      </c>
      <c r="D111">
        <v>2138</v>
      </c>
      <c r="E111">
        <v>23210185</v>
      </c>
      <c r="F111" t="s">
        <v>392</v>
      </c>
      <c r="G111" t="s">
        <v>393</v>
      </c>
      <c r="H111">
        <v>100</v>
      </c>
      <c r="I111">
        <v>11000</v>
      </c>
      <c r="J111">
        <v>1100000</v>
      </c>
      <c r="K111" t="str">
        <f>IFERROR(IF(B111&lt;&gt;"", TEXT(VLOOKUP(B111, 'Expected Date'!A:B, 2, FALSE) + DATE(RIGHT(C111,2),MID(C111,4,2),LEFT(C111,2)), "dd/mm/yy"), ""), "")</f>
        <v>23/05/23</v>
      </c>
      <c r="L111" t="s">
        <v>68</v>
      </c>
      <c r="M111" t="s">
        <v>48</v>
      </c>
      <c r="N111" t="s">
        <v>370</v>
      </c>
      <c r="O111" t="s">
        <v>161</v>
      </c>
      <c r="P111">
        <v>23290430</v>
      </c>
      <c r="Q111" t="s">
        <v>392</v>
      </c>
      <c r="R111" t="s">
        <v>393</v>
      </c>
      <c r="S111">
        <v>28.15</v>
      </c>
      <c r="T111">
        <v>11000</v>
      </c>
      <c r="U111">
        <v>309650</v>
      </c>
      <c r="V111" t="str">
        <f t="shared" si="35"/>
        <v>Accepted</v>
      </c>
      <c r="W111">
        <f>IFERROR(VLOOKUP(N111, Payment_Terms!A:B, 2, FALSE), "Payment term not found!")</f>
        <v>15</v>
      </c>
      <c r="X111" t="str">
        <f>IFERROR(VLOOKUP(R111, Item_Category!A:B, 2, FALSE), "Uncategorized")</f>
        <v>Coal materials</v>
      </c>
      <c r="Y111" s="5">
        <f t="shared" si="22"/>
        <v>0.15810000000000002</v>
      </c>
      <c r="Z111">
        <f t="shared" si="23"/>
        <v>1</v>
      </c>
      <c r="AA111">
        <f t="shared" si="24"/>
        <v>11</v>
      </c>
      <c r="AB111">
        <f t="shared" si="25"/>
        <v>1</v>
      </c>
      <c r="AC111" s="10">
        <f t="shared" si="26"/>
        <v>13</v>
      </c>
      <c r="AD111" s="5">
        <f t="shared" si="18"/>
        <v>1</v>
      </c>
      <c r="AE111" s="5">
        <f t="shared" si="19"/>
        <v>1</v>
      </c>
      <c r="AF111" s="5">
        <f t="shared" si="27"/>
        <v>0</v>
      </c>
      <c r="AG111">
        <f>IF(B111&lt;&gt;"", COUNTIFS($B$2:B111, B111), "")</f>
        <v>24</v>
      </c>
      <c r="AH111">
        <f t="shared" si="28"/>
        <v>5</v>
      </c>
      <c r="AI111" t="str">
        <f>VLOOKUP(B111, Currency!A:B, 2, FALSE)</f>
        <v>INR</v>
      </c>
      <c r="AJ111">
        <f t="shared" si="20"/>
        <v>3</v>
      </c>
      <c r="AK111">
        <f t="shared" si="29"/>
        <v>5</v>
      </c>
      <c r="AL111" t="str">
        <f t="shared" si="30"/>
        <v>May</v>
      </c>
      <c r="AM111">
        <f t="shared" si="31"/>
        <v>2023</v>
      </c>
      <c r="AN111" t="str">
        <f t="shared" si="21"/>
        <v>15SKYWIN ENTERPRISE</v>
      </c>
      <c r="AO111">
        <f>IF(COUNTIF($AN$2:AN111, AN111)=1, 1, 0)</f>
        <v>0</v>
      </c>
      <c r="AP111" t="str">
        <f t="shared" si="32"/>
        <v>&gt;3</v>
      </c>
      <c r="AQ111" t="str">
        <f t="shared" si="33"/>
        <v>&lt;=3</v>
      </c>
      <c r="AR111" t="str">
        <f t="shared" si="34"/>
        <v>&lt;=3</v>
      </c>
    </row>
    <row r="112" spans="1:44" x14ac:dyDescent="0.3">
      <c r="A112" t="s">
        <v>33</v>
      </c>
      <c r="B112" t="s">
        <v>366</v>
      </c>
      <c r="C112" t="s">
        <v>415</v>
      </c>
      <c r="D112">
        <v>2138</v>
      </c>
      <c r="E112">
        <v>23210185</v>
      </c>
      <c r="F112" t="s">
        <v>392</v>
      </c>
      <c r="G112" t="s">
        <v>393</v>
      </c>
      <c r="H112">
        <v>100</v>
      </c>
      <c r="I112">
        <v>11000</v>
      </c>
      <c r="J112">
        <v>1100000</v>
      </c>
      <c r="K112" t="str">
        <f>IFERROR(IF(B112&lt;&gt;"", TEXT(VLOOKUP(B112, 'Expected Date'!A:B, 2, FALSE) + DATE(RIGHT(C112,2),MID(C112,4,2),LEFT(C112,2)), "dd/mm/yy"), ""), "")</f>
        <v>23/05/23</v>
      </c>
      <c r="L112" t="s">
        <v>68</v>
      </c>
      <c r="M112" t="s">
        <v>48</v>
      </c>
      <c r="N112" t="s">
        <v>370</v>
      </c>
      <c r="O112" t="s">
        <v>352</v>
      </c>
      <c r="P112">
        <v>23290431</v>
      </c>
      <c r="Q112" t="s">
        <v>392</v>
      </c>
      <c r="R112" t="s">
        <v>393</v>
      </c>
      <c r="S112">
        <v>28.36</v>
      </c>
      <c r="T112">
        <v>11000</v>
      </c>
      <c r="U112">
        <v>311960</v>
      </c>
      <c r="V112" t="str">
        <f t="shared" si="35"/>
        <v>Accepted</v>
      </c>
      <c r="W112">
        <f>IFERROR(VLOOKUP(N112, Payment_Terms!A:B, 2, FALSE), "Payment term not found!")</f>
        <v>15</v>
      </c>
      <c r="X112" t="str">
        <f>IFERROR(VLOOKUP(R112, Item_Category!A:B, 2, FALSE), "Uncategorized")</f>
        <v>Coal materials</v>
      </c>
      <c r="Y112" s="5">
        <f t="shared" si="22"/>
        <v>0.15810000000000002</v>
      </c>
      <c r="Z112">
        <f t="shared" si="23"/>
        <v>1</v>
      </c>
      <c r="AA112">
        <f t="shared" si="24"/>
        <v>10</v>
      </c>
      <c r="AB112">
        <f t="shared" si="25"/>
        <v>2</v>
      </c>
      <c r="AC112" s="10">
        <f t="shared" si="26"/>
        <v>12</v>
      </c>
      <c r="AD112" s="5">
        <f t="shared" si="18"/>
        <v>1</v>
      </c>
      <c r="AE112" s="5">
        <f t="shared" si="19"/>
        <v>1</v>
      </c>
      <c r="AF112" s="5">
        <f t="shared" si="27"/>
        <v>0</v>
      </c>
      <c r="AG112">
        <f>IF(B112&lt;&gt;"", COUNTIFS($B$2:B112, B112), "")</f>
        <v>25</v>
      </c>
      <c r="AH112">
        <f t="shared" si="28"/>
        <v>5</v>
      </c>
      <c r="AI112" t="str">
        <f>VLOOKUP(B112, Currency!A:B, 2, FALSE)</f>
        <v>INR</v>
      </c>
      <c r="AJ112">
        <f t="shared" si="20"/>
        <v>3</v>
      </c>
      <c r="AK112">
        <f t="shared" si="29"/>
        <v>5</v>
      </c>
      <c r="AL112" t="str">
        <f t="shared" si="30"/>
        <v>May</v>
      </c>
      <c r="AM112">
        <f t="shared" si="31"/>
        <v>2023</v>
      </c>
      <c r="AN112" t="str">
        <f t="shared" si="21"/>
        <v>15SKYWIN ENTERPRISE</v>
      </c>
      <c r="AO112">
        <f>IF(COUNTIF($AN$2:AN112, AN112)=1, 1, 0)</f>
        <v>0</v>
      </c>
      <c r="AP112" t="str">
        <f t="shared" si="32"/>
        <v>&gt;3</v>
      </c>
      <c r="AQ112" t="str">
        <f t="shared" si="33"/>
        <v>&lt;=3</v>
      </c>
      <c r="AR112" t="str">
        <f t="shared" si="34"/>
        <v>&lt;=3</v>
      </c>
    </row>
    <row r="113" spans="1:44" x14ac:dyDescent="0.3">
      <c r="A113" t="s">
        <v>33</v>
      </c>
      <c r="B113" t="s">
        <v>122</v>
      </c>
      <c r="C113" t="s">
        <v>354</v>
      </c>
      <c r="D113">
        <v>2806</v>
      </c>
      <c r="E113">
        <v>23210359</v>
      </c>
      <c r="F113" t="s">
        <v>405</v>
      </c>
      <c r="G113" t="s">
        <v>406</v>
      </c>
      <c r="H113">
        <v>600</v>
      </c>
      <c r="I113">
        <v>930</v>
      </c>
      <c r="J113">
        <v>558000</v>
      </c>
      <c r="K113" t="str">
        <f>IFERROR(IF(B113&lt;&gt;"", TEXT(VLOOKUP(B113, 'Expected Date'!A:B, 2, FALSE) + DATE(RIGHT(C113,2),MID(C113,4,2),LEFT(C113,2)), "dd/mm/yy"), ""), "")</f>
        <v>18/07/23</v>
      </c>
      <c r="L113" t="s">
        <v>38</v>
      </c>
      <c r="M113" t="s">
        <v>39</v>
      </c>
      <c r="N113" t="s">
        <v>364</v>
      </c>
      <c r="O113" t="s">
        <v>89</v>
      </c>
      <c r="P113">
        <v>23290663</v>
      </c>
      <c r="Q113" t="s">
        <v>405</v>
      </c>
      <c r="R113" t="s">
        <v>406</v>
      </c>
      <c r="S113">
        <v>30</v>
      </c>
      <c r="T113">
        <v>930</v>
      </c>
      <c r="U113">
        <v>27900</v>
      </c>
      <c r="V113" t="str">
        <f t="shared" si="35"/>
        <v>Accepted</v>
      </c>
      <c r="W113">
        <f>IFERROR(VLOOKUP(N113, Payment_Terms!A:B, 2, FALSE), "Payment term not found!")</f>
        <v>30</v>
      </c>
      <c r="X113" t="str">
        <f>IFERROR(VLOOKUP(R113, Item_Category!A:B, 2, FALSE), "Uncategorized")</f>
        <v>Pallets</v>
      </c>
      <c r="Y113" s="5">
        <f t="shared" si="22"/>
        <v>0</v>
      </c>
      <c r="Z113">
        <f t="shared" si="23"/>
        <v>5</v>
      </c>
      <c r="AA113">
        <f t="shared" si="24"/>
        <v>-13</v>
      </c>
      <c r="AB113">
        <f t="shared" si="25"/>
        <v>5</v>
      </c>
      <c r="AC113" s="10">
        <f t="shared" si="26"/>
        <v>2</v>
      </c>
      <c r="AD113" s="5">
        <f t="shared" si="18"/>
        <v>1</v>
      </c>
      <c r="AE113" s="5">
        <f t="shared" si="19"/>
        <v>1</v>
      </c>
      <c r="AF113" s="5">
        <f t="shared" si="27"/>
        <v>0</v>
      </c>
      <c r="AG113">
        <f>IF(B113&lt;&gt;"", COUNTIFS($B$2:B113, B113), "")</f>
        <v>14</v>
      </c>
      <c r="AH113">
        <f t="shared" si="28"/>
        <v>5</v>
      </c>
      <c r="AI113" t="str">
        <f>VLOOKUP(B113, Currency!A:B, 2, FALSE)</f>
        <v>INR</v>
      </c>
      <c r="AJ113">
        <f t="shared" si="20"/>
        <v>5</v>
      </c>
      <c r="AK113">
        <f t="shared" si="29"/>
        <v>7</v>
      </c>
      <c r="AL113" t="str">
        <f t="shared" si="30"/>
        <v>July</v>
      </c>
      <c r="AM113">
        <f t="shared" si="31"/>
        <v>2023</v>
      </c>
      <c r="AN113" t="str">
        <f t="shared" si="21"/>
        <v>30Plastocon Industries Pvt Ltd</v>
      </c>
      <c r="AO113">
        <f>IF(COUNTIF($AN$2:AN113, AN113)=1, 1, 0)</f>
        <v>0</v>
      </c>
      <c r="AP113" t="str">
        <f t="shared" si="32"/>
        <v>&gt;3</v>
      </c>
      <c r="AQ113" t="str">
        <f t="shared" si="33"/>
        <v>&gt;3</v>
      </c>
      <c r="AR113" t="str">
        <f t="shared" si="34"/>
        <v>&gt;3</v>
      </c>
    </row>
    <row r="114" spans="1:44" x14ac:dyDescent="0.3">
      <c r="A114" t="s">
        <v>33</v>
      </c>
      <c r="B114" t="s">
        <v>382</v>
      </c>
      <c r="C114" t="s">
        <v>88</v>
      </c>
      <c r="D114">
        <v>2808</v>
      </c>
      <c r="E114">
        <v>23210360</v>
      </c>
      <c r="F114" t="s">
        <v>412</v>
      </c>
      <c r="G114" t="s">
        <v>413</v>
      </c>
      <c r="H114">
        <v>1000</v>
      </c>
      <c r="I114">
        <v>18</v>
      </c>
      <c r="J114">
        <v>18000</v>
      </c>
      <c r="K114" t="str">
        <f>IFERROR(IF(B114&lt;&gt;"", TEXT(VLOOKUP(B114, 'Expected Date'!A:B, 2, FALSE) + DATE(RIGHT(C114,2),MID(C114,4,2),LEFT(C114,2)), "dd/mm/yy"), ""), "")</f>
        <v>14/07/23</v>
      </c>
      <c r="L114" t="s">
        <v>38</v>
      </c>
      <c r="M114" t="s">
        <v>48</v>
      </c>
      <c r="N114" t="s">
        <v>342</v>
      </c>
      <c r="O114" t="s">
        <v>88</v>
      </c>
      <c r="P114">
        <v>23290664</v>
      </c>
      <c r="Q114" t="s">
        <v>412</v>
      </c>
      <c r="R114" t="s">
        <v>413</v>
      </c>
      <c r="S114">
        <v>1000</v>
      </c>
      <c r="T114">
        <v>18</v>
      </c>
      <c r="U114">
        <v>18000</v>
      </c>
      <c r="V114" t="str">
        <f t="shared" si="35"/>
        <v>Accepted</v>
      </c>
      <c r="W114">
        <f>IFERROR(VLOOKUP(N114, Payment_Terms!A:B, 2, FALSE), "Payment term not found!")</f>
        <v>30</v>
      </c>
      <c r="X114" t="str">
        <f>IFERROR(VLOOKUP(R114, Item_Category!A:B, 2, FALSE), "Uncategorized")</f>
        <v>NON FERRIC ALUM</v>
      </c>
      <c r="Y114" s="5">
        <f t="shared" si="22"/>
        <v>0</v>
      </c>
      <c r="Z114">
        <f t="shared" si="23"/>
        <v>5</v>
      </c>
      <c r="AA114">
        <f t="shared" si="24"/>
        <v>-10</v>
      </c>
      <c r="AB114">
        <f t="shared" si="25"/>
        <v>5</v>
      </c>
      <c r="AC114" s="10">
        <f t="shared" si="26"/>
        <v>0</v>
      </c>
      <c r="AD114" s="5">
        <f t="shared" si="18"/>
        <v>1</v>
      </c>
      <c r="AE114" s="5">
        <f t="shared" si="19"/>
        <v>1</v>
      </c>
      <c r="AF114" s="5">
        <f t="shared" si="27"/>
        <v>0</v>
      </c>
      <c r="AG114">
        <f>IF(B114&lt;&gt;"", COUNTIFS($B$2:B114, B114), "")</f>
        <v>5</v>
      </c>
      <c r="AH114">
        <f t="shared" si="28"/>
        <v>5</v>
      </c>
      <c r="AI114" t="str">
        <f>VLOOKUP(B114, Currency!A:B, 2, FALSE)</f>
        <v>INR</v>
      </c>
      <c r="AJ114">
        <f t="shared" si="20"/>
        <v>5</v>
      </c>
      <c r="AK114">
        <f t="shared" si="29"/>
        <v>7</v>
      </c>
      <c r="AL114" t="str">
        <f t="shared" si="30"/>
        <v>July</v>
      </c>
      <c r="AM114">
        <f t="shared" si="31"/>
        <v>2023</v>
      </c>
      <c r="AN114" t="str">
        <f t="shared" si="21"/>
        <v>30Aerochem Laboratories</v>
      </c>
      <c r="AO114">
        <f>IF(COUNTIF($AN$2:AN114, AN114)=1, 1, 0)</f>
        <v>0</v>
      </c>
      <c r="AP114" t="str">
        <f t="shared" si="32"/>
        <v>&gt;3</v>
      </c>
      <c r="AQ114" t="str">
        <f t="shared" si="33"/>
        <v>&gt;3</v>
      </c>
      <c r="AR114" t="str">
        <f t="shared" si="34"/>
        <v>&gt;3</v>
      </c>
    </row>
    <row r="115" spans="1:44" x14ac:dyDescent="0.3">
      <c r="A115" t="s">
        <v>33</v>
      </c>
      <c r="B115" t="s">
        <v>395</v>
      </c>
      <c r="C115" t="s">
        <v>88</v>
      </c>
      <c r="D115">
        <v>2928</v>
      </c>
      <c r="E115">
        <v>23210383</v>
      </c>
      <c r="F115" t="s">
        <v>392</v>
      </c>
      <c r="G115" t="s">
        <v>393</v>
      </c>
      <c r="H115">
        <v>200</v>
      </c>
      <c r="I115">
        <v>10700</v>
      </c>
      <c r="J115">
        <v>2140000</v>
      </c>
      <c r="K115" t="str">
        <f>IFERROR(IF(B115&lt;&gt;"", TEXT(VLOOKUP(B115, 'Expected Date'!A:B, 2, FALSE) + DATE(RIGHT(C115,2),MID(C115,4,2),LEFT(C115,2)), "dd/mm/yy"), ""), "")</f>
        <v>09/07/23</v>
      </c>
      <c r="L115" t="s">
        <v>68</v>
      </c>
      <c r="M115" t="s">
        <v>48</v>
      </c>
      <c r="N115" t="s">
        <v>370</v>
      </c>
      <c r="O115" t="s">
        <v>131</v>
      </c>
      <c r="P115">
        <v>23290934</v>
      </c>
      <c r="Q115" t="s">
        <v>392</v>
      </c>
      <c r="R115" t="s">
        <v>393</v>
      </c>
      <c r="S115">
        <v>28.44</v>
      </c>
      <c r="T115">
        <v>10700</v>
      </c>
      <c r="U115">
        <v>304308</v>
      </c>
      <c r="V115" t="str">
        <f t="shared" si="35"/>
        <v>Accepted</v>
      </c>
      <c r="W115">
        <f>IFERROR(VLOOKUP(N115, Payment_Terms!A:B, 2, FALSE), "Payment term not found!")</f>
        <v>15</v>
      </c>
      <c r="X115" t="str">
        <f>IFERROR(VLOOKUP(R115, Item_Category!A:B, 2, FALSE), "Uncategorized")</f>
        <v>Coal materials</v>
      </c>
      <c r="Y115" s="5">
        <f t="shared" si="22"/>
        <v>5.1500000000000053E-3</v>
      </c>
      <c r="Z115">
        <f t="shared" si="23"/>
        <v>4</v>
      </c>
      <c r="AA115">
        <f t="shared" si="24"/>
        <v>15</v>
      </c>
      <c r="AB115">
        <f t="shared" si="25"/>
        <v>1</v>
      </c>
      <c r="AC115" s="10">
        <f t="shared" si="26"/>
        <v>20</v>
      </c>
      <c r="AD115" s="5">
        <f t="shared" si="18"/>
        <v>1</v>
      </c>
      <c r="AE115" s="5">
        <f t="shared" si="19"/>
        <v>1</v>
      </c>
      <c r="AF115" s="5">
        <f t="shared" si="27"/>
        <v>0</v>
      </c>
      <c r="AG115">
        <f>IF(B115&lt;&gt;"", COUNTIFS($B$2:B115, B115), "")</f>
        <v>11</v>
      </c>
      <c r="AH115">
        <f t="shared" si="28"/>
        <v>5</v>
      </c>
      <c r="AI115" t="str">
        <f>VLOOKUP(B115, Currency!A:B, 2, FALSE)</f>
        <v>INR</v>
      </c>
      <c r="AJ115">
        <f t="shared" si="20"/>
        <v>4</v>
      </c>
      <c r="AK115">
        <f t="shared" si="29"/>
        <v>7</v>
      </c>
      <c r="AL115" t="str">
        <f t="shared" si="30"/>
        <v>July</v>
      </c>
      <c r="AM115">
        <f t="shared" si="31"/>
        <v>2023</v>
      </c>
      <c r="AN115" t="str">
        <f t="shared" si="21"/>
        <v>15Crystal coal corporation</v>
      </c>
      <c r="AO115">
        <f>IF(COUNTIF($AN$2:AN115, AN115)=1, 1, 0)</f>
        <v>0</v>
      </c>
      <c r="AP115" t="str">
        <f t="shared" si="32"/>
        <v>&gt;3</v>
      </c>
      <c r="AQ115" t="str">
        <f t="shared" si="33"/>
        <v>&gt;3</v>
      </c>
      <c r="AR115" t="str">
        <f t="shared" si="34"/>
        <v>&lt;=3</v>
      </c>
    </row>
    <row r="116" spans="1:44" x14ac:dyDescent="0.3">
      <c r="A116" t="s">
        <v>33</v>
      </c>
      <c r="B116" t="s">
        <v>395</v>
      </c>
      <c r="C116" t="s">
        <v>88</v>
      </c>
      <c r="D116">
        <v>2928</v>
      </c>
      <c r="E116">
        <v>23210383</v>
      </c>
      <c r="F116" t="s">
        <v>392</v>
      </c>
      <c r="G116" t="s">
        <v>393</v>
      </c>
      <c r="H116">
        <v>200</v>
      </c>
      <c r="I116">
        <v>10700</v>
      </c>
      <c r="J116">
        <v>2140000</v>
      </c>
      <c r="K116" t="str">
        <f>IFERROR(IF(B116&lt;&gt;"", TEXT(VLOOKUP(B116, 'Expected Date'!A:B, 2, FALSE) + DATE(RIGHT(C116,2),MID(C116,4,2),LEFT(C116,2)), "dd/mm/yy"), ""), "")</f>
        <v>09/07/23</v>
      </c>
      <c r="L116" t="s">
        <v>68</v>
      </c>
      <c r="M116" t="s">
        <v>48</v>
      </c>
      <c r="N116" t="s">
        <v>370</v>
      </c>
      <c r="O116" t="s">
        <v>407</v>
      </c>
      <c r="P116">
        <v>23290935</v>
      </c>
      <c r="Q116" t="s">
        <v>392</v>
      </c>
      <c r="R116" t="s">
        <v>393</v>
      </c>
      <c r="S116">
        <v>26.13</v>
      </c>
      <c r="T116">
        <v>10700</v>
      </c>
      <c r="U116">
        <v>279591</v>
      </c>
      <c r="V116" t="str">
        <f t="shared" si="35"/>
        <v>Accepted</v>
      </c>
      <c r="W116">
        <f>IFERROR(VLOOKUP(N116, Payment_Terms!A:B, 2, FALSE), "Payment term not found!")</f>
        <v>15</v>
      </c>
      <c r="X116" t="str">
        <f>IFERROR(VLOOKUP(R116, Item_Category!A:B, 2, FALSE), "Uncategorized")</f>
        <v>Coal materials</v>
      </c>
      <c r="Y116" s="5">
        <f t="shared" si="22"/>
        <v>5.1500000000000053E-3</v>
      </c>
      <c r="Z116">
        <f t="shared" si="23"/>
        <v>4</v>
      </c>
      <c r="AA116">
        <f t="shared" si="24"/>
        <v>17</v>
      </c>
      <c r="AB116">
        <f t="shared" si="25"/>
        <v>1</v>
      </c>
      <c r="AC116" s="10">
        <f t="shared" si="26"/>
        <v>22</v>
      </c>
      <c r="AD116" s="5">
        <f t="shared" si="18"/>
        <v>1</v>
      </c>
      <c r="AE116" s="5">
        <f t="shared" si="19"/>
        <v>1</v>
      </c>
      <c r="AF116" s="5">
        <f t="shared" si="27"/>
        <v>0</v>
      </c>
      <c r="AG116">
        <f>IF(B116&lt;&gt;"", COUNTIFS($B$2:B116, B116), "")</f>
        <v>12</v>
      </c>
      <c r="AH116">
        <f t="shared" si="28"/>
        <v>5</v>
      </c>
      <c r="AI116" t="str">
        <f>VLOOKUP(B116, Currency!A:B, 2, FALSE)</f>
        <v>INR</v>
      </c>
      <c r="AJ116">
        <f t="shared" si="20"/>
        <v>4</v>
      </c>
      <c r="AK116">
        <f t="shared" si="29"/>
        <v>7</v>
      </c>
      <c r="AL116" t="str">
        <f t="shared" si="30"/>
        <v>July</v>
      </c>
      <c r="AM116">
        <f t="shared" si="31"/>
        <v>2023</v>
      </c>
      <c r="AN116" t="str">
        <f t="shared" si="21"/>
        <v>15Crystal coal corporation</v>
      </c>
      <c r="AO116">
        <f>IF(COUNTIF($AN$2:AN116, AN116)=1, 1, 0)</f>
        <v>0</v>
      </c>
      <c r="AP116" t="str">
        <f t="shared" si="32"/>
        <v>&gt;3</v>
      </c>
      <c r="AQ116" t="str">
        <f t="shared" si="33"/>
        <v>&gt;3</v>
      </c>
      <c r="AR116" t="str">
        <f t="shared" si="34"/>
        <v>&lt;=3</v>
      </c>
    </row>
    <row r="117" spans="1:44" x14ac:dyDescent="0.3">
      <c r="A117" t="s">
        <v>111</v>
      </c>
      <c r="B117" t="s">
        <v>296</v>
      </c>
      <c r="C117" t="s">
        <v>374</v>
      </c>
      <c r="D117">
        <v>1251</v>
      </c>
      <c r="E117">
        <v>23210020</v>
      </c>
      <c r="F117" t="s">
        <v>445</v>
      </c>
      <c r="G117" t="s">
        <v>446</v>
      </c>
      <c r="H117">
        <v>12000</v>
      </c>
      <c r="I117">
        <v>205</v>
      </c>
      <c r="J117">
        <v>2460000</v>
      </c>
      <c r="K117" t="str">
        <f>IFERROR(IF(B117&lt;&gt;"", TEXT(VLOOKUP(B117, 'Expected Date'!A:B, 2, FALSE) + DATE(RIGHT(C117,2),MID(C117,4,2),LEFT(C117,2)), "dd/mm/yy"), ""), "")</f>
        <v>28/04/23</v>
      </c>
      <c r="L117" t="s">
        <v>38</v>
      </c>
      <c r="M117" t="s">
        <v>48</v>
      </c>
      <c r="N117" t="s">
        <v>381</v>
      </c>
      <c r="O117" t="s">
        <v>432</v>
      </c>
      <c r="P117">
        <v>23290395</v>
      </c>
      <c r="Q117" t="s">
        <v>445</v>
      </c>
      <c r="R117" t="s">
        <v>446</v>
      </c>
      <c r="S117">
        <v>4000</v>
      </c>
      <c r="T117">
        <v>205</v>
      </c>
      <c r="U117">
        <v>820000</v>
      </c>
      <c r="V117" t="str">
        <f t="shared" si="35"/>
        <v>Accepted</v>
      </c>
      <c r="W117">
        <f>IFERROR(VLOOKUP(N117, Payment_Terms!A:B, 2, FALSE), "Payment term not found!")</f>
        <v>30</v>
      </c>
      <c r="X117" t="str">
        <f>IFERROR(VLOOKUP(R117, Item_Category!A:B, 2, FALSE), "Uncategorized")</f>
        <v>SSG - Potato</v>
      </c>
      <c r="Y117" s="5">
        <f t="shared" si="22"/>
        <v>0</v>
      </c>
      <c r="Z117">
        <f t="shared" si="23"/>
        <v>5</v>
      </c>
      <c r="AA117">
        <f t="shared" si="24"/>
        <v>24</v>
      </c>
      <c r="AB117">
        <f t="shared" si="25"/>
        <v>1</v>
      </c>
      <c r="AC117" s="10">
        <f t="shared" si="26"/>
        <v>39</v>
      </c>
      <c r="AD117" s="5">
        <f t="shared" si="18"/>
        <v>1</v>
      </c>
      <c r="AE117" s="5">
        <f t="shared" si="19"/>
        <v>1</v>
      </c>
      <c r="AF117" s="5">
        <f t="shared" si="27"/>
        <v>0</v>
      </c>
      <c r="AG117">
        <f>IF(B117&lt;&gt;"", COUNTIFS($B$2:B117, B117), "")</f>
        <v>2</v>
      </c>
      <c r="AH117">
        <f t="shared" si="28"/>
        <v>5</v>
      </c>
      <c r="AI117" t="str">
        <f>VLOOKUP(B117, Currency!A:B, 2, FALSE)</f>
        <v>INR</v>
      </c>
      <c r="AJ117">
        <f t="shared" si="20"/>
        <v>4</v>
      </c>
      <c r="AK117">
        <f t="shared" si="29"/>
        <v>4</v>
      </c>
      <c r="AL117" t="str">
        <f t="shared" si="30"/>
        <v>April</v>
      </c>
      <c r="AM117">
        <f t="shared" si="31"/>
        <v>2023</v>
      </c>
      <c r="AN117" t="str">
        <f t="shared" si="21"/>
        <v>30Ascot Pharmachem Pvt Ltd</v>
      </c>
      <c r="AO117">
        <f>IF(COUNTIF($AN$2:AN117, AN117)=1, 1, 0)</f>
        <v>0</v>
      </c>
      <c r="AP117" t="str">
        <f t="shared" si="32"/>
        <v>&gt;3</v>
      </c>
      <c r="AQ117" t="str">
        <f t="shared" si="33"/>
        <v>&gt;3</v>
      </c>
      <c r="AR117" t="str">
        <f t="shared" si="34"/>
        <v>&lt;=3</v>
      </c>
    </row>
    <row r="118" spans="1:44" x14ac:dyDescent="0.3">
      <c r="A118" t="s">
        <v>111</v>
      </c>
      <c r="B118" t="s">
        <v>296</v>
      </c>
      <c r="C118" t="s">
        <v>374</v>
      </c>
      <c r="D118">
        <v>1251</v>
      </c>
      <c r="E118">
        <v>23210020</v>
      </c>
      <c r="F118" t="s">
        <v>445</v>
      </c>
      <c r="G118" t="s">
        <v>446</v>
      </c>
      <c r="H118">
        <v>12000</v>
      </c>
      <c r="I118">
        <v>205</v>
      </c>
      <c r="J118">
        <v>2460000</v>
      </c>
      <c r="K118" t="str">
        <f>IFERROR(IF(B118&lt;&gt;"", TEXT(VLOOKUP(B118, 'Expected Date'!A:B, 2, FALSE) + DATE(RIGHT(C118,2),MID(C118,4,2),LEFT(C118,2)), "dd/mm/yy"), ""), "")</f>
        <v>28/04/23</v>
      </c>
      <c r="L118" t="s">
        <v>38</v>
      </c>
      <c r="M118" t="s">
        <v>48</v>
      </c>
      <c r="N118" t="s">
        <v>381</v>
      </c>
      <c r="O118" t="s">
        <v>41</v>
      </c>
      <c r="P118">
        <v>23290143</v>
      </c>
      <c r="Q118" t="s">
        <v>445</v>
      </c>
      <c r="R118" t="s">
        <v>446</v>
      </c>
      <c r="S118">
        <v>600</v>
      </c>
      <c r="T118">
        <v>205</v>
      </c>
      <c r="U118">
        <v>123000</v>
      </c>
      <c r="V118" t="str">
        <f t="shared" si="35"/>
        <v>Accepted</v>
      </c>
      <c r="W118">
        <f>IFERROR(VLOOKUP(N118, Payment_Terms!A:B, 2, FALSE), "Payment term not found!")</f>
        <v>30</v>
      </c>
      <c r="X118" t="str">
        <f>IFERROR(VLOOKUP(R118, Item_Category!A:B, 2, FALSE), "Uncategorized")</f>
        <v>SSG - Potato</v>
      </c>
      <c r="Y118" s="5">
        <f t="shared" si="22"/>
        <v>0</v>
      </c>
      <c r="Z118">
        <f t="shared" si="23"/>
        <v>5</v>
      </c>
      <c r="AA118">
        <f t="shared" si="24"/>
        <v>1</v>
      </c>
      <c r="AB118">
        <f t="shared" si="25"/>
        <v>5</v>
      </c>
      <c r="AC118" s="10">
        <f t="shared" si="26"/>
        <v>16</v>
      </c>
      <c r="AD118" s="5">
        <f t="shared" si="18"/>
        <v>1</v>
      </c>
      <c r="AE118" s="5">
        <f t="shared" si="19"/>
        <v>1</v>
      </c>
      <c r="AF118" s="5">
        <f t="shared" si="27"/>
        <v>0</v>
      </c>
      <c r="AG118">
        <f>IF(B118&lt;&gt;"", COUNTIFS($B$2:B118, B118), "")</f>
        <v>3</v>
      </c>
      <c r="AH118">
        <f t="shared" si="28"/>
        <v>5</v>
      </c>
      <c r="AI118" t="str">
        <f>VLOOKUP(B118, Currency!A:B, 2, FALSE)</f>
        <v>INR</v>
      </c>
      <c r="AJ118">
        <f t="shared" si="20"/>
        <v>5</v>
      </c>
      <c r="AK118">
        <f t="shared" si="29"/>
        <v>4</v>
      </c>
      <c r="AL118" t="str">
        <f t="shared" si="30"/>
        <v>April</v>
      </c>
      <c r="AM118">
        <f t="shared" si="31"/>
        <v>2023</v>
      </c>
      <c r="AN118" t="str">
        <f t="shared" si="21"/>
        <v>30Ascot Pharmachem Pvt Ltd</v>
      </c>
      <c r="AO118">
        <f>IF(COUNTIF($AN$2:AN118, AN118)=1, 1, 0)</f>
        <v>0</v>
      </c>
      <c r="AP118" t="str">
        <f t="shared" si="32"/>
        <v>&gt;3</v>
      </c>
      <c r="AQ118" t="str">
        <f t="shared" si="33"/>
        <v>&gt;3</v>
      </c>
      <c r="AR118" t="str">
        <f t="shared" si="34"/>
        <v>&gt;3</v>
      </c>
    </row>
    <row r="119" spans="1:44" x14ac:dyDescent="0.3">
      <c r="A119" t="s">
        <v>33</v>
      </c>
      <c r="B119" t="s">
        <v>371</v>
      </c>
      <c r="C119" t="s">
        <v>416</v>
      </c>
      <c r="D119">
        <v>2120</v>
      </c>
      <c r="E119">
        <v>23210182</v>
      </c>
      <c r="F119" t="s">
        <v>372</v>
      </c>
      <c r="G119" t="s">
        <v>373</v>
      </c>
      <c r="H119">
        <v>50</v>
      </c>
      <c r="I119">
        <v>150</v>
      </c>
      <c r="J119">
        <v>7500</v>
      </c>
      <c r="K119" t="str">
        <f>IFERROR(IF(B119&lt;&gt;"", TEXT(VLOOKUP(B119, 'Expected Date'!A:B, 2, FALSE) + DATE(RIGHT(C119,2),MID(C119,4,2),LEFT(C119,2)), "dd/mm/yy"), ""), "")</f>
        <v>25/05/23</v>
      </c>
      <c r="L119" t="s">
        <v>68</v>
      </c>
      <c r="M119" t="s">
        <v>48</v>
      </c>
      <c r="N119" t="s">
        <v>342</v>
      </c>
      <c r="O119" t="s">
        <v>357</v>
      </c>
      <c r="P119">
        <v>23290406</v>
      </c>
      <c r="Q119" t="s">
        <v>372</v>
      </c>
      <c r="R119" t="s">
        <v>373</v>
      </c>
      <c r="S119">
        <v>9.9600000000000009</v>
      </c>
      <c r="T119">
        <v>150</v>
      </c>
      <c r="U119">
        <v>1494</v>
      </c>
      <c r="V119" t="str">
        <f t="shared" si="35"/>
        <v>Accepted</v>
      </c>
      <c r="W119">
        <f>IFERROR(VLOOKUP(N119, Payment_Terms!A:B, 2, FALSE), "Payment term not found!")</f>
        <v>30</v>
      </c>
      <c r="X119" t="str">
        <f>IFERROR(VLOOKUP(R119, Item_Category!A:B, 2, FALSE), "Uncategorized")</f>
        <v>HCL</v>
      </c>
      <c r="Y119" s="5">
        <f t="shared" si="22"/>
        <v>6.3999999999998633E-3</v>
      </c>
      <c r="Z119">
        <f t="shared" si="23"/>
        <v>4</v>
      </c>
      <c r="AA119">
        <f t="shared" si="24"/>
        <v>5</v>
      </c>
      <c r="AB119">
        <f t="shared" si="25"/>
        <v>3</v>
      </c>
      <c r="AC119" s="10">
        <f t="shared" si="26"/>
        <v>10</v>
      </c>
      <c r="AD119" s="5">
        <f t="shared" si="18"/>
        <v>1</v>
      </c>
      <c r="AE119" s="5">
        <f t="shared" si="19"/>
        <v>1</v>
      </c>
      <c r="AF119" s="5">
        <f t="shared" si="27"/>
        <v>0</v>
      </c>
      <c r="AG119">
        <f>IF(B119&lt;&gt;"", COUNTIFS($B$2:B119, B119), "")</f>
        <v>4</v>
      </c>
      <c r="AH119">
        <f t="shared" si="28"/>
        <v>5</v>
      </c>
      <c r="AI119" t="str">
        <f>VLOOKUP(B119, Currency!A:B, 2, FALSE)</f>
        <v>INR</v>
      </c>
      <c r="AJ119">
        <f t="shared" si="20"/>
        <v>5</v>
      </c>
      <c r="AK119">
        <f t="shared" si="29"/>
        <v>5</v>
      </c>
      <c r="AL119" t="str">
        <f t="shared" si="30"/>
        <v>May</v>
      </c>
      <c r="AM119">
        <f t="shared" si="31"/>
        <v>2023</v>
      </c>
      <c r="AN119" t="str">
        <f t="shared" si="21"/>
        <v>30SHREE ACID AND CHEMICALS</v>
      </c>
      <c r="AO119">
        <f>IF(COUNTIF($AN$2:AN119, AN119)=1, 1, 0)</f>
        <v>0</v>
      </c>
      <c r="AP119" t="str">
        <f t="shared" si="32"/>
        <v>&gt;3</v>
      </c>
      <c r="AQ119" t="str">
        <f t="shared" si="33"/>
        <v>&gt;3</v>
      </c>
      <c r="AR119" t="str">
        <f t="shared" si="34"/>
        <v>&lt;=3</v>
      </c>
    </row>
    <row r="120" spans="1:44" x14ac:dyDescent="0.3">
      <c r="A120" t="s">
        <v>33</v>
      </c>
      <c r="B120" t="str">
        <f>B2</f>
        <v>Ami Enterprises</v>
      </c>
      <c r="C120" t="s">
        <v>70</v>
      </c>
      <c r="D120">
        <v>1550</v>
      </c>
      <c r="E120">
        <v>23210087</v>
      </c>
      <c r="F120" t="s">
        <v>460</v>
      </c>
      <c r="G120" t="s">
        <v>461</v>
      </c>
      <c r="H120">
        <v>20000</v>
      </c>
      <c r="I120">
        <v>35</v>
      </c>
      <c r="J120">
        <v>700000</v>
      </c>
      <c r="K120" t="str">
        <f>IFERROR(IF(B120&lt;&gt;"", TEXT(VLOOKUP(B120, 'Expected Date'!A:B, 2, FALSE) + DATE(RIGHT(C120,2),MID(C120,4,2),LEFT(C120,2)), "dd/mm/yy"), ""), "")</f>
        <v>04/05/23</v>
      </c>
      <c r="L120" t="s">
        <v>68</v>
      </c>
      <c r="M120" t="s">
        <v>39</v>
      </c>
      <c r="N120" t="s">
        <v>342</v>
      </c>
      <c r="O120" t="s">
        <v>35</v>
      </c>
      <c r="P120">
        <v>23290164</v>
      </c>
      <c r="Q120" t="s">
        <v>460</v>
      </c>
      <c r="R120" t="s">
        <v>461</v>
      </c>
      <c r="S120">
        <v>15000</v>
      </c>
      <c r="T120">
        <v>35</v>
      </c>
      <c r="U120">
        <v>525000</v>
      </c>
      <c r="V120" t="str">
        <f t="shared" si="35"/>
        <v>Accepted</v>
      </c>
      <c r="W120">
        <f>IFERROR(VLOOKUP(N120, Payment_Terms!A:B, 2, FALSE), "Payment term not found!")</f>
        <v>30</v>
      </c>
      <c r="X120" t="str">
        <f>IFERROR(VLOOKUP(R120, Item_Category!A:B, 2, FALSE), "Uncategorized")</f>
        <v>Bags</v>
      </c>
      <c r="Y120" s="5">
        <f t="shared" si="22"/>
        <v>0.25</v>
      </c>
      <c r="Z120">
        <f t="shared" si="23"/>
        <v>1</v>
      </c>
      <c r="AA120">
        <f t="shared" si="24"/>
        <v>-7</v>
      </c>
      <c r="AB120">
        <f t="shared" si="25"/>
        <v>5</v>
      </c>
      <c r="AC120" s="10">
        <f t="shared" si="26"/>
        <v>3</v>
      </c>
      <c r="AD120" s="5">
        <f t="shared" si="18"/>
        <v>1</v>
      </c>
      <c r="AE120" s="5">
        <f t="shared" si="19"/>
        <v>1</v>
      </c>
      <c r="AF120" s="5">
        <f t="shared" si="27"/>
        <v>0</v>
      </c>
      <c r="AG120">
        <f>IF(B120&lt;&gt;"", COUNTIFS($B$2:B120, B120), "")</f>
        <v>9</v>
      </c>
      <c r="AH120">
        <f t="shared" si="28"/>
        <v>5</v>
      </c>
      <c r="AI120" t="str">
        <f>VLOOKUP(B120, Currency!A:B, 2, FALSE)</f>
        <v>INR</v>
      </c>
      <c r="AJ120">
        <f t="shared" si="20"/>
        <v>4</v>
      </c>
      <c r="AK120">
        <f t="shared" si="29"/>
        <v>4</v>
      </c>
      <c r="AL120" t="str">
        <f t="shared" si="30"/>
        <v>April</v>
      </c>
      <c r="AM120">
        <f t="shared" si="31"/>
        <v>2023</v>
      </c>
      <c r="AN120" t="str">
        <f t="shared" si="21"/>
        <v>30Ami Enterprises</v>
      </c>
      <c r="AO120">
        <f>IF(COUNTIF($AN$2:AN120, AN120)=1, 1, 0)</f>
        <v>0</v>
      </c>
      <c r="AP120" t="str">
        <f t="shared" si="32"/>
        <v>&gt;3</v>
      </c>
      <c r="AQ120" t="str">
        <f t="shared" si="33"/>
        <v>&lt;=3</v>
      </c>
      <c r="AR120" t="str">
        <f t="shared" si="34"/>
        <v>&gt;3</v>
      </c>
    </row>
    <row r="121" spans="1:44" x14ac:dyDescent="0.3">
      <c r="A121" t="s">
        <v>111</v>
      </c>
      <c r="B121" t="s">
        <v>309</v>
      </c>
      <c r="C121" t="s">
        <v>72</v>
      </c>
      <c r="D121">
        <v>2596</v>
      </c>
      <c r="E121">
        <v>23220023</v>
      </c>
      <c r="F121" t="s">
        <v>375</v>
      </c>
      <c r="G121" t="s">
        <v>311</v>
      </c>
      <c r="H121">
        <v>1000</v>
      </c>
      <c r="I121">
        <v>310</v>
      </c>
      <c r="J121">
        <v>310000</v>
      </c>
      <c r="K121" t="str">
        <f>IFERROR(IF(B121&lt;&gt;"", TEXT(VLOOKUP(B121, 'Expected Date'!A:B, 2, FALSE) + DATE(RIGHT(C121,2),MID(C121,4,2),LEFT(C121,2)), "dd/mm/yy"), ""), "")</f>
        <v>03/07/23</v>
      </c>
      <c r="L121" t="s">
        <v>38</v>
      </c>
      <c r="M121" t="s">
        <v>48</v>
      </c>
      <c r="N121" t="s">
        <v>377</v>
      </c>
      <c r="O121" t="s">
        <v>257</v>
      </c>
      <c r="P121">
        <v>23290629</v>
      </c>
      <c r="Q121" t="s">
        <v>375</v>
      </c>
      <c r="R121" t="s">
        <v>376</v>
      </c>
      <c r="S121">
        <v>1000</v>
      </c>
      <c r="T121">
        <v>310</v>
      </c>
      <c r="U121">
        <v>310000</v>
      </c>
      <c r="V121" t="str">
        <f t="shared" si="35"/>
        <v>Accepted</v>
      </c>
      <c r="W121">
        <f>IFERROR(VLOOKUP(N121, Payment_Terms!A:B, 2, FALSE), "Payment term not found!")</f>
        <v>30</v>
      </c>
      <c r="X121" t="str">
        <f>IFERROR(VLOOKUP(R121, Item_Category!A:B, 2, FALSE), "Uncategorized")</f>
        <v>CROSSCARMELLOSE SODIUM</v>
      </c>
      <c r="Y121" s="5">
        <f t="shared" si="22"/>
        <v>0</v>
      </c>
      <c r="Z121">
        <f t="shared" si="23"/>
        <v>5</v>
      </c>
      <c r="AA121">
        <f t="shared" si="24"/>
        <v>-6</v>
      </c>
      <c r="AB121">
        <f t="shared" si="25"/>
        <v>5</v>
      </c>
      <c r="AC121" s="10">
        <f t="shared" si="26"/>
        <v>4</v>
      </c>
      <c r="AD121" s="5">
        <f t="shared" si="18"/>
        <v>1</v>
      </c>
      <c r="AE121" s="5">
        <f t="shared" si="19"/>
        <v>0.64</v>
      </c>
      <c r="AF121" s="5">
        <f t="shared" si="27"/>
        <v>0.36</v>
      </c>
      <c r="AG121">
        <f>IF(B121&lt;&gt;"", COUNTIFS($B$2:B121, B121), "")</f>
        <v>2</v>
      </c>
      <c r="AH121">
        <f t="shared" si="28"/>
        <v>1</v>
      </c>
      <c r="AI121" t="str">
        <f>VLOOKUP(B121, Currency!A:B, 2, FALSE)</f>
        <v>INR</v>
      </c>
      <c r="AJ121">
        <f t="shared" si="20"/>
        <v>4</v>
      </c>
      <c r="AK121">
        <f t="shared" si="29"/>
        <v>6</v>
      </c>
      <c r="AL121" t="str">
        <f t="shared" si="30"/>
        <v>June</v>
      </c>
      <c r="AM121">
        <f t="shared" si="31"/>
        <v>2023</v>
      </c>
      <c r="AN121" t="str">
        <f t="shared" si="21"/>
        <v>30Prachin Chemicals_Vendor</v>
      </c>
      <c r="AO121">
        <f>IF(COUNTIF($AN$2:AN121, AN121)=1, 1, 0)</f>
        <v>0</v>
      </c>
      <c r="AP121" t="str">
        <f t="shared" si="32"/>
        <v>&lt;=3</v>
      </c>
      <c r="AQ121" t="str">
        <f t="shared" si="33"/>
        <v>&gt;3</v>
      </c>
      <c r="AR121" t="str">
        <f t="shared" si="34"/>
        <v>&gt;3</v>
      </c>
    </row>
    <row r="122" spans="1:44" x14ac:dyDescent="0.3">
      <c r="A122" t="s">
        <v>33</v>
      </c>
      <c r="B122" t="s">
        <v>366</v>
      </c>
      <c r="C122" t="s">
        <v>308</v>
      </c>
      <c r="D122">
        <v>2491</v>
      </c>
      <c r="E122">
        <v>23210297</v>
      </c>
      <c r="F122" t="s">
        <v>392</v>
      </c>
      <c r="G122" t="s">
        <v>393</v>
      </c>
      <c r="H122">
        <v>150</v>
      </c>
      <c r="I122">
        <v>11000</v>
      </c>
      <c r="J122">
        <v>1650000</v>
      </c>
      <c r="K122" t="str">
        <f>IFERROR(IF(B122&lt;&gt;"", TEXT(VLOOKUP(B122, 'Expected Date'!A:B, 2, FALSE) + DATE(RIGHT(C122,2),MID(C122,4,2),LEFT(C122,2)), "dd/mm/yy"), ""), "")</f>
        <v>12/06/23</v>
      </c>
      <c r="L122" t="s">
        <v>68</v>
      </c>
      <c r="M122" t="s">
        <v>48</v>
      </c>
      <c r="N122" t="s">
        <v>370</v>
      </c>
      <c r="O122" t="s">
        <v>162</v>
      </c>
      <c r="P122">
        <v>23290637</v>
      </c>
      <c r="Q122" t="s">
        <v>392</v>
      </c>
      <c r="R122" t="s">
        <v>393</v>
      </c>
      <c r="S122">
        <v>30.14</v>
      </c>
      <c r="T122">
        <v>11000</v>
      </c>
      <c r="U122">
        <v>331540</v>
      </c>
      <c r="V122" t="str">
        <f t="shared" si="35"/>
        <v>Accepted</v>
      </c>
      <c r="W122">
        <f>IFERROR(VLOOKUP(N122, Payment_Terms!A:B, 2, FALSE), "Payment term not found!")</f>
        <v>15</v>
      </c>
      <c r="X122" t="str">
        <f>IFERROR(VLOOKUP(R122, Item_Category!A:B, 2, FALSE), "Uncategorized")</f>
        <v>Coal materials</v>
      </c>
      <c r="Y122" s="5">
        <f t="shared" si="22"/>
        <v>0.60453333333333337</v>
      </c>
      <c r="Z122">
        <f t="shared" si="23"/>
        <v>1</v>
      </c>
      <c r="AA122">
        <f t="shared" si="24"/>
        <v>17</v>
      </c>
      <c r="AB122">
        <f t="shared" si="25"/>
        <v>1</v>
      </c>
      <c r="AC122" s="10">
        <f t="shared" si="26"/>
        <v>19</v>
      </c>
      <c r="AD122" s="5">
        <f t="shared" si="18"/>
        <v>1</v>
      </c>
      <c r="AE122" s="5">
        <f t="shared" si="19"/>
        <v>1</v>
      </c>
      <c r="AF122" s="5">
        <f t="shared" si="27"/>
        <v>0</v>
      </c>
      <c r="AG122">
        <f>IF(B122&lt;&gt;"", COUNTIFS($B$2:B122, B122), "")</f>
        <v>26</v>
      </c>
      <c r="AH122">
        <f t="shared" si="28"/>
        <v>5</v>
      </c>
      <c r="AI122" t="str">
        <f>VLOOKUP(B122, Currency!A:B, 2, FALSE)</f>
        <v>INR</v>
      </c>
      <c r="AJ122">
        <f t="shared" si="20"/>
        <v>3</v>
      </c>
      <c r="AK122">
        <f t="shared" si="29"/>
        <v>6</v>
      </c>
      <c r="AL122" t="str">
        <f t="shared" si="30"/>
        <v>June</v>
      </c>
      <c r="AM122">
        <f t="shared" si="31"/>
        <v>2023</v>
      </c>
      <c r="AN122" t="str">
        <f t="shared" si="21"/>
        <v>15SKYWIN ENTERPRISE</v>
      </c>
      <c r="AO122">
        <f>IF(COUNTIF($AN$2:AN122, AN122)=1, 1, 0)</f>
        <v>0</v>
      </c>
      <c r="AP122" t="str">
        <f t="shared" si="32"/>
        <v>&gt;3</v>
      </c>
      <c r="AQ122" t="str">
        <f t="shared" si="33"/>
        <v>&lt;=3</v>
      </c>
      <c r="AR122" t="str">
        <f t="shared" si="34"/>
        <v>&lt;=3</v>
      </c>
    </row>
    <row r="123" spans="1:44" x14ac:dyDescent="0.3">
      <c r="A123" t="s">
        <v>33</v>
      </c>
      <c r="B123" t="s">
        <v>371</v>
      </c>
      <c r="C123" t="s">
        <v>116</v>
      </c>
      <c r="D123">
        <v>3184</v>
      </c>
      <c r="E123">
        <v>23210431</v>
      </c>
      <c r="F123" t="s">
        <v>372</v>
      </c>
      <c r="G123" t="s">
        <v>373</v>
      </c>
      <c r="H123">
        <v>20</v>
      </c>
      <c r="I123">
        <v>750</v>
      </c>
      <c r="J123">
        <v>15000</v>
      </c>
      <c r="K123" t="str">
        <f>IFERROR(IF(B123&lt;&gt;"", TEXT(VLOOKUP(B123, 'Expected Date'!A:B, 2, FALSE) + DATE(RIGHT(C123,2),MID(C123,4,2),LEFT(C123,2)), "dd/mm/yy"), ""), "")</f>
        <v>23/07/23</v>
      </c>
      <c r="L123" t="s">
        <v>68</v>
      </c>
      <c r="M123" t="s">
        <v>48</v>
      </c>
      <c r="N123" t="s">
        <v>342</v>
      </c>
      <c r="O123" t="s">
        <v>475</v>
      </c>
      <c r="P123">
        <v>23290837</v>
      </c>
      <c r="Q123" t="s">
        <v>372</v>
      </c>
      <c r="R123" t="s">
        <v>373</v>
      </c>
      <c r="S123">
        <v>9.74</v>
      </c>
      <c r="T123">
        <v>750</v>
      </c>
      <c r="U123">
        <v>7305</v>
      </c>
      <c r="V123" t="str">
        <f t="shared" si="35"/>
        <v>Accepted</v>
      </c>
      <c r="W123">
        <f>IFERROR(VLOOKUP(N123, Payment_Terms!A:B, 2, FALSE), "Payment term not found!")</f>
        <v>30</v>
      </c>
      <c r="X123" t="str">
        <f>IFERROR(VLOOKUP(R123, Item_Category!A:B, 2, FALSE), "Uncategorized")</f>
        <v>HCL</v>
      </c>
      <c r="Y123" s="5">
        <f t="shared" si="22"/>
        <v>0.51300000000000001</v>
      </c>
      <c r="Z123">
        <f t="shared" si="23"/>
        <v>1</v>
      </c>
      <c r="AA123">
        <f t="shared" si="24"/>
        <v>-4</v>
      </c>
      <c r="AB123">
        <f t="shared" si="25"/>
        <v>5</v>
      </c>
      <c r="AC123" s="10">
        <f t="shared" si="26"/>
        <v>1</v>
      </c>
      <c r="AD123" s="5">
        <f t="shared" si="18"/>
        <v>1</v>
      </c>
      <c r="AE123" s="5">
        <f t="shared" si="19"/>
        <v>1</v>
      </c>
      <c r="AF123" s="5">
        <f t="shared" si="27"/>
        <v>0</v>
      </c>
      <c r="AG123">
        <f>IF(B123&lt;&gt;"", COUNTIFS($B$2:B123, B123), "")</f>
        <v>5</v>
      </c>
      <c r="AH123">
        <f t="shared" si="28"/>
        <v>5</v>
      </c>
      <c r="AI123" t="str">
        <f>VLOOKUP(B123, Currency!A:B, 2, FALSE)</f>
        <v>INR</v>
      </c>
      <c r="AJ123">
        <f t="shared" si="20"/>
        <v>4</v>
      </c>
      <c r="AK123">
        <f t="shared" si="29"/>
        <v>7</v>
      </c>
      <c r="AL123" t="str">
        <f t="shared" si="30"/>
        <v>July</v>
      </c>
      <c r="AM123">
        <f t="shared" si="31"/>
        <v>2023</v>
      </c>
      <c r="AN123" t="str">
        <f t="shared" si="21"/>
        <v>30SHREE ACID AND CHEMICALS</v>
      </c>
      <c r="AO123">
        <f>IF(COUNTIF($AN$2:AN123, AN123)=1, 1, 0)</f>
        <v>0</v>
      </c>
      <c r="AP123" t="str">
        <f t="shared" si="32"/>
        <v>&gt;3</v>
      </c>
      <c r="AQ123" t="str">
        <f t="shared" si="33"/>
        <v>&lt;=3</v>
      </c>
      <c r="AR123" t="str">
        <f t="shared" si="34"/>
        <v>&gt;3</v>
      </c>
    </row>
    <row r="124" spans="1:44" x14ac:dyDescent="0.3">
      <c r="A124" t="s">
        <v>111</v>
      </c>
      <c r="B124" t="s">
        <v>296</v>
      </c>
      <c r="C124" t="s">
        <v>374</v>
      </c>
      <c r="D124">
        <v>1251</v>
      </c>
      <c r="E124">
        <v>23210020</v>
      </c>
      <c r="F124" t="s">
        <v>445</v>
      </c>
      <c r="G124" t="s">
        <v>446</v>
      </c>
      <c r="H124">
        <v>12000</v>
      </c>
      <c r="I124">
        <v>205</v>
      </c>
      <c r="J124">
        <v>2460000</v>
      </c>
      <c r="K124" t="str">
        <f>IFERROR(IF(B124&lt;&gt;"", TEXT(VLOOKUP(B124, 'Expected Date'!A:B, 2, FALSE) + DATE(RIGHT(C124,2),MID(C124,4,2),LEFT(C124,2)), "dd/mm/yy"), ""), "")</f>
        <v>28/04/23</v>
      </c>
      <c r="L124" t="s">
        <v>38</v>
      </c>
      <c r="M124" t="s">
        <v>48</v>
      </c>
      <c r="N124" t="s">
        <v>381</v>
      </c>
      <c r="O124" t="s">
        <v>227</v>
      </c>
      <c r="P124">
        <v>23290866</v>
      </c>
      <c r="Q124" t="s">
        <v>445</v>
      </c>
      <c r="R124" t="s">
        <v>446</v>
      </c>
      <c r="S124">
        <v>2000</v>
      </c>
      <c r="T124">
        <v>205</v>
      </c>
      <c r="U124">
        <v>410000</v>
      </c>
      <c r="V124" t="str">
        <f t="shared" si="35"/>
        <v>Accepted</v>
      </c>
      <c r="W124">
        <f>IFERROR(VLOOKUP(N124, Payment_Terms!A:B, 2, FALSE), "Payment term not found!")</f>
        <v>30</v>
      </c>
      <c r="X124" t="str">
        <f>IFERROR(VLOOKUP(R124, Item_Category!A:B, 2, FALSE), "Uncategorized")</f>
        <v>SSG - Potato</v>
      </c>
      <c r="Y124" s="5">
        <f t="shared" si="22"/>
        <v>0</v>
      </c>
      <c r="Z124">
        <f t="shared" si="23"/>
        <v>5</v>
      </c>
      <c r="AA124">
        <f t="shared" si="24"/>
        <v>88</v>
      </c>
      <c r="AB124">
        <f t="shared" si="25"/>
        <v>1</v>
      </c>
      <c r="AC124" s="10">
        <f t="shared" si="26"/>
        <v>103</v>
      </c>
      <c r="AD124" s="5">
        <f t="shared" si="18"/>
        <v>1</v>
      </c>
      <c r="AE124" s="5">
        <f t="shared" si="19"/>
        <v>1</v>
      </c>
      <c r="AF124" s="5">
        <f t="shared" si="27"/>
        <v>0</v>
      </c>
      <c r="AG124">
        <f>IF(B124&lt;&gt;"", COUNTIFS($B$2:B124, B124), "")</f>
        <v>4</v>
      </c>
      <c r="AH124">
        <f t="shared" si="28"/>
        <v>5</v>
      </c>
      <c r="AI124" t="str">
        <f>VLOOKUP(B124, Currency!A:B, 2, FALSE)</f>
        <v>INR</v>
      </c>
      <c r="AJ124">
        <f t="shared" si="20"/>
        <v>4</v>
      </c>
      <c r="AK124">
        <f t="shared" si="29"/>
        <v>4</v>
      </c>
      <c r="AL124" t="str">
        <f t="shared" si="30"/>
        <v>April</v>
      </c>
      <c r="AM124">
        <f t="shared" si="31"/>
        <v>2023</v>
      </c>
      <c r="AN124" t="str">
        <f t="shared" si="21"/>
        <v>30Ascot Pharmachem Pvt Ltd</v>
      </c>
      <c r="AO124">
        <f>IF(COUNTIF($AN$2:AN124, AN124)=1, 1, 0)</f>
        <v>0</v>
      </c>
      <c r="AP124" t="str">
        <f t="shared" si="32"/>
        <v>&gt;3</v>
      </c>
      <c r="AQ124" t="str">
        <f t="shared" si="33"/>
        <v>&gt;3</v>
      </c>
      <c r="AR124" t="str">
        <f t="shared" si="34"/>
        <v>&lt;=3</v>
      </c>
    </row>
    <row r="125" spans="1:44" x14ac:dyDescent="0.3">
      <c r="A125" t="s">
        <v>33</v>
      </c>
      <c r="B125" t="s">
        <v>122</v>
      </c>
      <c r="C125" t="s">
        <v>192</v>
      </c>
      <c r="D125">
        <v>3695</v>
      </c>
      <c r="E125">
        <v>23210540</v>
      </c>
      <c r="F125" t="s">
        <v>405</v>
      </c>
      <c r="G125" t="s">
        <v>406</v>
      </c>
      <c r="H125">
        <v>600</v>
      </c>
      <c r="I125">
        <v>930</v>
      </c>
      <c r="J125">
        <v>558000</v>
      </c>
      <c r="K125" t="str">
        <f>IFERROR(IF(B125&lt;&gt;"", TEXT(VLOOKUP(B125, 'Expected Date'!A:B, 2, FALSE) + DATE(RIGHT(C125,2),MID(C125,4,2),LEFT(C125,2)), "dd/mm/yy"), ""), "")</f>
        <v>29/08/23</v>
      </c>
      <c r="L125" t="s">
        <v>38</v>
      </c>
      <c r="M125" t="s">
        <v>39</v>
      </c>
      <c r="N125" t="s">
        <v>364</v>
      </c>
      <c r="O125" t="s">
        <v>476</v>
      </c>
      <c r="P125">
        <v>23291082</v>
      </c>
      <c r="Q125" t="s">
        <v>405</v>
      </c>
      <c r="R125" t="s">
        <v>406</v>
      </c>
      <c r="S125">
        <v>130</v>
      </c>
      <c r="T125">
        <v>930</v>
      </c>
      <c r="U125">
        <v>120900</v>
      </c>
      <c r="V125" t="str">
        <f t="shared" si="35"/>
        <v>Accepted</v>
      </c>
      <c r="W125">
        <f>IFERROR(VLOOKUP(N125, Payment_Terms!A:B, 2, FALSE), "Payment term not found!")</f>
        <v>30</v>
      </c>
      <c r="X125" t="str">
        <f>IFERROR(VLOOKUP(R125, Item_Category!A:B, 2, FALSE), "Uncategorized")</f>
        <v>Pallets</v>
      </c>
      <c r="Y125" s="5">
        <f t="shared" si="22"/>
        <v>0</v>
      </c>
      <c r="Z125">
        <f t="shared" si="23"/>
        <v>5</v>
      </c>
      <c r="AA125">
        <f t="shared" si="24"/>
        <v>-14</v>
      </c>
      <c r="AB125">
        <f t="shared" si="25"/>
        <v>5</v>
      </c>
      <c r="AC125" s="10">
        <f t="shared" si="26"/>
        <v>1</v>
      </c>
      <c r="AD125" s="5">
        <f t="shared" si="18"/>
        <v>1</v>
      </c>
      <c r="AE125" s="5">
        <f t="shared" si="19"/>
        <v>1</v>
      </c>
      <c r="AF125" s="5">
        <f t="shared" si="27"/>
        <v>0</v>
      </c>
      <c r="AG125">
        <f>IF(B125&lt;&gt;"", COUNTIFS($B$2:B125, B125), "")</f>
        <v>15</v>
      </c>
      <c r="AH125">
        <f t="shared" si="28"/>
        <v>5</v>
      </c>
      <c r="AI125" t="str">
        <f>VLOOKUP(B125, Currency!A:B, 2, FALSE)</f>
        <v>INR</v>
      </c>
      <c r="AJ125">
        <f t="shared" si="20"/>
        <v>5</v>
      </c>
      <c r="AK125">
        <f t="shared" si="29"/>
        <v>8</v>
      </c>
      <c r="AL125" t="str">
        <f t="shared" si="30"/>
        <v>August</v>
      </c>
      <c r="AM125">
        <f t="shared" si="31"/>
        <v>2023</v>
      </c>
      <c r="AN125" t="str">
        <f t="shared" si="21"/>
        <v>30Plastocon Industries Pvt Ltd</v>
      </c>
      <c r="AO125">
        <f>IF(COUNTIF($AN$2:AN125, AN125)=1, 1, 0)</f>
        <v>0</v>
      </c>
      <c r="AP125" t="str">
        <f t="shared" si="32"/>
        <v>&gt;3</v>
      </c>
      <c r="AQ125" t="str">
        <f t="shared" si="33"/>
        <v>&gt;3</v>
      </c>
      <c r="AR125" t="str">
        <f t="shared" si="34"/>
        <v>&gt;3</v>
      </c>
    </row>
    <row r="126" spans="1:44" x14ac:dyDescent="0.3">
      <c r="A126" t="s">
        <v>33</v>
      </c>
      <c r="B126" t="s">
        <v>395</v>
      </c>
      <c r="C126" t="s">
        <v>397</v>
      </c>
      <c r="D126">
        <v>1554</v>
      </c>
      <c r="E126">
        <v>23210090</v>
      </c>
      <c r="F126" t="s">
        <v>368</v>
      </c>
      <c r="G126" t="s">
        <v>369</v>
      </c>
      <c r="H126">
        <v>50000</v>
      </c>
      <c r="I126">
        <v>8.1199999999999992</v>
      </c>
      <c r="J126">
        <v>406000</v>
      </c>
      <c r="K126" t="str">
        <f>IFERROR(IF(B126&lt;&gt;"", TEXT(VLOOKUP(B126, 'Expected Date'!A:B, 2, FALSE) + DATE(RIGHT(C126,2),MID(C126,4,2),LEFT(C126,2)), "dd/mm/yy"), ""), "")</f>
        <v>10/04/23</v>
      </c>
      <c r="L126" t="s">
        <v>68</v>
      </c>
      <c r="M126" t="s">
        <v>48</v>
      </c>
      <c r="N126" t="s">
        <v>370</v>
      </c>
      <c r="O126" t="s">
        <v>396</v>
      </c>
      <c r="P126">
        <v>23290149</v>
      </c>
      <c r="Q126" t="s">
        <v>368</v>
      </c>
      <c r="R126" t="s">
        <v>369</v>
      </c>
      <c r="S126">
        <v>37750</v>
      </c>
      <c r="T126">
        <v>8.1199999999999992</v>
      </c>
      <c r="U126">
        <v>306530</v>
      </c>
      <c r="V126" t="str">
        <f t="shared" si="35"/>
        <v>Accepted</v>
      </c>
      <c r="W126">
        <f>IFERROR(VLOOKUP(N126, Payment_Terms!A:B, 2, FALSE), "Payment term not found!")</f>
        <v>15</v>
      </c>
      <c r="X126" t="str">
        <f>IFERROR(VLOOKUP(R126, Item_Category!A:B, 2, FALSE), "Uncategorized")</f>
        <v>Coal materials</v>
      </c>
      <c r="Y126" s="5">
        <f t="shared" si="22"/>
        <v>0.245</v>
      </c>
      <c r="Z126">
        <f t="shared" si="23"/>
        <v>1</v>
      </c>
      <c r="AA126">
        <f t="shared" si="24"/>
        <v>-3</v>
      </c>
      <c r="AB126">
        <f t="shared" si="25"/>
        <v>5</v>
      </c>
      <c r="AC126" s="10">
        <f t="shared" si="26"/>
        <v>2</v>
      </c>
      <c r="AD126" s="5">
        <f t="shared" si="18"/>
        <v>1</v>
      </c>
      <c r="AE126" s="5">
        <f t="shared" si="19"/>
        <v>1</v>
      </c>
      <c r="AF126" s="5">
        <f t="shared" si="27"/>
        <v>0</v>
      </c>
      <c r="AG126">
        <f>IF(B126&lt;&gt;"", COUNTIFS($B$2:B126, B126), "")</f>
        <v>13</v>
      </c>
      <c r="AH126">
        <f t="shared" si="28"/>
        <v>5</v>
      </c>
      <c r="AI126" t="str">
        <f>VLOOKUP(B126, Currency!A:B, 2, FALSE)</f>
        <v>INR</v>
      </c>
      <c r="AJ126">
        <f t="shared" si="20"/>
        <v>4</v>
      </c>
      <c r="AK126">
        <f t="shared" si="29"/>
        <v>4</v>
      </c>
      <c r="AL126" t="str">
        <f t="shared" si="30"/>
        <v>April</v>
      </c>
      <c r="AM126">
        <f t="shared" si="31"/>
        <v>2023</v>
      </c>
      <c r="AN126" t="str">
        <f t="shared" si="21"/>
        <v>15Crystal coal corporation</v>
      </c>
      <c r="AO126">
        <f>IF(COUNTIF($AN$2:AN126, AN126)=1, 1, 0)</f>
        <v>0</v>
      </c>
      <c r="AP126" t="str">
        <f t="shared" si="32"/>
        <v>&gt;3</v>
      </c>
      <c r="AQ126" t="str">
        <f t="shared" si="33"/>
        <v>&lt;=3</v>
      </c>
      <c r="AR126" t="str">
        <f t="shared" si="34"/>
        <v>&gt;3</v>
      </c>
    </row>
    <row r="127" spans="1:44" x14ac:dyDescent="0.3">
      <c r="A127" t="s">
        <v>33</v>
      </c>
      <c r="B127" t="s">
        <v>366</v>
      </c>
      <c r="C127" t="s">
        <v>378</v>
      </c>
      <c r="D127">
        <v>1347</v>
      </c>
      <c r="E127">
        <v>23210035</v>
      </c>
      <c r="F127" t="s">
        <v>368</v>
      </c>
      <c r="G127" t="s">
        <v>369</v>
      </c>
      <c r="H127">
        <v>100000</v>
      </c>
      <c r="I127">
        <v>8.6</v>
      </c>
      <c r="J127">
        <v>860000</v>
      </c>
      <c r="K127" t="str">
        <f>IFERROR(IF(B127&lt;&gt;"", TEXT(VLOOKUP(B127, 'Expected Date'!A:B, 2, FALSE) + DATE(RIGHT(C127,2),MID(C127,4,2),LEFT(C127,2)), "dd/mm/yy"), ""), "")</f>
        <v>17/04/23</v>
      </c>
      <c r="L127" t="s">
        <v>38</v>
      </c>
      <c r="M127" t="s">
        <v>48</v>
      </c>
      <c r="N127" t="s">
        <v>370</v>
      </c>
      <c r="O127" t="s">
        <v>41</v>
      </c>
      <c r="P127">
        <v>23290166</v>
      </c>
      <c r="Q127" t="s">
        <v>368</v>
      </c>
      <c r="R127" t="s">
        <v>369</v>
      </c>
      <c r="S127">
        <v>35070</v>
      </c>
      <c r="T127">
        <v>8.6</v>
      </c>
      <c r="U127">
        <v>301602</v>
      </c>
      <c r="V127" t="str">
        <f t="shared" si="35"/>
        <v>Accepted</v>
      </c>
      <c r="W127">
        <f>IFERROR(VLOOKUP(N127, Payment_Terms!A:B, 2, FALSE), "Payment term not found!")</f>
        <v>15</v>
      </c>
      <c r="X127" t="str">
        <f>IFERROR(VLOOKUP(R127, Item_Category!A:B, 2, FALSE), "Uncategorized")</f>
        <v>Coal materials</v>
      </c>
      <c r="Y127" s="5">
        <f t="shared" si="22"/>
        <v>0</v>
      </c>
      <c r="Z127">
        <f t="shared" si="23"/>
        <v>5</v>
      </c>
      <c r="AA127">
        <f t="shared" si="24"/>
        <v>12</v>
      </c>
      <c r="AB127">
        <f t="shared" si="25"/>
        <v>1</v>
      </c>
      <c r="AC127" s="10">
        <f t="shared" si="26"/>
        <v>14</v>
      </c>
      <c r="AD127" s="5">
        <f t="shared" si="18"/>
        <v>1</v>
      </c>
      <c r="AE127" s="5">
        <f t="shared" si="19"/>
        <v>1</v>
      </c>
      <c r="AF127" s="5">
        <f t="shared" si="27"/>
        <v>0</v>
      </c>
      <c r="AG127">
        <f>IF(B127&lt;&gt;"", COUNTIFS($B$2:B127, B127), "")</f>
        <v>27</v>
      </c>
      <c r="AH127">
        <f t="shared" si="28"/>
        <v>5</v>
      </c>
      <c r="AI127" t="str">
        <f>VLOOKUP(B127, Currency!A:B, 2, FALSE)</f>
        <v>INR</v>
      </c>
      <c r="AJ127">
        <f t="shared" si="20"/>
        <v>4</v>
      </c>
      <c r="AK127">
        <f t="shared" si="29"/>
        <v>4</v>
      </c>
      <c r="AL127" t="str">
        <f t="shared" si="30"/>
        <v>April</v>
      </c>
      <c r="AM127">
        <f t="shared" si="31"/>
        <v>2023</v>
      </c>
      <c r="AN127" t="str">
        <f t="shared" si="21"/>
        <v>15SKYWIN ENTERPRISE</v>
      </c>
      <c r="AO127">
        <f>IF(COUNTIF($AN$2:AN127, AN127)=1, 1, 0)</f>
        <v>0</v>
      </c>
      <c r="AP127" t="str">
        <f t="shared" si="32"/>
        <v>&gt;3</v>
      </c>
      <c r="AQ127" t="str">
        <f t="shared" si="33"/>
        <v>&gt;3</v>
      </c>
      <c r="AR127" t="str">
        <f t="shared" si="34"/>
        <v>&lt;=3</v>
      </c>
    </row>
    <row r="128" spans="1:44" x14ac:dyDescent="0.3">
      <c r="A128" t="s">
        <v>33</v>
      </c>
      <c r="B128" t="s">
        <v>122</v>
      </c>
      <c r="C128" t="s">
        <v>404</v>
      </c>
      <c r="D128">
        <v>1611</v>
      </c>
      <c r="E128">
        <v>23210100</v>
      </c>
      <c r="F128" t="s">
        <v>405</v>
      </c>
      <c r="G128" t="s">
        <v>406</v>
      </c>
      <c r="H128">
        <v>600</v>
      </c>
      <c r="I128">
        <v>930</v>
      </c>
      <c r="J128">
        <v>558000</v>
      </c>
      <c r="K128" t="str">
        <f>IFERROR(IF(B128&lt;&gt;"", TEXT(VLOOKUP(B128, 'Expected Date'!A:B, 2, FALSE) + DATE(RIGHT(C128,2),MID(C128,4,2),LEFT(C128,2)), "dd/mm/yy"), ""), "")</f>
        <v>13/05/23</v>
      </c>
      <c r="L128" t="s">
        <v>38</v>
      </c>
      <c r="M128" t="s">
        <v>39</v>
      </c>
      <c r="N128" t="s">
        <v>364</v>
      </c>
      <c r="O128" t="s">
        <v>222</v>
      </c>
      <c r="P128">
        <v>23290332</v>
      </c>
      <c r="Q128" t="s">
        <v>405</v>
      </c>
      <c r="R128" t="s">
        <v>406</v>
      </c>
      <c r="S128">
        <v>100</v>
      </c>
      <c r="T128">
        <v>930</v>
      </c>
      <c r="U128">
        <v>93000</v>
      </c>
      <c r="V128" t="str">
        <f t="shared" si="35"/>
        <v>Accepted</v>
      </c>
      <c r="W128">
        <f>IFERROR(VLOOKUP(N128, Payment_Terms!A:B, 2, FALSE), "Payment term not found!")</f>
        <v>30</v>
      </c>
      <c r="X128" t="str">
        <f>IFERROR(VLOOKUP(R128, Item_Category!A:B, 2, FALSE), "Uncategorized")</f>
        <v>Pallets</v>
      </c>
      <c r="Y128" s="5">
        <f t="shared" si="22"/>
        <v>0</v>
      </c>
      <c r="Z128">
        <f t="shared" si="23"/>
        <v>5</v>
      </c>
      <c r="AA128">
        <f t="shared" si="24"/>
        <v>6</v>
      </c>
      <c r="AB128">
        <f t="shared" si="25"/>
        <v>3</v>
      </c>
      <c r="AC128" s="10">
        <f t="shared" si="26"/>
        <v>21</v>
      </c>
      <c r="AD128" s="5">
        <f t="shared" si="18"/>
        <v>1</v>
      </c>
      <c r="AE128" s="5">
        <f t="shared" si="19"/>
        <v>1</v>
      </c>
      <c r="AF128" s="5">
        <f t="shared" si="27"/>
        <v>0</v>
      </c>
      <c r="AG128">
        <f>IF(B128&lt;&gt;"", COUNTIFS($B$2:B128, B128), "")</f>
        <v>16</v>
      </c>
      <c r="AH128">
        <f t="shared" si="28"/>
        <v>5</v>
      </c>
      <c r="AI128" t="str">
        <f>VLOOKUP(B128, Currency!A:B, 2, FALSE)</f>
        <v>INR</v>
      </c>
      <c r="AJ128">
        <f t="shared" si="20"/>
        <v>5</v>
      </c>
      <c r="AK128">
        <f t="shared" si="29"/>
        <v>4</v>
      </c>
      <c r="AL128" t="str">
        <f t="shared" si="30"/>
        <v>April</v>
      </c>
      <c r="AM128">
        <f t="shared" si="31"/>
        <v>2023</v>
      </c>
      <c r="AN128" t="str">
        <f t="shared" si="21"/>
        <v>30Plastocon Industries Pvt Ltd</v>
      </c>
      <c r="AO128">
        <f>IF(COUNTIF($AN$2:AN128, AN128)=1, 1, 0)</f>
        <v>0</v>
      </c>
      <c r="AP128" t="str">
        <f t="shared" si="32"/>
        <v>&gt;3</v>
      </c>
      <c r="AQ128" t="str">
        <f t="shared" si="33"/>
        <v>&gt;3</v>
      </c>
      <c r="AR128" t="str">
        <f t="shared" si="34"/>
        <v>&lt;=3</v>
      </c>
    </row>
    <row r="129" spans="1:44" x14ac:dyDescent="0.3">
      <c r="A129" t="s">
        <v>33</v>
      </c>
      <c r="B129" t="s">
        <v>122</v>
      </c>
      <c r="C129" t="s">
        <v>324</v>
      </c>
      <c r="D129">
        <v>2545</v>
      </c>
      <c r="E129">
        <v>23210316</v>
      </c>
      <c r="F129" t="s">
        <v>362</v>
      </c>
      <c r="G129" t="s">
        <v>363</v>
      </c>
      <c r="H129">
        <v>400</v>
      </c>
      <c r="I129">
        <v>1900</v>
      </c>
      <c r="J129">
        <v>760000</v>
      </c>
      <c r="K129" t="str">
        <f>IFERROR(IF(B129&lt;&gt;"", TEXT(VLOOKUP(B129, 'Expected Date'!A:B, 2, FALSE) + DATE(RIGHT(C129,2),MID(C129,4,2),LEFT(C129,2)), "dd/mm/yy"), ""), "")</f>
        <v>05/07/23</v>
      </c>
      <c r="L129" t="s">
        <v>38</v>
      </c>
      <c r="M129" t="s">
        <v>39</v>
      </c>
      <c r="N129" t="s">
        <v>364</v>
      </c>
      <c r="O129" t="s">
        <v>72</v>
      </c>
      <c r="P129">
        <v>23290554</v>
      </c>
      <c r="Q129" t="s">
        <v>362</v>
      </c>
      <c r="R129" t="s">
        <v>363</v>
      </c>
      <c r="S129">
        <v>70</v>
      </c>
      <c r="T129">
        <v>1900</v>
      </c>
      <c r="U129">
        <v>133000</v>
      </c>
      <c r="V129" t="str">
        <f t="shared" si="35"/>
        <v>Accepted</v>
      </c>
      <c r="W129">
        <f>IFERROR(VLOOKUP(N129, Payment_Terms!A:B, 2, FALSE), "Payment term not found!")</f>
        <v>30</v>
      </c>
      <c r="X129" t="str">
        <f>IFERROR(VLOOKUP(R129, Item_Category!A:B, 2, FALSE), "Uncategorized")</f>
        <v>Pallets</v>
      </c>
      <c r="Y129" s="5">
        <f t="shared" si="22"/>
        <v>0</v>
      </c>
      <c r="Z129">
        <f t="shared" si="23"/>
        <v>5</v>
      </c>
      <c r="AA129">
        <f t="shared" si="24"/>
        <v>-12</v>
      </c>
      <c r="AB129">
        <f t="shared" si="25"/>
        <v>5</v>
      </c>
      <c r="AC129" s="10">
        <f t="shared" si="26"/>
        <v>3</v>
      </c>
      <c r="AD129" s="5">
        <f t="shared" si="18"/>
        <v>1</v>
      </c>
      <c r="AE129" s="5">
        <f t="shared" si="19"/>
        <v>1</v>
      </c>
      <c r="AF129" s="5">
        <f t="shared" si="27"/>
        <v>0</v>
      </c>
      <c r="AG129">
        <f>IF(B129&lt;&gt;"", COUNTIFS($B$2:B129, B129), "")</f>
        <v>17</v>
      </c>
      <c r="AH129">
        <f t="shared" si="28"/>
        <v>5</v>
      </c>
      <c r="AI129" t="str">
        <f>VLOOKUP(B129, Currency!A:B, 2, FALSE)</f>
        <v>INR</v>
      </c>
      <c r="AJ129">
        <f t="shared" si="20"/>
        <v>5</v>
      </c>
      <c r="AK129">
        <f t="shared" si="29"/>
        <v>6</v>
      </c>
      <c r="AL129" t="str">
        <f t="shared" si="30"/>
        <v>June</v>
      </c>
      <c r="AM129">
        <f t="shared" si="31"/>
        <v>2023</v>
      </c>
      <c r="AN129" t="str">
        <f t="shared" si="21"/>
        <v>30Plastocon Industries Pvt Ltd</v>
      </c>
      <c r="AO129">
        <f>IF(COUNTIF($AN$2:AN129, AN129)=1, 1, 0)</f>
        <v>0</v>
      </c>
      <c r="AP129" t="str">
        <f t="shared" si="32"/>
        <v>&gt;3</v>
      </c>
      <c r="AQ129" t="str">
        <f t="shared" si="33"/>
        <v>&gt;3</v>
      </c>
      <c r="AR129" t="str">
        <f t="shared" si="34"/>
        <v>&gt;3</v>
      </c>
    </row>
    <row r="130" spans="1:44" x14ac:dyDescent="0.3">
      <c r="A130" t="s">
        <v>33</v>
      </c>
      <c r="B130" t="s">
        <v>347</v>
      </c>
      <c r="C130" t="s">
        <v>275</v>
      </c>
      <c r="D130">
        <v>2411</v>
      </c>
      <c r="E130">
        <v>23210270</v>
      </c>
      <c r="F130" t="s">
        <v>349</v>
      </c>
      <c r="G130" t="s">
        <v>350</v>
      </c>
      <c r="H130">
        <v>24</v>
      </c>
      <c r="I130">
        <v>45070</v>
      </c>
      <c r="J130">
        <v>1081680</v>
      </c>
      <c r="K130" t="str">
        <f>IFERROR(IF(B130&lt;&gt;"", TEXT(VLOOKUP(B130, 'Expected Date'!A:B, 2, FALSE) + DATE(RIGHT(C130,2),MID(C130,4,2),LEFT(C130,2)), "dd/mm/yy"), ""), "")</f>
        <v>13/06/23</v>
      </c>
      <c r="L130" t="s">
        <v>68</v>
      </c>
      <c r="M130" t="s">
        <v>48</v>
      </c>
      <c r="N130" t="s">
        <v>351</v>
      </c>
      <c r="O130" t="s">
        <v>329</v>
      </c>
      <c r="P130">
        <v>23290590</v>
      </c>
      <c r="Q130" t="s">
        <v>349</v>
      </c>
      <c r="R130" t="s">
        <v>350</v>
      </c>
      <c r="S130">
        <v>23.51</v>
      </c>
      <c r="T130">
        <v>45070</v>
      </c>
      <c r="U130">
        <v>1059595.7</v>
      </c>
      <c r="V130" t="str">
        <f t="shared" si="35"/>
        <v>Accepted</v>
      </c>
      <c r="W130">
        <f>IFERROR(VLOOKUP(N130, Payment_Terms!A:B, 2, FALSE), "Payment term not found!")</f>
        <v>0</v>
      </c>
      <c r="X130" t="str">
        <f>IFERROR(VLOOKUP(R130, Item_Category!A:B, 2, FALSE), "Uncategorized")</f>
        <v>Oil</v>
      </c>
      <c r="Y130" s="5">
        <f t="shared" si="22"/>
        <v>2.04166666666666E-2</v>
      </c>
      <c r="Z130">
        <f t="shared" si="23"/>
        <v>3</v>
      </c>
      <c r="AA130">
        <f t="shared" si="24"/>
        <v>12</v>
      </c>
      <c r="AB130">
        <f t="shared" si="25"/>
        <v>1</v>
      </c>
      <c r="AC130" s="10">
        <f t="shared" si="26"/>
        <v>13</v>
      </c>
      <c r="AD130" s="5">
        <f t="shared" ref="AD130:AD193" si="36">IF(V130="Accepted",1,0)</f>
        <v>1</v>
      </c>
      <c r="AE130" s="5">
        <f t="shared" ref="AE130:AE193" si="37">ROUNDUP((SUMIFS(S:S, B:B, B130, V:V, "Accepted")/SUMIF(B:B,B130,S:S)),2)</f>
        <v>1</v>
      </c>
      <c r="AF130" s="5">
        <f t="shared" si="27"/>
        <v>0</v>
      </c>
      <c r="AG130">
        <f>IF(B130&lt;&gt;"", COUNTIFS($B$2:B130, B130), "")</f>
        <v>5</v>
      </c>
      <c r="AH130">
        <f t="shared" si="28"/>
        <v>5</v>
      </c>
      <c r="AI130" t="str">
        <f>VLOOKUP(B130, Currency!A:B, 2, FALSE)</f>
        <v>INR</v>
      </c>
      <c r="AJ130">
        <f t="shared" ref="AJ130:AJ193" si="38">_xlfn.CEILING.MATH(((0.4*AH130)+(0.3*Z130)+(0.3*AB130)),1)</f>
        <v>4</v>
      </c>
      <c r="AK130">
        <f t="shared" si="29"/>
        <v>6</v>
      </c>
      <c r="AL130" t="str">
        <f t="shared" si="30"/>
        <v>June</v>
      </c>
      <c r="AM130">
        <f t="shared" si="31"/>
        <v>2023</v>
      </c>
      <c r="AN130" t="str">
        <f t="shared" ref="AN130:AN193" si="39">W130&amp;B130</f>
        <v>0Bharat Petroleum Corporation Ltd</v>
      </c>
      <c r="AO130">
        <f>IF(COUNTIF($AN$2:AN130, AN130)=1, 1, 0)</f>
        <v>0</v>
      </c>
      <c r="AP130" t="str">
        <f t="shared" si="32"/>
        <v>&gt;3</v>
      </c>
      <c r="AQ130" t="str">
        <f t="shared" si="33"/>
        <v>&lt;=3</v>
      </c>
      <c r="AR130" t="str">
        <f t="shared" si="34"/>
        <v>&lt;=3</v>
      </c>
    </row>
    <row r="131" spans="1:44" x14ac:dyDescent="0.3">
      <c r="A131" t="s">
        <v>33</v>
      </c>
      <c r="B131" t="s">
        <v>347</v>
      </c>
      <c r="C131" t="s">
        <v>439</v>
      </c>
      <c r="D131">
        <v>1409</v>
      </c>
      <c r="E131">
        <v>23210048</v>
      </c>
      <c r="F131" t="s">
        <v>349</v>
      </c>
      <c r="G131" t="s">
        <v>350</v>
      </c>
      <c r="H131">
        <v>24</v>
      </c>
      <c r="I131">
        <v>46610</v>
      </c>
      <c r="J131">
        <v>1118640</v>
      </c>
      <c r="K131" t="str">
        <f>IFERROR(IF(B131&lt;&gt;"", TEXT(VLOOKUP(B131, 'Expected Date'!A:B, 2, FALSE) + DATE(RIGHT(C131,2),MID(C131,4,2),LEFT(C131,2)), "dd/mm/yy"), ""), "")</f>
        <v>21/04/23</v>
      </c>
      <c r="L131" t="s">
        <v>68</v>
      </c>
      <c r="M131" t="s">
        <v>48</v>
      </c>
      <c r="N131" t="s">
        <v>351</v>
      </c>
      <c r="O131" t="s">
        <v>35</v>
      </c>
      <c r="P131">
        <v>23290147</v>
      </c>
      <c r="Q131" t="s">
        <v>349</v>
      </c>
      <c r="R131" t="s">
        <v>350</v>
      </c>
      <c r="S131">
        <v>23.95</v>
      </c>
      <c r="T131">
        <v>46610</v>
      </c>
      <c r="U131">
        <v>1116309.5</v>
      </c>
      <c r="V131" t="str">
        <f t="shared" si="35"/>
        <v>Accepted</v>
      </c>
      <c r="W131">
        <f>IFERROR(VLOOKUP(N131, Payment_Terms!A:B, 2, FALSE), "Payment term not found!")</f>
        <v>0</v>
      </c>
      <c r="X131" t="str">
        <f>IFERROR(VLOOKUP(R131, Item_Category!A:B, 2, FALSE), "Uncategorized")</f>
        <v>Oil</v>
      </c>
      <c r="Y131" s="5">
        <f t="shared" ref="Y131:Y169" si="40">IFERROR(IF(AND(E131&lt;&gt;"", G131&lt;&gt;""), MAX(0, (H131-SUMIFS(S:S, E:E, E131, G:G, G131))/H131), ""), (H131-S131)/H131)</f>
        <v>2.0833333333333628E-3</v>
      </c>
      <c r="Z131">
        <f t="shared" ref="Z131:Z194" si="41">IF(Y131&lt;=0%,5,(IF(AND(Y131&gt;0%,Y131&lt;=2%),4,IF(AND(Y131&gt;2%,Y131&lt;=5%),3,IF(AND(Y131&gt;5%,Y131&lt;10%),2,1)))))</f>
        <v>4</v>
      </c>
      <c r="AA131">
        <f t="shared" ref="AA131:AA194" si="42">DATE(RIGHT(O131,2),MID(O131,4,2),LEFT(O131,2)) - DATE(RIGHT(K131,2),MID(K131,4,2),LEFT(K131,2))</f>
        <v>6</v>
      </c>
      <c r="AB131">
        <f t="shared" ref="AB131:AB194" si="43">IF(AA131 &lt;= 2, 5, IF(AA131 &lt;= 4, 4, IF(AA131 &lt;= 7, 3, IF(AA131&lt;=10,2,1))))</f>
        <v>3</v>
      </c>
      <c r="AC131" s="10">
        <f t="shared" ref="AC131:AC194" si="44">ABS(DATE(RIGHT(O131,2),MID(O131,4,2),LEFT(O131,2)) - DATE(RIGHT(C131,2),MID(C131,4,2),LEFT(C131,2)))</f>
        <v>7</v>
      </c>
      <c r="AD131" s="5">
        <f t="shared" si="36"/>
        <v>1</v>
      </c>
      <c r="AE131" s="5">
        <f t="shared" si="37"/>
        <v>1</v>
      </c>
      <c r="AF131" s="5">
        <f t="shared" ref="AF131:AF194" si="45">ROUNDUP(ABS(100%-AE131),2)</f>
        <v>0</v>
      </c>
      <c r="AG131">
        <f>IF(B131&lt;&gt;"", COUNTIFS($B$2:B131, B131), "")</f>
        <v>6</v>
      </c>
      <c r="AH131">
        <f t="shared" ref="AH131:AH194" si="46">IF(AF131=0%,5,IF(AND(AF131&gt;0%,AF131&lt;=2%),4,IF(AND(AF131&gt;2%,AF131&lt;=5%),3,IF(AND(AF131&gt;5%,AF131&lt;10%),2,1))))</f>
        <v>5</v>
      </c>
      <c r="AI131" t="str">
        <f>VLOOKUP(B131, Currency!A:B, 2, FALSE)</f>
        <v>INR</v>
      </c>
      <c r="AJ131">
        <f t="shared" si="38"/>
        <v>5</v>
      </c>
      <c r="AK131">
        <f t="shared" ref="AK131:AK194" si="47">MONTH(DATE(RIGHT(C131,2),MID(C131,4,2),LEFT(C131,2)))</f>
        <v>4</v>
      </c>
      <c r="AL131" t="str">
        <f t="shared" ref="AL131:AL194" si="48">TEXT(DATE(RIGHT(C131,2),MID(C131,4,2),LEFT(C131,2)),"mmmm")</f>
        <v>April</v>
      </c>
      <c r="AM131">
        <f t="shared" ref="AM131:AM194" si="49">YEAR(DATE(VALUE(MID(C131,7,2))+2000, MID(C131,4,2), MID(C131,1,2)))</f>
        <v>2023</v>
      </c>
      <c r="AN131" t="str">
        <f t="shared" si="39"/>
        <v>0Bharat Petroleum Corporation Ltd</v>
      </c>
      <c r="AO131">
        <f>IF(COUNTIF($AN$2:AN131, AN131)=1, 1, 0)</f>
        <v>0</v>
      </c>
      <c r="AP131" t="str">
        <f t="shared" ref="AP131:AP194" si="50">IF(AH131&lt;=3,"&lt;=3","&gt;3")</f>
        <v>&gt;3</v>
      </c>
      <c r="AQ131" t="str">
        <f t="shared" ref="AQ131:AQ194" si="51">IF(Z131&lt;=3,"&lt;=3","&gt;3")</f>
        <v>&gt;3</v>
      </c>
      <c r="AR131" t="str">
        <f t="shared" ref="AR131:AR194" si="52">IF(AB131&lt;=3,"&lt;=3","&gt;3")</f>
        <v>&lt;=3</v>
      </c>
    </row>
    <row r="132" spans="1:44" x14ac:dyDescent="0.3">
      <c r="A132" t="s">
        <v>33</v>
      </c>
      <c r="B132" t="s">
        <v>366</v>
      </c>
      <c r="C132" t="s">
        <v>477</v>
      </c>
      <c r="D132">
        <v>1551</v>
      </c>
      <c r="E132">
        <v>23210088</v>
      </c>
      <c r="F132" t="s">
        <v>392</v>
      </c>
      <c r="G132" t="s">
        <v>393</v>
      </c>
      <c r="H132">
        <v>50</v>
      </c>
      <c r="I132">
        <v>11000</v>
      </c>
      <c r="J132">
        <v>550000</v>
      </c>
      <c r="K132" t="str">
        <f>IFERROR(IF(B132&lt;&gt;"", TEXT(VLOOKUP(B132, 'Expected Date'!A:B, 2, FALSE) + DATE(RIGHT(C132,2),MID(C132,4,2),LEFT(C132,2)), "dd/mm/yy"), ""), "")</f>
        <v>28/04/23</v>
      </c>
      <c r="L132" t="s">
        <v>38</v>
      </c>
      <c r="M132" t="s">
        <v>48</v>
      </c>
      <c r="N132" t="s">
        <v>370</v>
      </c>
      <c r="O132" t="s">
        <v>35</v>
      </c>
      <c r="P132">
        <v>23290148</v>
      </c>
      <c r="Q132" t="s">
        <v>392</v>
      </c>
      <c r="R132" t="s">
        <v>393</v>
      </c>
      <c r="S132">
        <v>28.425000000000001</v>
      </c>
      <c r="T132">
        <v>11000</v>
      </c>
      <c r="U132">
        <v>312675</v>
      </c>
      <c r="V132" t="str">
        <f t="shared" ref="V132:V138" si="53">V131</f>
        <v>Accepted</v>
      </c>
      <c r="W132">
        <f>IFERROR(VLOOKUP(N132, Payment_Terms!A:B, 2, FALSE), "Payment term not found!")</f>
        <v>15</v>
      </c>
      <c r="X132" t="str">
        <f>IFERROR(VLOOKUP(R132, Item_Category!A:B, 2, FALSE), "Uncategorized")</f>
        <v>Coal materials</v>
      </c>
      <c r="Y132" s="5">
        <f t="shared" si="40"/>
        <v>0</v>
      </c>
      <c r="Z132">
        <f t="shared" si="41"/>
        <v>5</v>
      </c>
      <c r="AA132">
        <f t="shared" si="42"/>
        <v>-1</v>
      </c>
      <c r="AB132">
        <f t="shared" si="43"/>
        <v>5</v>
      </c>
      <c r="AC132" s="10">
        <f t="shared" si="44"/>
        <v>1</v>
      </c>
      <c r="AD132" s="5">
        <f t="shared" si="36"/>
        <v>1</v>
      </c>
      <c r="AE132" s="5">
        <f t="shared" si="37"/>
        <v>1</v>
      </c>
      <c r="AF132" s="5">
        <f t="shared" si="45"/>
        <v>0</v>
      </c>
      <c r="AG132">
        <f>IF(B132&lt;&gt;"", COUNTIFS($B$2:B132, B132), "")</f>
        <v>28</v>
      </c>
      <c r="AH132">
        <f t="shared" si="46"/>
        <v>5</v>
      </c>
      <c r="AI132" t="str">
        <f>VLOOKUP(B132, Currency!A:B, 2, FALSE)</f>
        <v>INR</v>
      </c>
      <c r="AJ132">
        <f t="shared" si="38"/>
        <v>5</v>
      </c>
      <c r="AK132">
        <f t="shared" si="47"/>
        <v>4</v>
      </c>
      <c r="AL132" t="str">
        <f t="shared" si="48"/>
        <v>April</v>
      </c>
      <c r="AM132">
        <f t="shared" si="49"/>
        <v>2023</v>
      </c>
      <c r="AN132" t="str">
        <f t="shared" si="39"/>
        <v>15SKYWIN ENTERPRISE</v>
      </c>
      <c r="AO132">
        <f>IF(COUNTIF($AN$2:AN132, AN132)=1, 1, 0)</f>
        <v>0</v>
      </c>
      <c r="AP132" t="str">
        <f t="shared" si="50"/>
        <v>&gt;3</v>
      </c>
      <c r="AQ132" t="str">
        <f t="shared" si="51"/>
        <v>&gt;3</v>
      </c>
      <c r="AR132" t="str">
        <f t="shared" si="52"/>
        <v>&gt;3</v>
      </c>
    </row>
    <row r="133" spans="1:44" x14ac:dyDescent="0.3">
      <c r="A133" t="s">
        <v>33</v>
      </c>
      <c r="B133" t="s">
        <v>347</v>
      </c>
      <c r="C133" t="s">
        <v>146</v>
      </c>
      <c r="D133">
        <v>1743</v>
      </c>
      <c r="E133">
        <v>23210136</v>
      </c>
      <c r="F133" t="s">
        <v>349</v>
      </c>
      <c r="G133" t="s">
        <v>350</v>
      </c>
      <c r="H133">
        <v>24</v>
      </c>
      <c r="I133">
        <v>47510</v>
      </c>
      <c r="J133">
        <v>1140240</v>
      </c>
      <c r="K133" t="str">
        <f>IFERROR(IF(B133&lt;&gt;"", TEXT(VLOOKUP(B133, 'Expected Date'!A:B, 2, FALSE) + DATE(RIGHT(C133,2),MID(C133,4,2),LEFT(C133,2)), "dd/mm/yy"), ""), "")</f>
        <v>10/05/23</v>
      </c>
      <c r="L133" t="s">
        <v>68</v>
      </c>
      <c r="M133" t="s">
        <v>48</v>
      </c>
      <c r="N133" t="s">
        <v>351</v>
      </c>
      <c r="O133" t="s">
        <v>223</v>
      </c>
      <c r="P133">
        <v>23290327</v>
      </c>
      <c r="Q133" t="s">
        <v>349</v>
      </c>
      <c r="R133" t="s">
        <v>350</v>
      </c>
      <c r="S133">
        <v>23.97</v>
      </c>
      <c r="T133">
        <v>47510</v>
      </c>
      <c r="U133">
        <v>1138814.7</v>
      </c>
      <c r="V133" t="str">
        <f t="shared" si="53"/>
        <v>Accepted</v>
      </c>
      <c r="W133">
        <f>IFERROR(VLOOKUP(N133, Payment_Terms!A:B, 2, FALSE), "Payment term not found!")</f>
        <v>0</v>
      </c>
      <c r="X133" t="str">
        <f>IFERROR(VLOOKUP(R133, Item_Category!A:B, 2, FALSE), "Uncategorized")</f>
        <v>Oil</v>
      </c>
      <c r="Y133" s="5">
        <f t="shared" si="40"/>
        <v>1.2500000000000473E-3</v>
      </c>
      <c r="Z133">
        <f t="shared" si="41"/>
        <v>4</v>
      </c>
      <c r="AA133">
        <f t="shared" si="42"/>
        <v>7</v>
      </c>
      <c r="AB133">
        <f t="shared" si="43"/>
        <v>3</v>
      </c>
      <c r="AC133" s="10">
        <f t="shared" si="44"/>
        <v>8</v>
      </c>
      <c r="AD133" s="5">
        <f t="shared" si="36"/>
        <v>1</v>
      </c>
      <c r="AE133" s="5">
        <f t="shared" si="37"/>
        <v>1</v>
      </c>
      <c r="AF133" s="5">
        <f t="shared" si="45"/>
        <v>0</v>
      </c>
      <c r="AG133">
        <f>IF(B133&lt;&gt;"", COUNTIFS($B$2:B133, B133), "")</f>
        <v>7</v>
      </c>
      <c r="AH133">
        <f t="shared" si="46"/>
        <v>5</v>
      </c>
      <c r="AI133" t="str">
        <f>VLOOKUP(B133, Currency!A:B, 2, FALSE)</f>
        <v>INR</v>
      </c>
      <c r="AJ133">
        <f t="shared" si="38"/>
        <v>5</v>
      </c>
      <c r="AK133">
        <f t="shared" si="47"/>
        <v>5</v>
      </c>
      <c r="AL133" t="str">
        <f t="shared" si="48"/>
        <v>May</v>
      </c>
      <c r="AM133">
        <f t="shared" si="49"/>
        <v>2023</v>
      </c>
      <c r="AN133" t="str">
        <f t="shared" si="39"/>
        <v>0Bharat Petroleum Corporation Ltd</v>
      </c>
      <c r="AO133">
        <f>IF(COUNTIF($AN$2:AN133, AN133)=1, 1, 0)</f>
        <v>0</v>
      </c>
      <c r="AP133" t="str">
        <f t="shared" si="50"/>
        <v>&gt;3</v>
      </c>
      <c r="AQ133" t="str">
        <f t="shared" si="51"/>
        <v>&gt;3</v>
      </c>
      <c r="AR133" t="str">
        <f t="shared" si="52"/>
        <v>&lt;=3</v>
      </c>
    </row>
    <row r="134" spans="1:44" x14ac:dyDescent="0.3">
      <c r="A134" t="s">
        <v>33</v>
      </c>
      <c r="B134" t="str">
        <f>B2</f>
        <v>Ami Enterprises</v>
      </c>
      <c r="C134" t="s">
        <v>116</v>
      </c>
      <c r="D134">
        <v>3235</v>
      </c>
      <c r="E134">
        <v>23210437</v>
      </c>
      <c r="F134" t="s">
        <v>460</v>
      </c>
      <c r="G134" t="s">
        <v>461</v>
      </c>
      <c r="H134">
        <v>15000</v>
      </c>
      <c r="I134">
        <v>33.5</v>
      </c>
      <c r="J134">
        <v>502500</v>
      </c>
      <c r="K134" t="str">
        <f>IFERROR(IF(B134&lt;&gt;"", TEXT(VLOOKUP(B134, 'Expected Date'!A:B, 2, FALSE) + DATE(RIGHT(C134,2),MID(C134,4,2),LEFT(C134,2)), "dd/mm/yy"), ""), "")</f>
        <v>28/07/23</v>
      </c>
      <c r="L134" t="s">
        <v>68</v>
      </c>
      <c r="M134" t="s">
        <v>39</v>
      </c>
      <c r="N134" t="s">
        <v>342</v>
      </c>
      <c r="O134" t="s">
        <v>478</v>
      </c>
      <c r="P134">
        <v>23290838</v>
      </c>
      <c r="Q134" t="s">
        <v>460</v>
      </c>
      <c r="R134" t="s">
        <v>461</v>
      </c>
      <c r="S134">
        <v>10623</v>
      </c>
      <c r="T134">
        <v>33.5</v>
      </c>
      <c r="U134">
        <v>355870.5</v>
      </c>
      <c r="V134" t="str">
        <f t="shared" si="53"/>
        <v>Accepted</v>
      </c>
      <c r="W134">
        <f>IFERROR(VLOOKUP(N134, Payment_Terms!A:B, 2, FALSE), "Payment term not found!")</f>
        <v>30</v>
      </c>
      <c r="X134" t="str">
        <f>IFERROR(VLOOKUP(R134, Item_Category!A:B, 2, FALSE), "Uncategorized")</f>
        <v>Bags</v>
      </c>
      <c r="Y134" s="5">
        <f t="shared" si="40"/>
        <v>0.2918</v>
      </c>
      <c r="Z134">
        <f t="shared" si="41"/>
        <v>1</v>
      </c>
      <c r="AA134">
        <f t="shared" si="42"/>
        <v>-7</v>
      </c>
      <c r="AB134">
        <f t="shared" si="43"/>
        <v>5</v>
      </c>
      <c r="AC134" s="10">
        <f t="shared" si="44"/>
        <v>3</v>
      </c>
      <c r="AD134" s="5">
        <f t="shared" si="36"/>
        <v>1</v>
      </c>
      <c r="AE134" s="5">
        <f t="shared" si="37"/>
        <v>1</v>
      </c>
      <c r="AF134" s="5">
        <f t="shared" si="45"/>
        <v>0</v>
      </c>
      <c r="AG134">
        <f>IF(B134&lt;&gt;"", COUNTIFS($B$2:B134, B134), "")</f>
        <v>10</v>
      </c>
      <c r="AH134">
        <f t="shared" si="46"/>
        <v>5</v>
      </c>
      <c r="AI134" t="str">
        <f>VLOOKUP(B134, Currency!A:B, 2, FALSE)</f>
        <v>INR</v>
      </c>
      <c r="AJ134">
        <f t="shared" si="38"/>
        <v>4</v>
      </c>
      <c r="AK134">
        <f t="shared" si="47"/>
        <v>7</v>
      </c>
      <c r="AL134" t="str">
        <f t="shared" si="48"/>
        <v>July</v>
      </c>
      <c r="AM134">
        <f t="shared" si="49"/>
        <v>2023</v>
      </c>
      <c r="AN134" t="str">
        <f t="shared" si="39"/>
        <v>30Ami Enterprises</v>
      </c>
      <c r="AO134">
        <f>IF(COUNTIF($AN$2:AN134, AN134)=1, 1, 0)</f>
        <v>0</v>
      </c>
      <c r="AP134" t="str">
        <f t="shared" si="50"/>
        <v>&gt;3</v>
      </c>
      <c r="AQ134" t="str">
        <f t="shared" si="51"/>
        <v>&lt;=3</v>
      </c>
      <c r="AR134" t="str">
        <f t="shared" si="52"/>
        <v>&gt;3</v>
      </c>
    </row>
    <row r="135" spans="1:44" x14ac:dyDescent="0.3">
      <c r="A135" t="s">
        <v>33</v>
      </c>
      <c r="B135" t="s">
        <v>366</v>
      </c>
      <c r="C135" t="s">
        <v>56</v>
      </c>
      <c r="D135">
        <v>3584</v>
      </c>
      <c r="E135">
        <v>23210509</v>
      </c>
      <c r="F135" t="s">
        <v>392</v>
      </c>
      <c r="G135" t="s">
        <v>393</v>
      </c>
      <c r="H135">
        <v>100</v>
      </c>
      <c r="I135">
        <v>9850</v>
      </c>
      <c r="J135">
        <v>985000</v>
      </c>
      <c r="K135" t="str">
        <f>IFERROR(IF(B135&lt;&gt;"", TEXT(VLOOKUP(B135, 'Expected Date'!A:B, 2, FALSE) + DATE(RIGHT(C135,2),MID(C135,4,2),LEFT(C135,2)), "dd/mm/yy"), ""), "")</f>
        <v>06/08/23</v>
      </c>
      <c r="L135" t="s">
        <v>68</v>
      </c>
      <c r="M135" t="s">
        <v>48</v>
      </c>
      <c r="N135" t="s">
        <v>370</v>
      </c>
      <c r="O135" t="s">
        <v>207</v>
      </c>
      <c r="P135">
        <v>23291076</v>
      </c>
      <c r="Q135" t="s">
        <v>392</v>
      </c>
      <c r="R135" t="s">
        <v>393</v>
      </c>
      <c r="S135">
        <v>29.94</v>
      </c>
      <c r="T135">
        <v>9850</v>
      </c>
      <c r="U135">
        <v>294909</v>
      </c>
      <c r="V135" t="str">
        <f t="shared" si="53"/>
        <v>Accepted</v>
      </c>
      <c r="W135">
        <f>IFERROR(VLOOKUP(N135, Payment_Terms!A:B, 2, FALSE), "Payment term not found!")</f>
        <v>15</v>
      </c>
      <c r="X135" t="str">
        <f>IFERROR(VLOOKUP(R135, Item_Category!A:B, 2, FALSE), "Uncategorized")</f>
        <v>Coal materials</v>
      </c>
      <c r="Y135" s="5">
        <f t="shared" si="40"/>
        <v>0.11530000000000001</v>
      </c>
      <c r="Z135">
        <f t="shared" si="41"/>
        <v>1</v>
      </c>
      <c r="AA135">
        <f t="shared" si="42"/>
        <v>7</v>
      </c>
      <c r="AB135">
        <f t="shared" si="43"/>
        <v>3</v>
      </c>
      <c r="AC135" s="10">
        <f t="shared" si="44"/>
        <v>9</v>
      </c>
      <c r="AD135" s="5">
        <f t="shared" si="36"/>
        <v>1</v>
      </c>
      <c r="AE135" s="5">
        <f t="shared" si="37"/>
        <v>1</v>
      </c>
      <c r="AF135" s="5">
        <f t="shared" si="45"/>
        <v>0</v>
      </c>
      <c r="AG135">
        <f>IF(B135&lt;&gt;"", COUNTIFS($B$2:B135, B135), "")</f>
        <v>29</v>
      </c>
      <c r="AH135">
        <f t="shared" si="46"/>
        <v>5</v>
      </c>
      <c r="AI135" t="str">
        <f>VLOOKUP(B135, Currency!A:B, 2, FALSE)</f>
        <v>INR</v>
      </c>
      <c r="AJ135">
        <f t="shared" si="38"/>
        <v>4</v>
      </c>
      <c r="AK135">
        <f t="shared" si="47"/>
        <v>8</v>
      </c>
      <c r="AL135" t="str">
        <f t="shared" si="48"/>
        <v>August</v>
      </c>
      <c r="AM135">
        <f t="shared" si="49"/>
        <v>2023</v>
      </c>
      <c r="AN135" t="str">
        <f t="shared" si="39"/>
        <v>15SKYWIN ENTERPRISE</v>
      </c>
      <c r="AO135">
        <f>IF(COUNTIF($AN$2:AN135, AN135)=1, 1, 0)</f>
        <v>0</v>
      </c>
      <c r="AP135" t="str">
        <f t="shared" si="50"/>
        <v>&gt;3</v>
      </c>
      <c r="AQ135" t="str">
        <f t="shared" si="51"/>
        <v>&lt;=3</v>
      </c>
      <c r="AR135" t="str">
        <f t="shared" si="52"/>
        <v>&lt;=3</v>
      </c>
    </row>
    <row r="136" spans="1:44" x14ac:dyDescent="0.3">
      <c r="A136" t="s">
        <v>33</v>
      </c>
      <c r="B136" t="s">
        <v>382</v>
      </c>
      <c r="C136" t="s">
        <v>208</v>
      </c>
      <c r="D136">
        <v>3666</v>
      </c>
      <c r="E136">
        <v>23210533</v>
      </c>
      <c r="F136" t="s">
        <v>479</v>
      </c>
      <c r="G136" t="s">
        <v>480</v>
      </c>
      <c r="H136">
        <v>1500</v>
      </c>
      <c r="I136">
        <v>37</v>
      </c>
      <c r="J136">
        <v>55500</v>
      </c>
      <c r="K136" t="str">
        <f>IFERROR(IF(B136&lt;&gt;"", TEXT(VLOOKUP(B136, 'Expected Date'!A:B, 2, FALSE) + DATE(RIGHT(C136,2),MID(C136,4,2),LEFT(C136,2)), "dd/mm/yy"), ""), "")</f>
        <v>22/08/23</v>
      </c>
      <c r="L136" t="s">
        <v>38</v>
      </c>
      <c r="M136" t="s">
        <v>48</v>
      </c>
      <c r="N136" t="s">
        <v>342</v>
      </c>
      <c r="O136" t="s">
        <v>208</v>
      </c>
      <c r="P136">
        <v>23291078</v>
      </c>
      <c r="Q136" t="s">
        <v>479</v>
      </c>
      <c r="R136" t="s">
        <v>480</v>
      </c>
      <c r="S136">
        <v>1500</v>
      </c>
      <c r="T136">
        <v>37</v>
      </c>
      <c r="U136">
        <v>55500</v>
      </c>
      <c r="V136" t="str">
        <f t="shared" si="53"/>
        <v>Accepted</v>
      </c>
      <c r="W136">
        <f>IFERROR(VLOOKUP(N136, Payment_Terms!A:B, 2, FALSE), "Payment term not found!")</f>
        <v>30</v>
      </c>
      <c r="X136" t="str">
        <f>IFERROR(VLOOKUP(R136, Item_Category!A:B, 2, FALSE), "Uncategorized")</f>
        <v>Soda Ash</v>
      </c>
      <c r="Y136" s="5">
        <f t="shared" si="40"/>
        <v>0</v>
      </c>
      <c r="Z136">
        <f t="shared" si="41"/>
        <v>5</v>
      </c>
      <c r="AA136">
        <f t="shared" si="42"/>
        <v>-10</v>
      </c>
      <c r="AB136">
        <f t="shared" si="43"/>
        <v>5</v>
      </c>
      <c r="AC136" s="10">
        <f t="shared" si="44"/>
        <v>0</v>
      </c>
      <c r="AD136" s="5">
        <f t="shared" si="36"/>
        <v>1</v>
      </c>
      <c r="AE136" s="5">
        <f t="shared" si="37"/>
        <v>1</v>
      </c>
      <c r="AF136" s="5">
        <f t="shared" si="45"/>
        <v>0</v>
      </c>
      <c r="AG136">
        <f>IF(B136&lt;&gt;"", COUNTIFS($B$2:B136, B136), "")</f>
        <v>6</v>
      </c>
      <c r="AH136">
        <f t="shared" si="46"/>
        <v>5</v>
      </c>
      <c r="AI136" t="str">
        <f>VLOOKUP(B136, Currency!A:B, 2, FALSE)</f>
        <v>INR</v>
      </c>
      <c r="AJ136">
        <f t="shared" si="38"/>
        <v>5</v>
      </c>
      <c r="AK136">
        <f t="shared" si="47"/>
        <v>8</v>
      </c>
      <c r="AL136" t="str">
        <f t="shared" si="48"/>
        <v>August</v>
      </c>
      <c r="AM136">
        <f t="shared" si="49"/>
        <v>2023</v>
      </c>
      <c r="AN136" t="str">
        <f t="shared" si="39"/>
        <v>30Aerochem Laboratories</v>
      </c>
      <c r="AO136">
        <f>IF(COUNTIF($AN$2:AN136, AN136)=1, 1, 0)</f>
        <v>0</v>
      </c>
      <c r="AP136" t="str">
        <f t="shared" si="50"/>
        <v>&gt;3</v>
      </c>
      <c r="AQ136" t="str">
        <f t="shared" si="51"/>
        <v>&gt;3</v>
      </c>
      <c r="AR136" t="str">
        <f t="shared" si="52"/>
        <v>&gt;3</v>
      </c>
    </row>
    <row r="137" spans="1:44" x14ac:dyDescent="0.3">
      <c r="A137" t="s">
        <v>33</v>
      </c>
      <c r="B137" t="s">
        <v>366</v>
      </c>
      <c r="C137" t="s">
        <v>367</v>
      </c>
      <c r="D137">
        <v>2422</v>
      </c>
      <c r="E137">
        <v>23210274</v>
      </c>
      <c r="F137" t="s">
        <v>392</v>
      </c>
      <c r="G137" t="s">
        <v>393</v>
      </c>
      <c r="H137">
        <v>150</v>
      </c>
      <c r="I137">
        <v>11000</v>
      </c>
      <c r="J137">
        <v>1650000</v>
      </c>
      <c r="K137" t="str">
        <f>IFERROR(IF(B137&lt;&gt;"", TEXT(VLOOKUP(B137, 'Expected Date'!A:B, 2, FALSE) + DATE(RIGHT(C137,2),MID(C137,4,2),LEFT(C137,2)), "dd/mm/yy"), ""), "")</f>
        <v>31/05/23</v>
      </c>
      <c r="L137" t="s">
        <v>68</v>
      </c>
      <c r="M137" t="s">
        <v>48</v>
      </c>
      <c r="N137" t="s">
        <v>370</v>
      </c>
      <c r="O137" t="s">
        <v>257</v>
      </c>
      <c r="P137">
        <v>23290626</v>
      </c>
      <c r="Q137" t="s">
        <v>392</v>
      </c>
      <c r="R137" t="s">
        <v>393</v>
      </c>
      <c r="S137">
        <v>30.86</v>
      </c>
      <c r="T137">
        <v>11000</v>
      </c>
      <c r="U137">
        <v>339460</v>
      </c>
      <c r="V137" t="str">
        <f t="shared" si="53"/>
        <v>Accepted</v>
      </c>
      <c r="W137">
        <f>IFERROR(VLOOKUP(N137, Payment_Terms!A:B, 2, FALSE), "Payment term not found!")</f>
        <v>15</v>
      </c>
      <c r="X137" t="str">
        <f>IFERROR(VLOOKUP(R137, Item_Category!A:B, 2, FALSE), "Uncategorized")</f>
        <v>Coal materials</v>
      </c>
      <c r="Y137" s="5">
        <f t="shared" si="40"/>
        <v>0</v>
      </c>
      <c r="Z137">
        <f t="shared" si="41"/>
        <v>5</v>
      </c>
      <c r="AA137">
        <f t="shared" si="42"/>
        <v>27</v>
      </c>
      <c r="AB137">
        <f t="shared" si="43"/>
        <v>1</v>
      </c>
      <c r="AC137" s="10">
        <f t="shared" si="44"/>
        <v>29</v>
      </c>
      <c r="AD137" s="5">
        <f t="shared" si="36"/>
        <v>1</v>
      </c>
      <c r="AE137" s="5">
        <f t="shared" si="37"/>
        <v>1</v>
      </c>
      <c r="AF137" s="5">
        <f t="shared" si="45"/>
        <v>0</v>
      </c>
      <c r="AG137">
        <f>IF(B137&lt;&gt;"", COUNTIFS($B$2:B137, B137), "")</f>
        <v>30</v>
      </c>
      <c r="AH137">
        <f t="shared" si="46"/>
        <v>5</v>
      </c>
      <c r="AI137" t="str">
        <f>VLOOKUP(B137, Currency!A:B, 2, FALSE)</f>
        <v>INR</v>
      </c>
      <c r="AJ137">
        <f t="shared" si="38"/>
        <v>4</v>
      </c>
      <c r="AK137">
        <f t="shared" si="47"/>
        <v>5</v>
      </c>
      <c r="AL137" t="str">
        <f t="shared" si="48"/>
        <v>May</v>
      </c>
      <c r="AM137">
        <f t="shared" si="49"/>
        <v>2023</v>
      </c>
      <c r="AN137" t="str">
        <f t="shared" si="39"/>
        <v>15SKYWIN ENTERPRISE</v>
      </c>
      <c r="AO137">
        <f>IF(COUNTIF($AN$2:AN137, AN137)=1, 1, 0)</f>
        <v>0</v>
      </c>
      <c r="AP137" t="str">
        <f t="shared" si="50"/>
        <v>&gt;3</v>
      </c>
      <c r="AQ137" t="str">
        <f t="shared" si="51"/>
        <v>&gt;3</v>
      </c>
      <c r="AR137" t="str">
        <f t="shared" si="52"/>
        <v>&lt;=3</v>
      </c>
    </row>
    <row r="138" spans="1:44" x14ac:dyDescent="0.3">
      <c r="A138" t="s">
        <v>33</v>
      </c>
      <c r="B138" t="s">
        <v>122</v>
      </c>
      <c r="C138" t="s">
        <v>416</v>
      </c>
      <c r="D138">
        <v>2054</v>
      </c>
      <c r="E138">
        <v>23210173</v>
      </c>
      <c r="F138" t="s">
        <v>405</v>
      </c>
      <c r="G138" t="s">
        <v>406</v>
      </c>
      <c r="H138">
        <v>600</v>
      </c>
      <c r="I138">
        <v>930</v>
      </c>
      <c r="J138">
        <v>558000</v>
      </c>
      <c r="K138" t="str">
        <f>IFERROR(IF(B138&lt;&gt;"", TEXT(VLOOKUP(B138, 'Expected Date'!A:B, 2, FALSE) + DATE(RIGHT(C138,2),MID(C138,4,2),LEFT(C138,2)), "dd/mm/yy"), ""), "")</f>
        <v>04/06/23</v>
      </c>
      <c r="L138" t="s">
        <v>38</v>
      </c>
      <c r="M138" t="s">
        <v>48</v>
      </c>
      <c r="N138" t="s">
        <v>364</v>
      </c>
      <c r="O138" t="s">
        <v>139</v>
      </c>
      <c r="P138">
        <v>23290627</v>
      </c>
      <c r="Q138" t="s">
        <v>405</v>
      </c>
      <c r="R138" t="s">
        <v>406</v>
      </c>
      <c r="S138">
        <v>180</v>
      </c>
      <c r="T138">
        <v>930</v>
      </c>
      <c r="U138">
        <v>167400</v>
      </c>
      <c r="V138" t="str">
        <f t="shared" si="53"/>
        <v>Accepted</v>
      </c>
      <c r="W138">
        <f>IFERROR(VLOOKUP(N138, Payment_Terms!A:B, 2, FALSE), "Payment term not found!")</f>
        <v>30</v>
      </c>
      <c r="X138" t="str">
        <f>IFERROR(VLOOKUP(R138, Item_Category!A:B, 2, FALSE), "Uncategorized")</f>
        <v>Pallets</v>
      </c>
      <c r="Y138" s="5">
        <f t="shared" si="40"/>
        <v>0</v>
      </c>
      <c r="Z138">
        <f t="shared" si="41"/>
        <v>5</v>
      </c>
      <c r="AA138">
        <f t="shared" si="42"/>
        <v>24</v>
      </c>
      <c r="AB138">
        <f t="shared" si="43"/>
        <v>1</v>
      </c>
      <c r="AC138" s="10">
        <f t="shared" si="44"/>
        <v>39</v>
      </c>
      <c r="AD138" s="5">
        <f t="shared" si="36"/>
        <v>1</v>
      </c>
      <c r="AE138" s="5">
        <f t="shared" si="37"/>
        <v>1</v>
      </c>
      <c r="AF138" s="5">
        <f t="shared" si="45"/>
        <v>0</v>
      </c>
      <c r="AG138">
        <f>IF(B138&lt;&gt;"", COUNTIFS($B$2:B138, B138), "")</f>
        <v>18</v>
      </c>
      <c r="AH138">
        <f t="shared" si="46"/>
        <v>5</v>
      </c>
      <c r="AI138" t="str">
        <f>VLOOKUP(B138, Currency!A:B, 2, FALSE)</f>
        <v>INR</v>
      </c>
      <c r="AJ138">
        <f t="shared" si="38"/>
        <v>4</v>
      </c>
      <c r="AK138">
        <f t="shared" si="47"/>
        <v>5</v>
      </c>
      <c r="AL138" t="str">
        <f t="shared" si="48"/>
        <v>May</v>
      </c>
      <c r="AM138">
        <f t="shared" si="49"/>
        <v>2023</v>
      </c>
      <c r="AN138" t="str">
        <f t="shared" si="39"/>
        <v>30Plastocon Industries Pvt Ltd</v>
      </c>
      <c r="AO138">
        <f>IF(COUNTIF($AN$2:AN138, AN138)=1, 1, 0)</f>
        <v>0</v>
      </c>
      <c r="AP138" t="str">
        <f t="shared" si="50"/>
        <v>&gt;3</v>
      </c>
      <c r="AQ138" t="str">
        <f t="shared" si="51"/>
        <v>&gt;3</v>
      </c>
      <c r="AR138" t="str">
        <f t="shared" si="52"/>
        <v>&lt;=3</v>
      </c>
    </row>
    <row r="139" spans="1:44" x14ac:dyDescent="0.3">
      <c r="A139" t="s">
        <v>111</v>
      </c>
      <c r="B139" t="s">
        <v>309</v>
      </c>
      <c r="C139" t="s">
        <v>174</v>
      </c>
      <c r="D139">
        <v>1896</v>
      </c>
      <c r="E139">
        <v>23220020</v>
      </c>
      <c r="F139" t="s">
        <v>375</v>
      </c>
      <c r="G139" t="s">
        <v>311</v>
      </c>
      <c r="H139">
        <v>4000</v>
      </c>
      <c r="I139">
        <v>310</v>
      </c>
      <c r="J139">
        <v>1240000</v>
      </c>
      <c r="K139" t="str">
        <f>IFERROR(IF(B139&lt;&gt;"", TEXT(VLOOKUP(B139, 'Expected Date'!A:B, 2, FALSE) + DATE(RIGHT(C139,2),MID(C139,4,2),LEFT(C139,2)), "dd/mm/yy"), ""), "")</f>
        <v>26/05/23</v>
      </c>
      <c r="L139" t="s">
        <v>38</v>
      </c>
      <c r="M139" t="s">
        <v>48</v>
      </c>
      <c r="N139" t="s">
        <v>377</v>
      </c>
      <c r="O139" t="s">
        <v>138</v>
      </c>
      <c r="P139">
        <v>23290630</v>
      </c>
      <c r="Q139" t="s">
        <v>375</v>
      </c>
      <c r="R139" t="s">
        <v>376</v>
      </c>
      <c r="S139">
        <v>4000</v>
      </c>
      <c r="T139">
        <v>310</v>
      </c>
      <c r="U139">
        <v>1240000</v>
      </c>
      <c r="V139" t="s">
        <v>481</v>
      </c>
      <c r="W139">
        <f>IFERROR(VLOOKUP(N139, Payment_Terms!A:B, 2, FALSE), "Payment term not found!")</f>
        <v>30</v>
      </c>
      <c r="X139" t="str">
        <f>IFERROR(VLOOKUP(R139, Item_Category!A:B, 2, FALSE), "Uncategorized")</f>
        <v>CROSSCARMELLOSE SODIUM</v>
      </c>
      <c r="Y139" s="5">
        <f t="shared" si="40"/>
        <v>0</v>
      </c>
      <c r="Z139">
        <f t="shared" si="41"/>
        <v>5</v>
      </c>
      <c r="AA139">
        <f t="shared" si="42"/>
        <v>2</v>
      </c>
      <c r="AB139">
        <f t="shared" si="43"/>
        <v>5</v>
      </c>
      <c r="AC139" s="10">
        <f t="shared" si="44"/>
        <v>12</v>
      </c>
      <c r="AD139" s="5">
        <f t="shared" si="36"/>
        <v>0</v>
      </c>
      <c r="AE139" s="5">
        <f t="shared" si="37"/>
        <v>0.64</v>
      </c>
      <c r="AF139" s="5">
        <f t="shared" si="45"/>
        <v>0.36</v>
      </c>
      <c r="AG139">
        <f>IF(B139&lt;&gt;"", COUNTIFS($B$2:B139, B139), "")</f>
        <v>3</v>
      </c>
      <c r="AH139">
        <f t="shared" si="46"/>
        <v>1</v>
      </c>
      <c r="AI139" t="str">
        <f>VLOOKUP(B139, Currency!A:B, 2, FALSE)</f>
        <v>INR</v>
      </c>
      <c r="AJ139">
        <f t="shared" si="38"/>
        <v>4</v>
      </c>
      <c r="AK139">
        <f t="shared" si="47"/>
        <v>5</v>
      </c>
      <c r="AL139" t="str">
        <f t="shared" si="48"/>
        <v>May</v>
      </c>
      <c r="AM139">
        <f t="shared" si="49"/>
        <v>2023</v>
      </c>
      <c r="AN139" t="str">
        <f t="shared" si="39"/>
        <v>30Prachin Chemicals_Vendor</v>
      </c>
      <c r="AO139">
        <f>IF(COUNTIF($AN$2:AN139, AN139)=1, 1, 0)</f>
        <v>0</v>
      </c>
      <c r="AP139" t="str">
        <f t="shared" si="50"/>
        <v>&lt;=3</v>
      </c>
      <c r="AQ139" t="str">
        <f t="shared" si="51"/>
        <v>&gt;3</v>
      </c>
      <c r="AR139" t="str">
        <f t="shared" si="52"/>
        <v>&gt;3</v>
      </c>
    </row>
    <row r="140" spans="1:44" x14ac:dyDescent="0.3">
      <c r="A140" t="s">
        <v>33</v>
      </c>
      <c r="B140" t="s">
        <v>347</v>
      </c>
      <c r="C140" t="s">
        <v>94</v>
      </c>
      <c r="D140">
        <v>3575</v>
      </c>
      <c r="E140">
        <v>23210502</v>
      </c>
      <c r="F140" t="s">
        <v>349</v>
      </c>
      <c r="G140" t="s">
        <v>350</v>
      </c>
      <c r="H140">
        <v>24</v>
      </c>
      <c r="I140">
        <v>49310</v>
      </c>
      <c r="J140">
        <v>1183440</v>
      </c>
      <c r="K140" t="str">
        <f>IFERROR(IF(B140&lt;&gt;"", TEXT(VLOOKUP(B140, 'Expected Date'!A:B, 2, FALSE) + DATE(RIGHT(C140,2),MID(C140,4,2),LEFT(C140,2)), "dd/mm/yy"), ""), "")</f>
        <v>08/08/23</v>
      </c>
      <c r="L140" t="s">
        <v>68</v>
      </c>
      <c r="M140" t="s">
        <v>48</v>
      </c>
      <c r="N140" t="s">
        <v>351</v>
      </c>
      <c r="O140" t="s">
        <v>208</v>
      </c>
      <c r="P140">
        <v>23291080</v>
      </c>
      <c r="Q140" t="s">
        <v>349</v>
      </c>
      <c r="R140" t="s">
        <v>350</v>
      </c>
      <c r="S140">
        <v>23.27</v>
      </c>
      <c r="T140">
        <v>49310</v>
      </c>
      <c r="U140">
        <v>1147443.7</v>
      </c>
      <c r="V140" t="str">
        <f>V138</f>
        <v>Accepted</v>
      </c>
      <c r="W140">
        <f>IFERROR(VLOOKUP(N140, Payment_Terms!A:B, 2, FALSE), "Payment term not found!")</f>
        <v>0</v>
      </c>
      <c r="X140" t="str">
        <f>IFERROR(VLOOKUP(R140, Item_Category!A:B, 2, FALSE), "Uncategorized")</f>
        <v>Oil</v>
      </c>
      <c r="Y140" s="5">
        <f t="shared" si="40"/>
        <v>3.0416666666666686E-2</v>
      </c>
      <c r="Z140">
        <f t="shared" si="41"/>
        <v>3</v>
      </c>
      <c r="AA140">
        <f t="shared" si="42"/>
        <v>4</v>
      </c>
      <c r="AB140">
        <f t="shared" si="43"/>
        <v>4</v>
      </c>
      <c r="AC140" s="10">
        <f t="shared" si="44"/>
        <v>5</v>
      </c>
      <c r="AD140" s="5">
        <f t="shared" si="36"/>
        <v>1</v>
      </c>
      <c r="AE140" s="5">
        <f t="shared" si="37"/>
        <v>1</v>
      </c>
      <c r="AF140" s="5">
        <f t="shared" si="45"/>
        <v>0</v>
      </c>
      <c r="AG140">
        <f>IF(B140&lt;&gt;"", COUNTIFS($B$2:B140, B140), "")</f>
        <v>8</v>
      </c>
      <c r="AH140">
        <f t="shared" si="46"/>
        <v>5</v>
      </c>
      <c r="AI140" t="str">
        <f>VLOOKUP(B140, Currency!A:B, 2, FALSE)</f>
        <v>INR</v>
      </c>
      <c r="AJ140">
        <f t="shared" si="38"/>
        <v>5</v>
      </c>
      <c r="AK140">
        <f t="shared" si="47"/>
        <v>8</v>
      </c>
      <c r="AL140" t="str">
        <f t="shared" si="48"/>
        <v>August</v>
      </c>
      <c r="AM140">
        <f t="shared" si="49"/>
        <v>2023</v>
      </c>
      <c r="AN140" t="str">
        <f t="shared" si="39"/>
        <v>0Bharat Petroleum Corporation Ltd</v>
      </c>
      <c r="AO140">
        <f>IF(COUNTIF($AN$2:AN140, AN140)=1, 1, 0)</f>
        <v>0</v>
      </c>
      <c r="AP140" t="str">
        <f t="shared" si="50"/>
        <v>&gt;3</v>
      </c>
      <c r="AQ140" t="str">
        <f t="shared" si="51"/>
        <v>&lt;=3</v>
      </c>
      <c r="AR140" t="str">
        <f t="shared" si="52"/>
        <v>&gt;3</v>
      </c>
    </row>
    <row r="141" spans="1:44" x14ac:dyDescent="0.3">
      <c r="A141" t="s">
        <v>33</v>
      </c>
      <c r="B141" t="s">
        <v>157</v>
      </c>
      <c r="C141" t="s">
        <v>365</v>
      </c>
      <c r="D141">
        <v>3418</v>
      </c>
      <c r="E141">
        <v>23210460</v>
      </c>
      <c r="F141" t="s">
        <v>433</v>
      </c>
      <c r="G141" t="s">
        <v>434</v>
      </c>
      <c r="H141">
        <v>600</v>
      </c>
      <c r="I141">
        <v>270</v>
      </c>
      <c r="J141">
        <v>162000</v>
      </c>
      <c r="K141" t="str">
        <f>IFERROR(IF(B141&lt;&gt;"", TEXT(VLOOKUP(B141, 'Expected Date'!A:B, 2, FALSE) + DATE(RIGHT(C141,2),MID(C141,4,2),LEFT(C141,2)), "dd/mm/yy"), ""), "")</f>
        <v>08/08/23</v>
      </c>
      <c r="L141" t="s">
        <v>38</v>
      </c>
      <c r="M141" t="s">
        <v>48</v>
      </c>
      <c r="N141" t="s">
        <v>435</v>
      </c>
      <c r="O141" t="s">
        <v>192</v>
      </c>
      <c r="P141">
        <v>23291084</v>
      </c>
      <c r="Q141" t="s">
        <v>433</v>
      </c>
      <c r="R141" t="s">
        <v>434</v>
      </c>
      <c r="S141">
        <v>600</v>
      </c>
      <c r="T141">
        <v>270</v>
      </c>
      <c r="U141">
        <v>162000</v>
      </c>
      <c r="V141" t="str">
        <f>V140</f>
        <v>Accepted</v>
      </c>
      <c r="W141">
        <f>IFERROR(VLOOKUP(N141, Payment_Terms!A:B, 2, FALSE), "Payment term not found!")</f>
        <v>0</v>
      </c>
      <c r="X141" t="str">
        <f>IFERROR(VLOOKUP(R141, Item_Category!A:B, 2, FALSE), "Uncategorized")</f>
        <v>Sodium salts</v>
      </c>
      <c r="Y141" s="5">
        <f t="shared" si="40"/>
        <v>0</v>
      </c>
      <c r="Z141">
        <f t="shared" si="41"/>
        <v>5</v>
      </c>
      <c r="AA141">
        <f t="shared" si="42"/>
        <v>6</v>
      </c>
      <c r="AB141">
        <f t="shared" si="43"/>
        <v>3</v>
      </c>
      <c r="AC141" s="10">
        <f t="shared" si="44"/>
        <v>16</v>
      </c>
      <c r="AD141" s="5">
        <f t="shared" si="36"/>
        <v>1</v>
      </c>
      <c r="AE141" s="5">
        <f t="shared" si="37"/>
        <v>1</v>
      </c>
      <c r="AF141" s="5">
        <f t="shared" si="45"/>
        <v>0</v>
      </c>
      <c r="AG141">
        <f>IF(B141&lt;&gt;"", COUNTIFS($B$2:B141, B141), "")</f>
        <v>3</v>
      </c>
      <c r="AH141">
        <f t="shared" si="46"/>
        <v>5</v>
      </c>
      <c r="AI141" t="str">
        <f>VLOOKUP(B141, Currency!A:B, 2, FALSE)</f>
        <v>INR</v>
      </c>
      <c r="AJ141">
        <f t="shared" si="38"/>
        <v>5</v>
      </c>
      <c r="AK141">
        <f t="shared" si="47"/>
        <v>7</v>
      </c>
      <c r="AL141" t="str">
        <f t="shared" si="48"/>
        <v>July</v>
      </c>
      <c r="AM141">
        <f t="shared" si="49"/>
        <v>2023</v>
      </c>
      <c r="AN141" t="str">
        <f t="shared" si="39"/>
        <v>0ZED CHEM PVT LTD</v>
      </c>
      <c r="AO141">
        <f>IF(COUNTIF($AN$2:AN141, AN141)=1, 1, 0)</f>
        <v>0</v>
      </c>
      <c r="AP141" t="str">
        <f t="shared" si="50"/>
        <v>&gt;3</v>
      </c>
      <c r="AQ141" t="str">
        <f t="shared" si="51"/>
        <v>&gt;3</v>
      </c>
      <c r="AR141" t="str">
        <f t="shared" si="52"/>
        <v>&lt;=3</v>
      </c>
    </row>
    <row r="142" spans="1:44" x14ac:dyDescent="0.3">
      <c r="A142" t="s">
        <v>33</v>
      </c>
      <c r="B142" t="s">
        <v>386</v>
      </c>
      <c r="C142" t="s">
        <v>121</v>
      </c>
      <c r="D142">
        <v>3692</v>
      </c>
      <c r="E142">
        <v>23210539</v>
      </c>
      <c r="F142" t="s">
        <v>437</v>
      </c>
      <c r="G142" t="s">
        <v>438</v>
      </c>
      <c r="H142">
        <v>15000</v>
      </c>
      <c r="I142">
        <v>9.31</v>
      </c>
      <c r="J142">
        <v>139650</v>
      </c>
      <c r="K142" t="str">
        <f>IFERROR(IF(B142&lt;&gt;"", TEXT(VLOOKUP(B142, 'Expected Date'!A:B, 2, FALSE) + DATE(RIGHT(C142,2),MID(C142,4,2),LEFT(C142,2)), "dd/mm/yy"), ""), "")</f>
        <v>15/08/23</v>
      </c>
      <c r="L142" t="s">
        <v>68</v>
      </c>
      <c r="M142" t="s">
        <v>48</v>
      </c>
      <c r="N142" t="s">
        <v>342</v>
      </c>
      <c r="O142" t="s">
        <v>192</v>
      </c>
      <c r="P142">
        <v>23291086</v>
      </c>
      <c r="Q142" t="s">
        <v>437</v>
      </c>
      <c r="R142" t="s">
        <v>438</v>
      </c>
      <c r="S142">
        <v>14628</v>
      </c>
      <c r="T142">
        <v>9.31</v>
      </c>
      <c r="U142">
        <v>136186.68</v>
      </c>
      <c r="V142" t="str">
        <f t="shared" ref="V142:V151" si="54">V140</f>
        <v>Accepted</v>
      </c>
      <c r="W142">
        <f>IFERROR(VLOOKUP(N142, Payment_Terms!A:B, 2, FALSE), "Payment term not found!")</f>
        <v>30</v>
      </c>
      <c r="X142" t="str">
        <f>IFERROR(VLOOKUP(R142, Item_Category!A:B, 2, FALSE), "Uncategorized")</f>
        <v>Liner</v>
      </c>
      <c r="Y142" s="5">
        <f t="shared" si="40"/>
        <v>2.4799999999999999E-2</v>
      </c>
      <c r="Z142">
        <f t="shared" si="41"/>
        <v>3</v>
      </c>
      <c r="AA142">
        <f t="shared" si="42"/>
        <v>-1</v>
      </c>
      <c r="AB142">
        <f t="shared" si="43"/>
        <v>5</v>
      </c>
      <c r="AC142" s="10">
        <f t="shared" si="44"/>
        <v>4</v>
      </c>
      <c r="AD142" s="5">
        <f t="shared" si="36"/>
        <v>1</v>
      </c>
      <c r="AE142" s="5">
        <f t="shared" si="37"/>
        <v>1</v>
      </c>
      <c r="AF142" s="5">
        <f t="shared" si="45"/>
        <v>0</v>
      </c>
      <c r="AG142">
        <f>IF(B142&lt;&gt;"", COUNTIFS($B$2:B142, B142), "")</f>
        <v>8</v>
      </c>
      <c r="AH142">
        <f t="shared" si="46"/>
        <v>5</v>
      </c>
      <c r="AI142" t="str">
        <f>VLOOKUP(B142, Currency!A:B, 2, FALSE)</f>
        <v>INR</v>
      </c>
      <c r="AJ142">
        <f t="shared" si="38"/>
        <v>5</v>
      </c>
      <c r="AK142">
        <f t="shared" si="47"/>
        <v>8</v>
      </c>
      <c r="AL142" t="str">
        <f t="shared" si="48"/>
        <v>August</v>
      </c>
      <c r="AM142">
        <f t="shared" si="49"/>
        <v>2023</v>
      </c>
      <c r="AN142" t="str">
        <f t="shared" si="39"/>
        <v>30Shree Shyam Enterprises</v>
      </c>
      <c r="AO142">
        <f>IF(COUNTIF($AN$2:AN142, AN142)=1, 1, 0)</f>
        <v>0</v>
      </c>
      <c r="AP142" t="str">
        <f t="shared" si="50"/>
        <v>&gt;3</v>
      </c>
      <c r="AQ142" t="str">
        <f t="shared" si="51"/>
        <v>&lt;=3</v>
      </c>
      <c r="AR142" t="str">
        <f t="shared" si="52"/>
        <v>&gt;3</v>
      </c>
    </row>
    <row r="143" spans="1:44" x14ac:dyDescent="0.3">
      <c r="A143" t="s">
        <v>33</v>
      </c>
      <c r="B143" t="s">
        <v>382</v>
      </c>
      <c r="C143" t="s">
        <v>279</v>
      </c>
      <c r="D143">
        <v>4449</v>
      </c>
      <c r="E143">
        <v>23210676</v>
      </c>
      <c r="F143" t="s">
        <v>479</v>
      </c>
      <c r="G143" t="s">
        <v>480</v>
      </c>
      <c r="H143">
        <v>1000</v>
      </c>
      <c r="I143">
        <v>38.200000000000003</v>
      </c>
      <c r="J143">
        <v>38200</v>
      </c>
      <c r="K143" t="str">
        <f>IFERROR(IF(B143&lt;&gt;"", TEXT(VLOOKUP(B143, 'Expected Date'!A:B, 2, FALSE) + DATE(RIGHT(C143,2),MID(C143,4,2),LEFT(C143,2)), "dd/mm/yy"), ""), "")</f>
        <v>29/09/23</v>
      </c>
      <c r="L143" t="s">
        <v>38</v>
      </c>
      <c r="M143" t="s">
        <v>48</v>
      </c>
      <c r="N143" t="s">
        <v>342</v>
      </c>
      <c r="O143" t="s">
        <v>181</v>
      </c>
      <c r="P143">
        <v>23291470</v>
      </c>
      <c r="Q143" t="s">
        <v>479</v>
      </c>
      <c r="R143" t="s">
        <v>480</v>
      </c>
      <c r="S143">
        <v>1000</v>
      </c>
      <c r="T143">
        <v>38.200000000000003</v>
      </c>
      <c r="U143">
        <v>38200</v>
      </c>
      <c r="V143" t="str">
        <f t="shared" si="54"/>
        <v>Accepted</v>
      </c>
      <c r="W143">
        <f>IFERROR(VLOOKUP(N143, Payment_Terms!A:B, 2, FALSE), "Payment term not found!")</f>
        <v>30</v>
      </c>
      <c r="X143" t="str">
        <f>IFERROR(VLOOKUP(R143, Item_Category!A:B, 2, FALSE), "Uncategorized")</f>
        <v>Soda Ash</v>
      </c>
      <c r="Y143" s="5">
        <f t="shared" si="40"/>
        <v>0</v>
      </c>
      <c r="Z143">
        <f t="shared" si="41"/>
        <v>5</v>
      </c>
      <c r="AA143">
        <f t="shared" si="42"/>
        <v>-8</v>
      </c>
      <c r="AB143">
        <f t="shared" si="43"/>
        <v>5</v>
      </c>
      <c r="AC143" s="10">
        <f t="shared" si="44"/>
        <v>2</v>
      </c>
      <c r="AD143" s="5">
        <f t="shared" si="36"/>
        <v>1</v>
      </c>
      <c r="AE143" s="5">
        <f t="shared" si="37"/>
        <v>1</v>
      </c>
      <c r="AF143" s="5">
        <f t="shared" si="45"/>
        <v>0</v>
      </c>
      <c r="AG143">
        <f>IF(B143&lt;&gt;"", COUNTIFS($B$2:B143, B143), "")</f>
        <v>7</v>
      </c>
      <c r="AH143">
        <f t="shared" si="46"/>
        <v>5</v>
      </c>
      <c r="AI143" t="str">
        <f>VLOOKUP(B143, Currency!A:B, 2, FALSE)</f>
        <v>INR</v>
      </c>
      <c r="AJ143">
        <f t="shared" si="38"/>
        <v>5</v>
      </c>
      <c r="AK143">
        <f t="shared" si="47"/>
        <v>9</v>
      </c>
      <c r="AL143" t="str">
        <f t="shared" si="48"/>
        <v>September</v>
      </c>
      <c r="AM143">
        <f t="shared" si="49"/>
        <v>2023</v>
      </c>
      <c r="AN143" t="str">
        <f t="shared" si="39"/>
        <v>30Aerochem Laboratories</v>
      </c>
      <c r="AO143">
        <f>IF(COUNTIF($AN$2:AN143, AN143)=1, 1, 0)</f>
        <v>0</v>
      </c>
      <c r="AP143" t="str">
        <f t="shared" si="50"/>
        <v>&gt;3</v>
      </c>
      <c r="AQ143" t="str">
        <f t="shared" si="51"/>
        <v>&gt;3</v>
      </c>
      <c r="AR143" t="str">
        <f t="shared" si="52"/>
        <v>&gt;3</v>
      </c>
    </row>
    <row r="144" spans="1:44" x14ac:dyDescent="0.3">
      <c r="A144" t="s">
        <v>33</v>
      </c>
      <c r="B144" t="s">
        <v>371</v>
      </c>
      <c r="C144" t="s">
        <v>482</v>
      </c>
      <c r="D144">
        <v>4236</v>
      </c>
      <c r="E144">
        <v>23210630</v>
      </c>
      <c r="F144" t="s">
        <v>372</v>
      </c>
      <c r="G144" t="s">
        <v>373</v>
      </c>
      <c r="H144">
        <v>20</v>
      </c>
      <c r="I144">
        <v>1100</v>
      </c>
      <c r="J144">
        <v>22000</v>
      </c>
      <c r="K144" t="str">
        <f>IFERROR(IF(B144&lt;&gt;"", TEXT(VLOOKUP(B144, 'Expected Date'!A:B, 2, FALSE) + DATE(RIGHT(C144,2),MID(C144,4,2),LEFT(C144,2)), "dd/mm/yy"), ""), "")</f>
        <v>12/09/23</v>
      </c>
      <c r="L144" t="s">
        <v>38</v>
      </c>
      <c r="M144" t="s">
        <v>48</v>
      </c>
      <c r="N144" t="s">
        <v>342</v>
      </c>
      <c r="O144" t="s">
        <v>164</v>
      </c>
      <c r="P144">
        <v>23291353</v>
      </c>
      <c r="Q144" t="s">
        <v>372</v>
      </c>
      <c r="R144" t="s">
        <v>373</v>
      </c>
      <c r="S144">
        <v>10.11</v>
      </c>
      <c r="T144">
        <v>1100</v>
      </c>
      <c r="U144">
        <v>11121</v>
      </c>
      <c r="V144" t="str">
        <f t="shared" si="54"/>
        <v>Accepted</v>
      </c>
      <c r="W144">
        <f>IFERROR(VLOOKUP(N144, Payment_Terms!A:B, 2, FALSE), "Payment term not found!")</f>
        <v>30</v>
      </c>
      <c r="X144" t="str">
        <f>IFERROR(VLOOKUP(R144, Item_Category!A:B, 2, FALSE), "Uncategorized")</f>
        <v>HCL</v>
      </c>
      <c r="Y144" s="5">
        <f t="shared" si="40"/>
        <v>0</v>
      </c>
      <c r="Z144">
        <f t="shared" si="41"/>
        <v>5</v>
      </c>
      <c r="AA144">
        <f t="shared" si="42"/>
        <v>-4</v>
      </c>
      <c r="AB144">
        <f t="shared" si="43"/>
        <v>5</v>
      </c>
      <c r="AC144" s="10">
        <f t="shared" si="44"/>
        <v>1</v>
      </c>
      <c r="AD144" s="5">
        <f t="shared" si="36"/>
        <v>1</v>
      </c>
      <c r="AE144" s="5">
        <f t="shared" si="37"/>
        <v>1</v>
      </c>
      <c r="AF144" s="5">
        <f t="shared" si="45"/>
        <v>0</v>
      </c>
      <c r="AG144">
        <f>IF(B144&lt;&gt;"", COUNTIFS($B$2:B144, B144), "")</f>
        <v>6</v>
      </c>
      <c r="AH144">
        <f t="shared" si="46"/>
        <v>5</v>
      </c>
      <c r="AI144" t="str">
        <f>VLOOKUP(B144, Currency!A:B, 2, FALSE)</f>
        <v>INR</v>
      </c>
      <c r="AJ144">
        <f t="shared" si="38"/>
        <v>5</v>
      </c>
      <c r="AK144">
        <f t="shared" si="47"/>
        <v>9</v>
      </c>
      <c r="AL144" t="str">
        <f t="shared" si="48"/>
        <v>September</v>
      </c>
      <c r="AM144">
        <f t="shared" si="49"/>
        <v>2023</v>
      </c>
      <c r="AN144" t="str">
        <f t="shared" si="39"/>
        <v>30SHREE ACID AND CHEMICALS</v>
      </c>
      <c r="AO144">
        <f>IF(COUNTIF($AN$2:AN144, AN144)=1, 1, 0)</f>
        <v>0</v>
      </c>
      <c r="AP144" t="str">
        <f t="shared" si="50"/>
        <v>&gt;3</v>
      </c>
      <c r="AQ144" t="str">
        <f t="shared" si="51"/>
        <v>&gt;3</v>
      </c>
      <c r="AR144" t="str">
        <f t="shared" si="52"/>
        <v>&gt;3</v>
      </c>
    </row>
    <row r="145" spans="1:44" x14ac:dyDescent="0.3">
      <c r="A145" t="s">
        <v>33</v>
      </c>
      <c r="B145" t="s">
        <v>483</v>
      </c>
      <c r="C145" t="s">
        <v>71</v>
      </c>
      <c r="D145">
        <v>2599</v>
      </c>
      <c r="E145">
        <v>23210325</v>
      </c>
      <c r="F145" t="s">
        <v>349</v>
      </c>
      <c r="G145" t="s">
        <v>350</v>
      </c>
      <c r="H145">
        <v>18.010000000000002</v>
      </c>
      <c r="I145">
        <v>45310</v>
      </c>
      <c r="J145">
        <v>816033.1</v>
      </c>
      <c r="K145" t="str">
        <f>IFERROR(IF(B145&lt;&gt;"", TEXT(VLOOKUP(B145, 'Expected Date'!A:B, 2, FALSE) + DATE(RIGHT(C145,2),MID(C145,4,2),LEFT(C145,2)), "dd/mm/yy"), ""), "")</f>
        <v>02/07/23</v>
      </c>
      <c r="L145" t="s">
        <v>38</v>
      </c>
      <c r="M145" t="s">
        <v>48</v>
      </c>
      <c r="N145" t="s">
        <v>484</v>
      </c>
      <c r="O145" t="s">
        <v>63</v>
      </c>
      <c r="P145">
        <v>23290634</v>
      </c>
      <c r="Q145" t="s">
        <v>349</v>
      </c>
      <c r="R145" t="s">
        <v>350</v>
      </c>
      <c r="S145">
        <v>18.010000000000002</v>
      </c>
      <c r="T145">
        <v>45310</v>
      </c>
      <c r="U145">
        <v>816033.1</v>
      </c>
      <c r="V145" t="str">
        <f t="shared" si="54"/>
        <v>Accepted</v>
      </c>
      <c r="W145">
        <f>IFERROR(VLOOKUP(N145, Payment_Terms!A:B, 2, FALSE), "Payment term not found!")</f>
        <v>0</v>
      </c>
      <c r="X145" t="str">
        <f>IFERROR(VLOOKUP(R145, Item_Category!A:B, 2, FALSE), "Uncategorized")</f>
        <v>Oil</v>
      </c>
      <c r="Y145" s="5">
        <f t="shared" si="40"/>
        <v>0</v>
      </c>
      <c r="Z145">
        <f t="shared" si="41"/>
        <v>5</v>
      </c>
      <c r="AA145">
        <f t="shared" si="42"/>
        <v>-8</v>
      </c>
      <c r="AB145">
        <f t="shared" si="43"/>
        <v>5</v>
      </c>
      <c r="AC145" s="10">
        <f t="shared" si="44"/>
        <v>2</v>
      </c>
      <c r="AD145" s="5">
        <f t="shared" si="36"/>
        <v>1</v>
      </c>
      <c r="AE145" s="5">
        <f t="shared" si="37"/>
        <v>1</v>
      </c>
      <c r="AF145" s="5">
        <f t="shared" si="45"/>
        <v>0</v>
      </c>
      <c r="AG145">
        <f>IF(B145&lt;&gt;"", COUNTIFS($B$2:B145, B145), "")</f>
        <v>1</v>
      </c>
      <c r="AH145">
        <f t="shared" si="46"/>
        <v>5</v>
      </c>
      <c r="AI145" t="str">
        <f>VLOOKUP(B145, Currency!A:B, 2, FALSE)</f>
        <v>INR</v>
      </c>
      <c r="AJ145">
        <f t="shared" si="38"/>
        <v>5</v>
      </c>
      <c r="AK145">
        <f t="shared" si="47"/>
        <v>6</v>
      </c>
      <c r="AL145" t="str">
        <f t="shared" si="48"/>
        <v>June</v>
      </c>
      <c r="AM145">
        <f t="shared" si="49"/>
        <v>2023</v>
      </c>
      <c r="AN145" t="str">
        <f t="shared" si="39"/>
        <v>0JUPITER PETROCHEM</v>
      </c>
      <c r="AO145">
        <f>IF(COUNTIF($AN$2:AN145, AN145)=1, 1, 0)</f>
        <v>1</v>
      </c>
      <c r="AP145" t="str">
        <f t="shared" si="50"/>
        <v>&gt;3</v>
      </c>
      <c r="AQ145" t="str">
        <f t="shared" si="51"/>
        <v>&gt;3</v>
      </c>
      <c r="AR145" t="str">
        <f t="shared" si="52"/>
        <v>&gt;3</v>
      </c>
    </row>
    <row r="146" spans="1:44" x14ac:dyDescent="0.3">
      <c r="A146" t="s">
        <v>33</v>
      </c>
      <c r="B146" t="s">
        <v>371</v>
      </c>
      <c r="C146" t="s">
        <v>192</v>
      </c>
      <c r="D146">
        <v>3771</v>
      </c>
      <c r="E146">
        <v>23210547</v>
      </c>
      <c r="F146" t="s">
        <v>372</v>
      </c>
      <c r="G146" t="s">
        <v>373</v>
      </c>
      <c r="H146">
        <v>20</v>
      </c>
      <c r="I146">
        <v>1100</v>
      </c>
      <c r="J146">
        <v>22000</v>
      </c>
      <c r="K146" t="str">
        <f>IFERROR(IF(B146&lt;&gt;"", TEXT(VLOOKUP(B146, 'Expected Date'!A:B, 2, FALSE) + DATE(RIGHT(C146,2),MID(C146,4,2),LEFT(C146,2)), "dd/mm/yy"), ""), "")</f>
        <v>19/08/23</v>
      </c>
      <c r="L146" t="s">
        <v>68</v>
      </c>
      <c r="M146" t="s">
        <v>48</v>
      </c>
      <c r="N146" t="s">
        <v>342</v>
      </c>
      <c r="O146" t="s">
        <v>332</v>
      </c>
      <c r="P146">
        <v>23291265</v>
      </c>
      <c r="Q146" t="s">
        <v>372</v>
      </c>
      <c r="R146" t="s">
        <v>373</v>
      </c>
      <c r="S146">
        <v>9.94</v>
      </c>
      <c r="T146">
        <v>1100</v>
      </c>
      <c r="U146">
        <v>10934</v>
      </c>
      <c r="V146" t="str">
        <f t="shared" si="54"/>
        <v>Accepted</v>
      </c>
      <c r="W146">
        <f>IFERROR(VLOOKUP(N146, Payment_Terms!A:B, 2, FALSE), "Payment term not found!")</f>
        <v>30</v>
      </c>
      <c r="X146" t="str">
        <f>IFERROR(VLOOKUP(R146, Item_Category!A:B, 2, FALSE), "Uncategorized")</f>
        <v>HCL</v>
      </c>
      <c r="Y146" s="5">
        <f t="shared" si="40"/>
        <v>4.9999999999990048E-4</v>
      </c>
      <c r="Z146">
        <f t="shared" si="41"/>
        <v>4</v>
      </c>
      <c r="AA146">
        <f t="shared" si="42"/>
        <v>10</v>
      </c>
      <c r="AB146">
        <f t="shared" si="43"/>
        <v>2</v>
      </c>
      <c r="AC146" s="10">
        <f t="shared" si="44"/>
        <v>15</v>
      </c>
      <c r="AD146" s="5">
        <f t="shared" si="36"/>
        <v>1</v>
      </c>
      <c r="AE146" s="5">
        <f t="shared" si="37"/>
        <v>1</v>
      </c>
      <c r="AF146" s="5">
        <f t="shared" si="45"/>
        <v>0</v>
      </c>
      <c r="AG146">
        <f>IF(B146&lt;&gt;"", COUNTIFS($B$2:B146, B146), "")</f>
        <v>7</v>
      </c>
      <c r="AH146">
        <f t="shared" si="46"/>
        <v>5</v>
      </c>
      <c r="AI146" t="str">
        <f>VLOOKUP(B146, Currency!A:B, 2, FALSE)</f>
        <v>INR</v>
      </c>
      <c r="AJ146">
        <f t="shared" si="38"/>
        <v>4</v>
      </c>
      <c r="AK146">
        <f t="shared" si="47"/>
        <v>8</v>
      </c>
      <c r="AL146" t="str">
        <f t="shared" si="48"/>
        <v>August</v>
      </c>
      <c r="AM146">
        <f t="shared" si="49"/>
        <v>2023</v>
      </c>
      <c r="AN146" t="str">
        <f t="shared" si="39"/>
        <v>30SHREE ACID AND CHEMICALS</v>
      </c>
      <c r="AO146">
        <f>IF(COUNTIF($AN$2:AN146, AN146)=1, 1, 0)</f>
        <v>0</v>
      </c>
      <c r="AP146" t="str">
        <f t="shared" si="50"/>
        <v>&gt;3</v>
      </c>
      <c r="AQ146" t="str">
        <f t="shared" si="51"/>
        <v>&gt;3</v>
      </c>
      <c r="AR146" t="str">
        <f t="shared" si="52"/>
        <v>&lt;=3</v>
      </c>
    </row>
    <row r="147" spans="1:44" x14ac:dyDescent="0.3">
      <c r="A147" t="s">
        <v>33</v>
      </c>
      <c r="B147" t="s">
        <v>122</v>
      </c>
      <c r="C147" t="s">
        <v>281</v>
      </c>
      <c r="D147">
        <v>4184</v>
      </c>
      <c r="E147">
        <v>23210616</v>
      </c>
      <c r="F147" t="s">
        <v>405</v>
      </c>
      <c r="G147" t="s">
        <v>406</v>
      </c>
      <c r="H147">
        <v>600</v>
      </c>
      <c r="I147">
        <v>930</v>
      </c>
      <c r="J147">
        <v>558000</v>
      </c>
      <c r="K147" t="str">
        <f>IFERROR(IF(B147&lt;&gt;"", TEXT(VLOOKUP(B147, 'Expected Date'!A:B, 2, FALSE) + DATE(RIGHT(C147,2),MID(C147,4,2),LEFT(C147,2)), "dd/mm/yy"), ""), "")</f>
        <v>20/09/23</v>
      </c>
      <c r="L147" t="s">
        <v>38</v>
      </c>
      <c r="M147" t="s">
        <v>39</v>
      </c>
      <c r="N147" t="s">
        <v>364</v>
      </c>
      <c r="O147" t="s">
        <v>279</v>
      </c>
      <c r="P147">
        <v>23291469</v>
      </c>
      <c r="Q147" t="s">
        <v>405</v>
      </c>
      <c r="R147" t="s">
        <v>406</v>
      </c>
      <c r="S147">
        <v>140</v>
      </c>
      <c r="T147">
        <v>930</v>
      </c>
      <c r="U147">
        <v>130200</v>
      </c>
      <c r="V147" t="str">
        <f t="shared" si="54"/>
        <v>Accepted</v>
      </c>
      <c r="W147">
        <f>IFERROR(VLOOKUP(N147, Payment_Terms!A:B, 2, FALSE), "Payment term not found!")</f>
        <v>30</v>
      </c>
      <c r="X147" t="str">
        <f>IFERROR(VLOOKUP(R147, Item_Category!A:B, 2, FALSE), "Uncategorized")</f>
        <v>Pallets</v>
      </c>
      <c r="Y147" s="5">
        <f t="shared" si="40"/>
        <v>0</v>
      </c>
      <c r="Z147">
        <f t="shared" si="41"/>
        <v>5</v>
      </c>
      <c r="AA147">
        <f t="shared" si="42"/>
        <v>-1</v>
      </c>
      <c r="AB147">
        <f t="shared" si="43"/>
        <v>5</v>
      </c>
      <c r="AC147" s="10">
        <f t="shared" si="44"/>
        <v>14</v>
      </c>
      <c r="AD147" s="5">
        <f t="shared" si="36"/>
        <v>1</v>
      </c>
      <c r="AE147" s="5">
        <f t="shared" si="37"/>
        <v>1</v>
      </c>
      <c r="AF147" s="5">
        <f t="shared" si="45"/>
        <v>0</v>
      </c>
      <c r="AG147">
        <f>IF(B147&lt;&gt;"", COUNTIFS($B$2:B147, B147), "")</f>
        <v>19</v>
      </c>
      <c r="AH147">
        <f t="shared" si="46"/>
        <v>5</v>
      </c>
      <c r="AI147" t="str">
        <f>VLOOKUP(B147, Currency!A:B, 2, FALSE)</f>
        <v>INR</v>
      </c>
      <c r="AJ147">
        <f t="shared" si="38"/>
        <v>5</v>
      </c>
      <c r="AK147">
        <f t="shared" si="47"/>
        <v>9</v>
      </c>
      <c r="AL147" t="str">
        <f t="shared" si="48"/>
        <v>September</v>
      </c>
      <c r="AM147">
        <f t="shared" si="49"/>
        <v>2023</v>
      </c>
      <c r="AN147" t="str">
        <f t="shared" si="39"/>
        <v>30Plastocon Industries Pvt Ltd</v>
      </c>
      <c r="AO147">
        <f>IF(COUNTIF($AN$2:AN147, AN147)=1, 1, 0)</f>
        <v>0</v>
      </c>
      <c r="AP147" t="str">
        <f t="shared" si="50"/>
        <v>&gt;3</v>
      </c>
      <c r="AQ147" t="str">
        <f t="shared" si="51"/>
        <v>&gt;3</v>
      </c>
      <c r="AR147" t="str">
        <f t="shared" si="52"/>
        <v>&gt;3</v>
      </c>
    </row>
    <row r="148" spans="1:44" x14ac:dyDescent="0.3">
      <c r="A148" t="s">
        <v>33</v>
      </c>
      <c r="B148" t="s">
        <v>386</v>
      </c>
      <c r="C148" t="s">
        <v>165</v>
      </c>
      <c r="D148">
        <v>2308</v>
      </c>
      <c r="E148">
        <v>23210249</v>
      </c>
      <c r="F148" t="s">
        <v>410</v>
      </c>
      <c r="G148" t="s">
        <v>411</v>
      </c>
      <c r="H148">
        <v>510</v>
      </c>
      <c r="I148">
        <v>129</v>
      </c>
      <c r="J148">
        <v>65790</v>
      </c>
      <c r="K148" t="str">
        <f>IFERROR(IF(B148&lt;&gt;"", TEXT(VLOOKUP(B148, 'Expected Date'!A:B, 2, FALSE) + DATE(RIGHT(C148,2),MID(C148,4,2),LEFT(C148,2)), "dd/mm/yy"), ""), "")</f>
        <v>12/06/23</v>
      </c>
      <c r="L148" t="s">
        <v>38</v>
      </c>
      <c r="M148" t="s">
        <v>39</v>
      </c>
      <c r="N148" t="s">
        <v>342</v>
      </c>
      <c r="O148" t="s">
        <v>231</v>
      </c>
      <c r="P148">
        <v>23290483</v>
      </c>
      <c r="Q148" t="s">
        <v>410</v>
      </c>
      <c r="R148" t="s">
        <v>411</v>
      </c>
      <c r="S148">
        <v>518</v>
      </c>
      <c r="T148">
        <v>129</v>
      </c>
      <c r="U148">
        <v>66822</v>
      </c>
      <c r="V148" t="str">
        <f t="shared" si="54"/>
        <v>Accepted</v>
      </c>
      <c r="W148">
        <f>IFERROR(VLOOKUP(N148, Payment_Terms!A:B, 2, FALSE), "Payment term not found!")</f>
        <v>30</v>
      </c>
      <c r="X148" t="str">
        <f>IFERROR(VLOOKUP(R148, Item_Category!A:B, 2, FALSE), "Uncategorized")</f>
        <v>Wrapping 23</v>
      </c>
      <c r="Y148" s="5">
        <f t="shared" si="40"/>
        <v>0</v>
      </c>
      <c r="Z148">
        <f t="shared" si="41"/>
        <v>5</v>
      </c>
      <c r="AA148">
        <f t="shared" si="42"/>
        <v>-3</v>
      </c>
      <c r="AB148">
        <f t="shared" si="43"/>
        <v>5</v>
      </c>
      <c r="AC148" s="10">
        <f t="shared" si="44"/>
        <v>2</v>
      </c>
      <c r="AD148" s="5">
        <f t="shared" si="36"/>
        <v>1</v>
      </c>
      <c r="AE148" s="5">
        <f t="shared" si="37"/>
        <v>1</v>
      </c>
      <c r="AF148" s="5">
        <f t="shared" si="45"/>
        <v>0</v>
      </c>
      <c r="AG148">
        <f>IF(B148&lt;&gt;"", COUNTIFS($B$2:B148, B148), "")</f>
        <v>9</v>
      </c>
      <c r="AH148">
        <f t="shared" si="46"/>
        <v>5</v>
      </c>
      <c r="AI148" t="str">
        <f>VLOOKUP(B148, Currency!A:B, 2, FALSE)</f>
        <v>INR</v>
      </c>
      <c r="AJ148">
        <f t="shared" si="38"/>
        <v>5</v>
      </c>
      <c r="AK148">
        <f t="shared" si="47"/>
        <v>6</v>
      </c>
      <c r="AL148" t="str">
        <f t="shared" si="48"/>
        <v>June</v>
      </c>
      <c r="AM148">
        <f t="shared" si="49"/>
        <v>2023</v>
      </c>
      <c r="AN148" t="str">
        <f t="shared" si="39"/>
        <v>30Shree Shyam Enterprises</v>
      </c>
      <c r="AO148">
        <f>IF(COUNTIF($AN$2:AN148, AN148)=1, 1, 0)</f>
        <v>0</v>
      </c>
      <c r="AP148" t="str">
        <f t="shared" si="50"/>
        <v>&gt;3</v>
      </c>
      <c r="AQ148" t="str">
        <f t="shared" si="51"/>
        <v>&gt;3</v>
      </c>
      <c r="AR148" t="str">
        <f t="shared" si="52"/>
        <v>&gt;3</v>
      </c>
    </row>
    <row r="149" spans="1:44" x14ac:dyDescent="0.3">
      <c r="A149" t="s">
        <v>33</v>
      </c>
      <c r="B149" t="str">
        <f>B2</f>
        <v>Ami Enterprises</v>
      </c>
      <c r="C149" t="s">
        <v>416</v>
      </c>
      <c r="D149">
        <v>2119</v>
      </c>
      <c r="E149">
        <v>23210181</v>
      </c>
      <c r="F149" t="s">
        <v>485</v>
      </c>
      <c r="G149" t="s">
        <v>486</v>
      </c>
      <c r="H149">
        <v>1000</v>
      </c>
      <c r="I149">
        <v>28</v>
      </c>
      <c r="J149">
        <v>28000</v>
      </c>
      <c r="K149" t="str">
        <f>IFERROR(IF(B149&lt;&gt;"", TEXT(VLOOKUP(B149, 'Expected Date'!A:B, 2, FALSE) + DATE(RIGHT(C149,2),MID(C149,4,2),LEFT(C149,2)), "dd/mm/yy"), ""), "")</f>
        <v>30/05/23</v>
      </c>
      <c r="L149" t="s">
        <v>38</v>
      </c>
      <c r="M149" t="s">
        <v>39</v>
      </c>
      <c r="N149" t="s">
        <v>342</v>
      </c>
      <c r="O149" t="s">
        <v>432</v>
      </c>
      <c r="P149">
        <v>23290367</v>
      </c>
      <c r="Q149" t="s">
        <v>485</v>
      </c>
      <c r="R149" t="s">
        <v>486</v>
      </c>
      <c r="S149">
        <v>1000</v>
      </c>
      <c r="T149">
        <v>28</v>
      </c>
      <c r="U149">
        <v>28000</v>
      </c>
      <c r="V149" t="str">
        <f t="shared" si="54"/>
        <v>Accepted</v>
      </c>
      <c r="W149">
        <f>IFERROR(VLOOKUP(N149, Payment_Terms!A:B, 2, FALSE), "Payment term not found!")</f>
        <v>30</v>
      </c>
      <c r="X149" t="str">
        <f>IFERROR(VLOOKUP(R149, Item_Category!A:B, 2, FALSE), "Uncategorized")</f>
        <v>Liner</v>
      </c>
      <c r="Y149" s="5">
        <f t="shared" si="40"/>
        <v>0</v>
      </c>
      <c r="Z149">
        <f t="shared" si="41"/>
        <v>5</v>
      </c>
      <c r="AA149">
        <f t="shared" si="42"/>
        <v>-8</v>
      </c>
      <c r="AB149">
        <f t="shared" si="43"/>
        <v>5</v>
      </c>
      <c r="AC149" s="10">
        <f t="shared" si="44"/>
        <v>2</v>
      </c>
      <c r="AD149" s="5">
        <f t="shared" si="36"/>
        <v>1</v>
      </c>
      <c r="AE149" s="5">
        <f t="shared" si="37"/>
        <v>1</v>
      </c>
      <c r="AF149" s="5">
        <f t="shared" si="45"/>
        <v>0</v>
      </c>
      <c r="AG149">
        <f>IF(B149&lt;&gt;"", COUNTIFS($B$2:B149, B149), "")</f>
        <v>11</v>
      </c>
      <c r="AH149">
        <f t="shared" si="46"/>
        <v>5</v>
      </c>
      <c r="AI149" t="str">
        <f>VLOOKUP(B149, Currency!A:B, 2, FALSE)</f>
        <v>INR</v>
      </c>
      <c r="AJ149">
        <f t="shared" si="38"/>
        <v>5</v>
      </c>
      <c r="AK149">
        <f t="shared" si="47"/>
        <v>5</v>
      </c>
      <c r="AL149" t="str">
        <f t="shared" si="48"/>
        <v>May</v>
      </c>
      <c r="AM149">
        <f t="shared" si="49"/>
        <v>2023</v>
      </c>
      <c r="AN149" t="str">
        <f t="shared" si="39"/>
        <v>30Ami Enterprises</v>
      </c>
      <c r="AO149">
        <f>IF(COUNTIF($AN$2:AN149, AN149)=1, 1, 0)</f>
        <v>0</v>
      </c>
      <c r="AP149" t="str">
        <f t="shared" si="50"/>
        <v>&gt;3</v>
      </c>
      <c r="AQ149" t="str">
        <f t="shared" si="51"/>
        <v>&gt;3</v>
      </c>
      <c r="AR149" t="str">
        <f t="shared" si="52"/>
        <v>&gt;3</v>
      </c>
    </row>
    <row r="150" spans="1:44" x14ac:dyDescent="0.3">
      <c r="A150" t="s">
        <v>33</v>
      </c>
      <c r="B150" t="s">
        <v>436</v>
      </c>
      <c r="C150" t="s">
        <v>416</v>
      </c>
      <c r="D150">
        <v>2118</v>
      </c>
      <c r="E150">
        <v>23210180</v>
      </c>
      <c r="F150" t="s">
        <v>430</v>
      </c>
      <c r="G150" t="s">
        <v>431</v>
      </c>
      <c r="H150">
        <v>7000</v>
      </c>
      <c r="I150">
        <v>9</v>
      </c>
      <c r="J150">
        <v>63000</v>
      </c>
      <c r="K150" t="str">
        <f>IFERROR(IF(B150&lt;&gt;"", TEXT(VLOOKUP(B150, 'Expected Date'!A:B, 2, FALSE) + DATE(RIGHT(C150,2),MID(C150,4,2),LEFT(C150,2)), "dd/mm/yy"), ""), "")</f>
        <v>30/05/23</v>
      </c>
      <c r="L150" t="s">
        <v>68</v>
      </c>
      <c r="M150" t="s">
        <v>48</v>
      </c>
      <c r="N150" t="s">
        <v>342</v>
      </c>
      <c r="O150" t="s">
        <v>179</v>
      </c>
      <c r="P150">
        <v>23290368</v>
      </c>
      <c r="Q150" t="s">
        <v>430</v>
      </c>
      <c r="R150" t="s">
        <v>431</v>
      </c>
      <c r="S150">
        <v>2500</v>
      </c>
      <c r="T150">
        <v>9</v>
      </c>
      <c r="U150">
        <v>22500</v>
      </c>
      <c r="V150" t="str">
        <f t="shared" si="54"/>
        <v>Accepted</v>
      </c>
      <c r="W150">
        <f>IFERROR(VLOOKUP(N150, Payment_Terms!A:B, 2, FALSE), "Payment term not found!")</f>
        <v>30</v>
      </c>
      <c r="X150" t="str">
        <f>IFERROR(VLOOKUP(R150, Item_Category!A:B, 2, FALSE), "Uncategorized")</f>
        <v>Lime</v>
      </c>
      <c r="Y150" s="5">
        <f t="shared" si="40"/>
        <v>0.6428571428571429</v>
      </c>
      <c r="Z150">
        <f t="shared" si="41"/>
        <v>1</v>
      </c>
      <c r="AA150">
        <f t="shared" si="42"/>
        <v>-7</v>
      </c>
      <c r="AB150">
        <f t="shared" si="43"/>
        <v>5</v>
      </c>
      <c r="AC150" s="10">
        <f t="shared" si="44"/>
        <v>3</v>
      </c>
      <c r="AD150" s="5">
        <f t="shared" si="36"/>
        <v>1</v>
      </c>
      <c r="AE150" s="5">
        <f t="shared" si="37"/>
        <v>1</v>
      </c>
      <c r="AF150" s="5">
        <f t="shared" si="45"/>
        <v>0</v>
      </c>
      <c r="AG150">
        <f>IF(B150&lt;&gt;"", COUNTIFS($B$2:B150, B150), "")</f>
        <v>5</v>
      </c>
      <c r="AH150">
        <f t="shared" si="46"/>
        <v>5</v>
      </c>
      <c r="AI150" t="str">
        <f>VLOOKUP(B150, Currency!A:B, 2, FALSE)</f>
        <v>INR</v>
      </c>
      <c r="AJ150">
        <f t="shared" si="38"/>
        <v>4</v>
      </c>
      <c r="AK150">
        <f t="shared" si="47"/>
        <v>5</v>
      </c>
      <c r="AL150" t="str">
        <f t="shared" si="48"/>
        <v>May</v>
      </c>
      <c r="AM150">
        <f t="shared" si="49"/>
        <v>2023</v>
      </c>
      <c r="AN150" t="str">
        <f t="shared" si="39"/>
        <v>30Shree Gopal Celluchem Pvt Ltd</v>
      </c>
      <c r="AO150">
        <f>IF(COUNTIF($AN$2:AN150, AN150)=1, 1, 0)</f>
        <v>0</v>
      </c>
      <c r="AP150" t="str">
        <f t="shared" si="50"/>
        <v>&gt;3</v>
      </c>
      <c r="AQ150" t="str">
        <f t="shared" si="51"/>
        <v>&lt;=3</v>
      </c>
      <c r="AR150" t="str">
        <f t="shared" si="52"/>
        <v>&gt;3</v>
      </c>
    </row>
    <row r="151" spans="1:44" x14ac:dyDescent="0.3">
      <c r="A151" t="s">
        <v>111</v>
      </c>
      <c r="B151" t="s">
        <v>296</v>
      </c>
      <c r="C151" t="s">
        <v>374</v>
      </c>
      <c r="D151">
        <v>1251</v>
      </c>
      <c r="E151">
        <v>23210020</v>
      </c>
      <c r="F151" t="s">
        <v>445</v>
      </c>
      <c r="G151" t="s">
        <v>446</v>
      </c>
      <c r="H151">
        <v>12000</v>
      </c>
      <c r="I151">
        <v>205</v>
      </c>
      <c r="J151">
        <v>2460000</v>
      </c>
      <c r="K151" t="str">
        <f>IFERROR(IF(B151&lt;&gt;"", TEXT(VLOOKUP(B151, 'Expected Date'!A:B, 2, FALSE) + DATE(RIGHT(C151,2),MID(C151,4,2),LEFT(C151,2)), "dd/mm/yy"), ""), "")</f>
        <v>28/04/23</v>
      </c>
      <c r="L151" t="s">
        <v>38</v>
      </c>
      <c r="M151" t="s">
        <v>48</v>
      </c>
      <c r="N151" t="s">
        <v>381</v>
      </c>
      <c r="O151" t="s">
        <v>137</v>
      </c>
      <c r="P151">
        <v>23290376</v>
      </c>
      <c r="Q151" t="s">
        <v>445</v>
      </c>
      <c r="R151" t="s">
        <v>446</v>
      </c>
      <c r="S151">
        <v>2000</v>
      </c>
      <c r="T151">
        <v>205</v>
      </c>
      <c r="U151">
        <v>410000</v>
      </c>
      <c r="V151" t="str">
        <f t="shared" si="54"/>
        <v>Accepted</v>
      </c>
      <c r="W151">
        <f>IFERROR(VLOOKUP(N151, Payment_Terms!A:B, 2, FALSE), "Payment term not found!")</f>
        <v>30</v>
      </c>
      <c r="X151" t="str">
        <f>IFERROR(VLOOKUP(R151, Item_Category!A:B, 2, FALSE), "Uncategorized")</f>
        <v>SSG - Potato</v>
      </c>
      <c r="Y151" s="5">
        <f t="shared" si="40"/>
        <v>0</v>
      </c>
      <c r="Z151">
        <f t="shared" si="41"/>
        <v>5</v>
      </c>
      <c r="AA151">
        <f t="shared" si="42"/>
        <v>28</v>
      </c>
      <c r="AB151">
        <f t="shared" si="43"/>
        <v>1</v>
      </c>
      <c r="AC151" s="10">
        <f t="shared" si="44"/>
        <v>43</v>
      </c>
      <c r="AD151" s="5">
        <f t="shared" si="36"/>
        <v>1</v>
      </c>
      <c r="AE151" s="5">
        <f t="shared" si="37"/>
        <v>1</v>
      </c>
      <c r="AF151" s="5">
        <f t="shared" si="45"/>
        <v>0</v>
      </c>
      <c r="AG151">
        <f>IF(B151&lt;&gt;"", COUNTIFS($B$2:B151, B151), "")</f>
        <v>5</v>
      </c>
      <c r="AH151">
        <f t="shared" si="46"/>
        <v>5</v>
      </c>
      <c r="AI151" t="str">
        <f>VLOOKUP(B151, Currency!A:B, 2, FALSE)</f>
        <v>INR</v>
      </c>
      <c r="AJ151">
        <f t="shared" si="38"/>
        <v>4</v>
      </c>
      <c r="AK151">
        <f t="shared" si="47"/>
        <v>4</v>
      </c>
      <c r="AL151" t="str">
        <f t="shared" si="48"/>
        <v>April</v>
      </c>
      <c r="AM151">
        <f t="shared" si="49"/>
        <v>2023</v>
      </c>
      <c r="AN151" t="str">
        <f t="shared" si="39"/>
        <v>30Ascot Pharmachem Pvt Ltd</v>
      </c>
      <c r="AO151">
        <f>IF(COUNTIF($AN$2:AN151, AN151)=1, 1, 0)</f>
        <v>0</v>
      </c>
      <c r="AP151" t="str">
        <f t="shared" si="50"/>
        <v>&gt;3</v>
      </c>
      <c r="AQ151" t="str">
        <f t="shared" si="51"/>
        <v>&gt;3</v>
      </c>
      <c r="AR151" t="str">
        <f t="shared" si="52"/>
        <v>&lt;=3</v>
      </c>
    </row>
    <row r="152" spans="1:44" x14ac:dyDescent="0.3">
      <c r="A152" t="s">
        <v>33</v>
      </c>
      <c r="B152" t="s">
        <v>366</v>
      </c>
      <c r="C152" t="s">
        <v>308</v>
      </c>
      <c r="D152">
        <v>2491</v>
      </c>
      <c r="E152">
        <v>23210297</v>
      </c>
      <c r="F152" t="s">
        <v>392</v>
      </c>
      <c r="G152" t="s">
        <v>393</v>
      </c>
      <c r="H152">
        <v>150</v>
      </c>
      <c r="I152">
        <v>11000</v>
      </c>
      <c r="J152">
        <v>1650000</v>
      </c>
      <c r="K152" t="str">
        <f>IFERROR(IF(B152&lt;&gt;"", TEXT(VLOOKUP(B152, 'Expected Date'!A:B, 2, FALSE) + DATE(RIGHT(C152,2),MID(C152,4,2),LEFT(C152,2)), "dd/mm/yy"), ""), "")</f>
        <v>12/06/23</v>
      </c>
      <c r="L152" t="s">
        <v>68</v>
      </c>
      <c r="M152" t="s">
        <v>48</v>
      </c>
      <c r="N152" t="s">
        <v>370</v>
      </c>
      <c r="O152" t="s">
        <v>71</v>
      </c>
      <c r="P152">
        <v>23290547</v>
      </c>
      <c r="Q152" t="s">
        <v>392</v>
      </c>
      <c r="R152" t="s">
        <v>393</v>
      </c>
      <c r="S152">
        <v>29.18</v>
      </c>
      <c r="T152">
        <v>11000</v>
      </c>
      <c r="U152">
        <v>320980</v>
      </c>
      <c r="V152" t="str">
        <f t="shared" ref="V152:V190" si="55">V150</f>
        <v>Accepted</v>
      </c>
      <c r="W152">
        <f>IFERROR(VLOOKUP(N152, Payment_Terms!A:B, 2, FALSE), "Payment term not found!")</f>
        <v>15</v>
      </c>
      <c r="X152" t="str">
        <f>IFERROR(VLOOKUP(R152, Item_Category!A:B, 2, FALSE), "Uncategorized")</f>
        <v>Coal materials</v>
      </c>
      <c r="Y152" s="5">
        <f t="shared" si="40"/>
        <v>0.60453333333333337</v>
      </c>
      <c r="Z152">
        <f t="shared" si="41"/>
        <v>1</v>
      </c>
      <c r="AA152">
        <f t="shared" si="42"/>
        <v>10</v>
      </c>
      <c r="AB152">
        <f t="shared" si="43"/>
        <v>2</v>
      </c>
      <c r="AC152" s="10">
        <f t="shared" si="44"/>
        <v>12</v>
      </c>
      <c r="AD152" s="5">
        <f t="shared" si="36"/>
        <v>1</v>
      </c>
      <c r="AE152" s="5">
        <f t="shared" si="37"/>
        <v>1</v>
      </c>
      <c r="AF152" s="5">
        <f t="shared" si="45"/>
        <v>0</v>
      </c>
      <c r="AG152">
        <f>IF(B152&lt;&gt;"", COUNTIFS($B$2:B152, B152), "")</f>
        <v>31</v>
      </c>
      <c r="AH152">
        <f t="shared" si="46"/>
        <v>5</v>
      </c>
      <c r="AI152" t="str">
        <f>VLOOKUP(B152, Currency!A:B, 2, FALSE)</f>
        <v>INR</v>
      </c>
      <c r="AJ152">
        <f t="shared" si="38"/>
        <v>3</v>
      </c>
      <c r="AK152">
        <f t="shared" si="47"/>
        <v>6</v>
      </c>
      <c r="AL152" t="str">
        <f t="shared" si="48"/>
        <v>June</v>
      </c>
      <c r="AM152">
        <f t="shared" si="49"/>
        <v>2023</v>
      </c>
      <c r="AN152" t="str">
        <f t="shared" si="39"/>
        <v>15SKYWIN ENTERPRISE</v>
      </c>
      <c r="AO152">
        <f>IF(COUNTIF($AN$2:AN152, AN152)=1, 1, 0)</f>
        <v>0</v>
      </c>
      <c r="AP152" t="str">
        <f t="shared" si="50"/>
        <v>&gt;3</v>
      </c>
      <c r="AQ152" t="str">
        <f t="shared" si="51"/>
        <v>&lt;=3</v>
      </c>
      <c r="AR152" t="str">
        <f t="shared" si="52"/>
        <v>&lt;=3</v>
      </c>
    </row>
    <row r="153" spans="1:44" x14ac:dyDescent="0.3">
      <c r="A153" t="s">
        <v>33</v>
      </c>
      <c r="B153" t="s">
        <v>382</v>
      </c>
      <c r="C153" t="s">
        <v>195</v>
      </c>
      <c r="D153">
        <v>2451</v>
      </c>
      <c r="E153">
        <v>23210284</v>
      </c>
      <c r="F153" t="s">
        <v>479</v>
      </c>
      <c r="G153" t="s">
        <v>480</v>
      </c>
      <c r="H153">
        <v>1000</v>
      </c>
      <c r="I153">
        <v>38</v>
      </c>
      <c r="J153">
        <v>38000</v>
      </c>
      <c r="K153" t="str">
        <f>IFERROR(IF(B153&lt;&gt;"", TEXT(VLOOKUP(B153, 'Expected Date'!A:B, 2, FALSE) + DATE(RIGHT(C153,2),MID(C153,4,2),LEFT(C153,2)), "dd/mm/yy"), ""), "")</f>
        <v>25/06/23</v>
      </c>
      <c r="L153" t="s">
        <v>38</v>
      </c>
      <c r="M153" t="s">
        <v>48</v>
      </c>
      <c r="N153" t="s">
        <v>342</v>
      </c>
      <c r="O153" t="s">
        <v>184</v>
      </c>
      <c r="P153">
        <v>23290528</v>
      </c>
      <c r="Q153" t="s">
        <v>479</v>
      </c>
      <c r="R153" t="s">
        <v>480</v>
      </c>
      <c r="S153">
        <v>1000</v>
      </c>
      <c r="T153">
        <v>38</v>
      </c>
      <c r="U153">
        <v>38000</v>
      </c>
      <c r="V153" t="str">
        <f t="shared" si="55"/>
        <v>Accepted</v>
      </c>
      <c r="W153">
        <f>IFERROR(VLOOKUP(N153, Payment_Terms!A:B, 2, FALSE), "Payment term not found!")</f>
        <v>30</v>
      </c>
      <c r="X153" t="str">
        <f>IFERROR(VLOOKUP(R153, Item_Category!A:B, 2, FALSE), "Uncategorized")</f>
        <v>Soda Ash</v>
      </c>
      <c r="Y153" s="5">
        <f t="shared" si="40"/>
        <v>0</v>
      </c>
      <c r="Z153">
        <f t="shared" si="41"/>
        <v>5</v>
      </c>
      <c r="AA153">
        <f t="shared" si="42"/>
        <v>-9</v>
      </c>
      <c r="AB153">
        <f t="shared" si="43"/>
        <v>5</v>
      </c>
      <c r="AC153" s="10">
        <f t="shared" si="44"/>
        <v>1</v>
      </c>
      <c r="AD153" s="5">
        <f t="shared" si="36"/>
        <v>1</v>
      </c>
      <c r="AE153" s="5">
        <f t="shared" si="37"/>
        <v>1</v>
      </c>
      <c r="AF153" s="5">
        <f t="shared" si="45"/>
        <v>0</v>
      </c>
      <c r="AG153">
        <f>IF(B153&lt;&gt;"", COUNTIFS($B$2:B153, B153), "")</f>
        <v>8</v>
      </c>
      <c r="AH153">
        <f t="shared" si="46"/>
        <v>5</v>
      </c>
      <c r="AI153" t="str">
        <f>VLOOKUP(B153, Currency!A:B, 2, FALSE)</f>
        <v>INR</v>
      </c>
      <c r="AJ153">
        <f t="shared" si="38"/>
        <v>5</v>
      </c>
      <c r="AK153">
        <f t="shared" si="47"/>
        <v>6</v>
      </c>
      <c r="AL153" t="str">
        <f t="shared" si="48"/>
        <v>June</v>
      </c>
      <c r="AM153">
        <f t="shared" si="49"/>
        <v>2023</v>
      </c>
      <c r="AN153" t="str">
        <f t="shared" si="39"/>
        <v>30Aerochem Laboratories</v>
      </c>
      <c r="AO153">
        <f>IF(COUNTIF($AN$2:AN153, AN153)=1, 1, 0)</f>
        <v>0</v>
      </c>
      <c r="AP153" t="str">
        <f t="shared" si="50"/>
        <v>&gt;3</v>
      </c>
      <c r="AQ153" t="str">
        <f t="shared" si="51"/>
        <v>&gt;3</v>
      </c>
      <c r="AR153" t="str">
        <f t="shared" si="52"/>
        <v>&gt;3</v>
      </c>
    </row>
    <row r="154" spans="1:44" x14ac:dyDescent="0.3">
      <c r="A154" t="s">
        <v>33</v>
      </c>
      <c r="B154" t="s">
        <v>366</v>
      </c>
      <c r="C154" t="s">
        <v>56</v>
      </c>
      <c r="D154">
        <v>3584</v>
      </c>
      <c r="E154">
        <v>23210509</v>
      </c>
      <c r="F154" t="s">
        <v>392</v>
      </c>
      <c r="G154" t="s">
        <v>393</v>
      </c>
      <c r="H154">
        <v>100</v>
      </c>
      <c r="I154">
        <v>9850</v>
      </c>
      <c r="J154">
        <v>985000</v>
      </c>
      <c r="K154" t="str">
        <f>IFERROR(IF(B154&lt;&gt;"", TEXT(VLOOKUP(B154, 'Expected Date'!A:B, 2, FALSE) + DATE(RIGHT(C154,2),MID(C154,4,2),LEFT(C154,2)), "dd/mm/yy"), ""), "")</f>
        <v>06/08/23</v>
      </c>
      <c r="L154" t="s">
        <v>68</v>
      </c>
      <c r="M154" t="s">
        <v>48</v>
      </c>
      <c r="N154" t="s">
        <v>370</v>
      </c>
      <c r="O154" t="s">
        <v>487</v>
      </c>
      <c r="P154">
        <v>23291050</v>
      </c>
      <c r="Q154" t="s">
        <v>392</v>
      </c>
      <c r="R154" t="s">
        <v>393</v>
      </c>
      <c r="S154">
        <v>27.91</v>
      </c>
      <c r="T154">
        <v>9850</v>
      </c>
      <c r="U154">
        <v>274913.5</v>
      </c>
      <c r="V154" t="str">
        <f t="shared" si="55"/>
        <v>Accepted</v>
      </c>
      <c r="W154">
        <f>IFERROR(VLOOKUP(N154, Payment_Terms!A:B, 2, FALSE), "Payment term not found!")</f>
        <v>15</v>
      </c>
      <c r="X154" t="str">
        <f>IFERROR(VLOOKUP(R154, Item_Category!A:B, 2, FALSE), "Uncategorized")</f>
        <v>Coal materials</v>
      </c>
      <c r="Y154" s="5">
        <f t="shared" si="40"/>
        <v>0.11530000000000001</v>
      </c>
      <c r="Z154">
        <f t="shared" si="41"/>
        <v>1</v>
      </c>
      <c r="AA154">
        <f t="shared" si="42"/>
        <v>0</v>
      </c>
      <c r="AB154">
        <f t="shared" si="43"/>
        <v>5</v>
      </c>
      <c r="AC154" s="10">
        <f t="shared" si="44"/>
        <v>2</v>
      </c>
      <c r="AD154" s="5">
        <f t="shared" si="36"/>
        <v>1</v>
      </c>
      <c r="AE154" s="5">
        <f t="shared" si="37"/>
        <v>1</v>
      </c>
      <c r="AF154" s="5">
        <f t="shared" si="45"/>
        <v>0</v>
      </c>
      <c r="AG154">
        <f>IF(B154&lt;&gt;"", COUNTIFS($B$2:B154, B154), "")</f>
        <v>32</v>
      </c>
      <c r="AH154">
        <f t="shared" si="46"/>
        <v>5</v>
      </c>
      <c r="AI154" t="str">
        <f>VLOOKUP(B154, Currency!A:B, 2, FALSE)</f>
        <v>INR</v>
      </c>
      <c r="AJ154">
        <f t="shared" si="38"/>
        <v>4</v>
      </c>
      <c r="AK154">
        <f t="shared" si="47"/>
        <v>8</v>
      </c>
      <c r="AL154" t="str">
        <f t="shared" si="48"/>
        <v>August</v>
      </c>
      <c r="AM154">
        <f t="shared" si="49"/>
        <v>2023</v>
      </c>
      <c r="AN154" t="str">
        <f t="shared" si="39"/>
        <v>15SKYWIN ENTERPRISE</v>
      </c>
      <c r="AO154">
        <f>IF(COUNTIF($AN$2:AN154, AN154)=1, 1, 0)</f>
        <v>0</v>
      </c>
      <c r="AP154" t="str">
        <f t="shared" si="50"/>
        <v>&gt;3</v>
      </c>
      <c r="AQ154" t="str">
        <f t="shared" si="51"/>
        <v>&lt;=3</v>
      </c>
      <c r="AR154" t="str">
        <f t="shared" si="52"/>
        <v>&gt;3</v>
      </c>
    </row>
    <row r="155" spans="1:44" x14ac:dyDescent="0.3">
      <c r="A155" t="s">
        <v>33</v>
      </c>
      <c r="B155" t="s">
        <v>366</v>
      </c>
      <c r="C155" t="s">
        <v>56</v>
      </c>
      <c r="D155">
        <v>3584</v>
      </c>
      <c r="E155">
        <v>23210509</v>
      </c>
      <c r="F155" t="s">
        <v>392</v>
      </c>
      <c r="G155" t="s">
        <v>393</v>
      </c>
      <c r="H155">
        <v>100</v>
      </c>
      <c r="I155">
        <v>9850</v>
      </c>
      <c r="J155">
        <v>985000</v>
      </c>
      <c r="K155" t="str">
        <f>IFERROR(IF(B155&lt;&gt;"", TEXT(VLOOKUP(B155, 'Expected Date'!A:B, 2, FALSE) + DATE(RIGHT(C155,2),MID(C155,4,2),LEFT(C155,2)), "dd/mm/yy"), ""), "")</f>
        <v>06/08/23</v>
      </c>
      <c r="L155" t="s">
        <v>68</v>
      </c>
      <c r="M155" t="s">
        <v>48</v>
      </c>
      <c r="N155" t="s">
        <v>370</v>
      </c>
      <c r="O155" t="s">
        <v>408</v>
      </c>
      <c r="P155">
        <v>23291051</v>
      </c>
      <c r="Q155" t="s">
        <v>392</v>
      </c>
      <c r="R155" t="s">
        <v>393</v>
      </c>
      <c r="S155">
        <v>30.62</v>
      </c>
      <c r="T155">
        <v>9850</v>
      </c>
      <c r="U155">
        <v>301607</v>
      </c>
      <c r="V155" t="str">
        <f t="shared" si="55"/>
        <v>Accepted</v>
      </c>
      <c r="W155">
        <f>IFERROR(VLOOKUP(N155, Payment_Terms!A:B, 2, FALSE), "Payment term not found!")</f>
        <v>15</v>
      </c>
      <c r="X155" t="str">
        <f>IFERROR(VLOOKUP(R155, Item_Category!A:B, 2, FALSE), "Uncategorized")</f>
        <v>Coal materials</v>
      </c>
      <c r="Y155" s="5">
        <f t="shared" si="40"/>
        <v>0.11530000000000001</v>
      </c>
      <c r="Z155">
        <f t="shared" si="41"/>
        <v>1</v>
      </c>
      <c r="AA155">
        <f t="shared" si="42"/>
        <v>2</v>
      </c>
      <c r="AB155">
        <f t="shared" si="43"/>
        <v>5</v>
      </c>
      <c r="AC155" s="10">
        <f t="shared" si="44"/>
        <v>4</v>
      </c>
      <c r="AD155" s="5">
        <f t="shared" si="36"/>
        <v>1</v>
      </c>
      <c r="AE155" s="5">
        <f t="shared" si="37"/>
        <v>1</v>
      </c>
      <c r="AF155" s="5">
        <f t="shared" si="45"/>
        <v>0</v>
      </c>
      <c r="AG155">
        <f>IF(B155&lt;&gt;"", COUNTIFS($B$2:B155, B155), "")</f>
        <v>33</v>
      </c>
      <c r="AH155">
        <f t="shared" si="46"/>
        <v>5</v>
      </c>
      <c r="AI155" t="str">
        <f>VLOOKUP(B155, Currency!A:B, 2, FALSE)</f>
        <v>INR</v>
      </c>
      <c r="AJ155">
        <f t="shared" si="38"/>
        <v>4</v>
      </c>
      <c r="AK155">
        <f t="shared" si="47"/>
        <v>8</v>
      </c>
      <c r="AL155" t="str">
        <f t="shared" si="48"/>
        <v>August</v>
      </c>
      <c r="AM155">
        <f t="shared" si="49"/>
        <v>2023</v>
      </c>
      <c r="AN155" t="str">
        <f t="shared" si="39"/>
        <v>15SKYWIN ENTERPRISE</v>
      </c>
      <c r="AO155">
        <f>IF(COUNTIF($AN$2:AN155, AN155)=1, 1, 0)</f>
        <v>0</v>
      </c>
      <c r="AP155" t="str">
        <f t="shared" si="50"/>
        <v>&gt;3</v>
      </c>
      <c r="AQ155" t="str">
        <f t="shared" si="51"/>
        <v>&lt;=3</v>
      </c>
      <c r="AR155" t="str">
        <f t="shared" si="52"/>
        <v>&gt;3</v>
      </c>
    </row>
    <row r="156" spans="1:44" x14ac:dyDescent="0.3">
      <c r="A156" t="s">
        <v>33</v>
      </c>
      <c r="B156" t="s">
        <v>353</v>
      </c>
      <c r="C156" t="s">
        <v>354</v>
      </c>
      <c r="D156">
        <v>2799</v>
      </c>
      <c r="E156">
        <v>23210355</v>
      </c>
      <c r="F156" t="s">
        <v>355</v>
      </c>
      <c r="G156" t="s">
        <v>356</v>
      </c>
      <c r="H156">
        <v>40000</v>
      </c>
      <c r="I156">
        <v>1.1000000000000001</v>
      </c>
      <c r="J156">
        <v>44000</v>
      </c>
      <c r="K156" t="str">
        <f>IFERROR(IF(B156&lt;&gt;"", TEXT(VLOOKUP(B156, 'Expected Date'!A:B, 2, FALSE) + DATE(RIGHT(C156,2),MID(C156,4,2),LEFT(C156,2)), "dd/mm/yy"), ""), "")</f>
        <v>05/07/23</v>
      </c>
      <c r="L156" t="s">
        <v>38</v>
      </c>
      <c r="M156" t="s">
        <v>48</v>
      </c>
      <c r="N156" t="s">
        <v>342</v>
      </c>
      <c r="O156" t="s">
        <v>202</v>
      </c>
      <c r="P156">
        <v>23291060</v>
      </c>
      <c r="Q156" t="s">
        <v>355</v>
      </c>
      <c r="R156" t="s">
        <v>356</v>
      </c>
      <c r="S156">
        <v>6000</v>
      </c>
      <c r="T156">
        <v>1.1000000000000001</v>
      </c>
      <c r="U156">
        <v>6600</v>
      </c>
      <c r="V156" t="str">
        <f t="shared" si="55"/>
        <v>Accepted</v>
      </c>
      <c r="W156">
        <f>IFERROR(VLOOKUP(N156, Payment_Terms!A:B, 2, FALSE), "Payment term not found!")</f>
        <v>30</v>
      </c>
      <c r="X156" t="str">
        <f>IFERROR(VLOOKUP(R156, Item_Category!A:B, 2, FALSE), "Uncategorized")</f>
        <v>Sticker</v>
      </c>
      <c r="Y156" s="5">
        <f t="shared" si="40"/>
        <v>0</v>
      </c>
      <c r="Z156">
        <f t="shared" si="41"/>
        <v>5</v>
      </c>
      <c r="AA156">
        <f t="shared" si="42"/>
        <v>35</v>
      </c>
      <c r="AB156">
        <f t="shared" si="43"/>
        <v>1</v>
      </c>
      <c r="AC156" s="10">
        <f t="shared" si="44"/>
        <v>37</v>
      </c>
      <c r="AD156" s="5">
        <f t="shared" si="36"/>
        <v>1</v>
      </c>
      <c r="AE156" s="5">
        <f t="shared" si="37"/>
        <v>1</v>
      </c>
      <c r="AF156" s="5">
        <f t="shared" si="45"/>
        <v>0</v>
      </c>
      <c r="AG156">
        <f>IF(B156&lt;&gt;"", COUNTIFS($B$2:B156, B156), "")</f>
        <v>4</v>
      </c>
      <c r="AH156">
        <f t="shared" si="46"/>
        <v>5</v>
      </c>
      <c r="AI156" t="str">
        <f>VLOOKUP(B156, Currency!A:B, 2, FALSE)</f>
        <v>INR</v>
      </c>
      <c r="AJ156">
        <f t="shared" si="38"/>
        <v>4</v>
      </c>
      <c r="AK156">
        <f t="shared" si="47"/>
        <v>7</v>
      </c>
      <c r="AL156" t="str">
        <f t="shared" si="48"/>
        <v>July</v>
      </c>
      <c r="AM156">
        <f t="shared" si="49"/>
        <v>2023</v>
      </c>
      <c r="AN156" t="str">
        <f t="shared" si="39"/>
        <v>30Akar Multi Form</v>
      </c>
      <c r="AO156">
        <f>IF(COUNTIF($AN$2:AN156, AN156)=1, 1, 0)</f>
        <v>0</v>
      </c>
      <c r="AP156" t="str">
        <f t="shared" si="50"/>
        <v>&gt;3</v>
      </c>
      <c r="AQ156" t="str">
        <f t="shared" si="51"/>
        <v>&gt;3</v>
      </c>
      <c r="AR156" t="str">
        <f t="shared" si="52"/>
        <v>&lt;=3</v>
      </c>
    </row>
    <row r="157" spans="1:44" x14ac:dyDescent="0.3">
      <c r="A157" t="s">
        <v>33</v>
      </c>
      <c r="B157" t="s">
        <v>456</v>
      </c>
      <c r="C157" t="s">
        <v>88</v>
      </c>
      <c r="D157">
        <v>3063</v>
      </c>
      <c r="E157">
        <v>23210412</v>
      </c>
      <c r="F157" t="s">
        <v>488</v>
      </c>
      <c r="G157" t="s">
        <v>489</v>
      </c>
      <c r="H157">
        <v>1</v>
      </c>
      <c r="I157">
        <v>2090</v>
      </c>
      <c r="J157">
        <v>2090</v>
      </c>
      <c r="K157" t="str">
        <f>IFERROR(IF(B157&lt;&gt;"", TEXT(VLOOKUP(B157, 'Expected Date'!A:B, 2, FALSE) + DATE(RIGHT(C157,2),MID(C157,4,2),LEFT(C157,2)), "dd/mm/yy"), ""), "")</f>
        <v>14/07/23</v>
      </c>
      <c r="L157" t="s">
        <v>38</v>
      </c>
      <c r="M157" t="s">
        <v>39</v>
      </c>
      <c r="N157" t="s">
        <v>459</v>
      </c>
      <c r="O157" t="s">
        <v>78</v>
      </c>
      <c r="P157">
        <v>23291216</v>
      </c>
      <c r="Q157" t="s">
        <v>488</v>
      </c>
      <c r="R157" t="s">
        <v>489</v>
      </c>
      <c r="S157">
        <v>1</v>
      </c>
      <c r="T157">
        <v>2090</v>
      </c>
      <c r="U157">
        <v>2090</v>
      </c>
      <c r="V157" t="str">
        <f t="shared" si="55"/>
        <v>Accepted</v>
      </c>
      <c r="W157">
        <f>IFERROR(VLOOKUP(N157, Payment_Terms!A:B, 2, FALSE), "Payment term not found!")</f>
        <v>0</v>
      </c>
      <c r="X157" t="str">
        <f>IFERROR(VLOOKUP(R157, Item_Category!A:B, 2, FALSE), "Uncategorized")</f>
        <v>Mesh vibro sifter</v>
      </c>
      <c r="Y157" s="5">
        <f t="shared" si="40"/>
        <v>0</v>
      </c>
      <c r="Z157">
        <f t="shared" si="41"/>
        <v>5</v>
      </c>
      <c r="AA157">
        <f t="shared" si="42"/>
        <v>41</v>
      </c>
      <c r="AB157">
        <f t="shared" si="43"/>
        <v>1</v>
      </c>
      <c r="AC157" s="10">
        <f t="shared" si="44"/>
        <v>51</v>
      </c>
      <c r="AD157" s="5">
        <f t="shared" si="36"/>
        <v>1</v>
      </c>
      <c r="AE157" s="5">
        <f t="shared" si="37"/>
        <v>1</v>
      </c>
      <c r="AF157" s="5">
        <f t="shared" si="45"/>
        <v>0</v>
      </c>
      <c r="AG157">
        <f>IF(B157&lt;&gt;"", COUNTIFS($B$2:B157, B157), "")</f>
        <v>5</v>
      </c>
      <c r="AH157">
        <f t="shared" si="46"/>
        <v>5</v>
      </c>
      <c r="AI157" t="str">
        <f>VLOOKUP(B157, Currency!A:B, 2, FALSE)</f>
        <v>INR</v>
      </c>
      <c r="AJ157">
        <f t="shared" si="38"/>
        <v>4</v>
      </c>
      <c r="AK157">
        <f t="shared" si="47"/>
        <v>7</v>
      </c>
      <c r="AL157" t="str">
        <f t="shared" si="48"/>
        <v>July</v>
      </c>
      <c r="AM157">
        <f t="shared" si="49"/>
        <v>2023</v>
      </c>
      <c r="AN157" t="str">
        <f t="shared" si="39"/>
        <v>0GEM Pharma Machineries</v>
      </c>
      <c r="AO157">
        <f>IF(COUNTIF($AN$2:AN157, AN157)=1, 1, 0)</f>
        <v>0</v>
      </c>
      <c r="AP157" t="str">
        <f t="shared" si="50"/>
        <v>&gt;3</v>
      </c>
      <c r="AQ157" t="str">
        <f t="shared" si="51"/>
        <v>&gt;3</v>
      </c>
      <c r="AR157" t="str">
        <f t="shared" si="52"/>
        <v>&lt;=3</v>
      </c>
    </row>
    <row r="158" spans="1:44" x14ac:dyDescent="0.3">
      <c r="A158" t="s">
        <v>33</v>
      </c>
      <c r="B158" t="s">
        <v>456</v>
      </c>
      <c r="C158" t="s">
        <v>88</v>
      </c>
      <c r="D158">
        <v>3063</v>
      </c>
      <c r="E158">
        <v>23210412</v>
      </c>
      <c r="F158" t="s">
        <v>490</v>
      </c>
      <c r="G158" t="s">
        <v>491</v>
      </c>
      <c r="H158">
        <v>1</v>
      </c>
      <c r="I158">
        <v>2090</v>
      </c>
      <c r="J158">
        <v>2090</v>
      </c>
      <c r="K158" t="str">
        <f>IFERROR(IF(B158&lt;&gt;"", TEXT(VLOOKUP(B158, 'Expected Date'!A:B, 2, FALSE) + DATE(RIGHT(C158,2),MID(C158,4,2),LEFT(C158,2)), "dd/mm/yy"), ""), "")</f>
        <v>14/07/23</v>
      </c>
      <c r="L158" t="s">
        <v>38</v>
      </c>
      <c r="M158" t="s">
        <v>39</v>
      </c>
      <c r="N158" t="s">
        <v>459</v>
      </c>
      <c r="O158" t="s">
        <v>78</v>
      </c>
      <c r="P158">
        <v>23291216</v>
      </c>
      <c r="Q158" t="s">
        <v>490</v>
      </c>
      <c r="R158" t="s">
        <v>491</v>
      </c>
      <c r="S158">
        <v>1</v>
      </c>
      <c r="T158">
        <v>2090</v>
      </c>
      <c r="U158">
        <v>2090</v>
      </c>
      <c r="V158" t="str">
        <f t="shared" si="55"/>
        <v>Accepted</v>
      </c>
      <c r="W158">
        <f>IFERROR(VLOOKUP(N158, Payment_Terms!A:B, 2, FALSE), "Payment term not found!")</f>
        <v>0</v>
      </c>
      <c r="X158" t="str">
        <f>IFERROR(VLOOKUP(R158, Item_Category!A:B, 2, FALSE), "Uncategorized")</f>
        <v>Mesh vibro sifter</v>
      </c>
      <c r="Y158" s="5">
        <f t="shared" si="40"/>
        <v>0</v>
      </c>
      <c r="Z158">
        <f t="shared" si="41"/>
        <v>5</v>
      </c>
      <c r="AA158">
        <f t="shared" si="42"/>
        <v>41</v>
      </c>
      <c r="AB158">
        <f t="shared" si="43"/>
        <v>1</v>
      </c>
      <c r="AC158" s="10">
        <f t="shared" si="44"/>
        <v>51</v>
      </c>
      <c r="AD158" s="5">
        <f t="shared" si="36"/>
        <v>1</v>
      </c>
      <c r="AE158" s="5">
        <f t="shared" si="37"/>
        <v>1</v>
      </c>
      <c r="AF158" s="5">
        <f t="shared" si="45"/>
        <v>0</v>
      </c>
      <c r="AG158">
        <f>IF(B158&lt;&gt;"", COUNTIFS($B$2:B158, B158), "")</f>
        <v>6</v>
      </c>
      <c r="AH158">
        <f t="shared" si="46"/>
        <v>5</v>
      </c>
      <c r="AI158" t="str">
        <f>VLOOKUP(B158, Currency!A:B, 2, FALSE)</f>
        <v>INR</v>
      </c>
      <c r="AJ158">
        <f t="shared" si="38"/>
        <v>4</v>
      </c>
      <c r="AK158">
        <f t="shared" si="47"/>
        <v>7</v>
      </c>
      <c r="AL158" t="str">
        <f t="shared" si="48"/>
        <v>July</v>
      </c>
      <c r="AM158">
        <f t="shared" si="49"/>
        <v>2023</v>
      </c>
      <c r="AN158" t="str">
        <f t="shared" si="39"/>
        <v>0GEM Pharma Machineries</v>
      </c>
      <c r="AO158">
        <f>IF(COUNTIF($AN$2:AN158, AN158)=1, 1, 0)</f>
        <v>0</v>
      </c>
      <c r="AP158" t="str">
        <f t="shared" si="50"/>
        <v>&gt;3</v>
      </c>
      <c r="AQ158" t="str">
        <f t="shared" si="51"/>
        <v>&gt;3</v>
      </c>
      <c r="AR158" t="str">
        <f t="shared" si="52"/>
        <v>&lt;=3</v>
      </c>
    </row>
    <row r="159" spans="1:44" x14ac:dyDescent="0.3">
      <c r="A159" t="s">
        <v>33</v>
      </c>
      <c r="B159" t="str">
        <f>B2</f>
        <v>Ami Enterprises</v>
      </c>
      <c r="C159" t="s">
        <v>416</v>
      </c>
      <c r="D159">
        <v>2119</v>
      </c>
      <c r="E159">
        <v>23210181</v>
      </c>
      <c r="F159" t="s">
        <v>460</v>
      </c>
      <c r="G159" t="s">
        <v>461</v>
      </c>
      <c r="H159">
        <v>10587</v>
      </c>
      <c r="I159">
        <v>35</v>
      </c>
      <c r="J159">
        <v>370545</v>
      </c>
      <c r="K159" t="str">
        <f>IFERROR(IF(B159&lt;&gt;"", TEXT(VLOOKUP(B159, 'Expected Date'!A:B, 2, FALSE) + DATE(RIGHT(C159,2),MID(C159,4,2),LEFT(C159,2)), "dd/mm/yy"), ""), "")</f>
        <v>30/05/23</v>
      </c>
      <c r="L159" t="s">
        <v>38</v>
      </c>
      <c r="M159" t="s">
        <v>39</v>
      </c>
      <c r="N159" t="s">
        <v>342</v>
      </c>
      <c r="O159" t="s">
        <v>432</v>
      </c>
      <c r="P159">
        <v>23290367</v>
      </c>
      <c r="Q159" t="s">
        <v>460</v>
      </c>
      <c r="R159" t="s">
        <v>461</v>
      </c>
      <c r="S159">
        <v>10587</v>
      </c>
      <c r="T159">
        <v>35</v>
      </c>
      <c r="U159">
        <v>370545</v>
      </c>
      <c r="V159" t="str">
        <f t="shared" si="55"/>
        <v>Accepted</v>
      </c>
      <c r="W159">
        <f>IFERROR(VLOOKUP(N159, Payment_Terms!A:B, 2, FALSE), "Payment term not found!")</f>
        <v>30</v>
      </c>
      <c r="X159" t="str">
        <f>IFERROR(VLOOKUP(R159, Item_Category!A:B, 2, FALSE), "Uncategorized")</f>
        <v>Bags</v>
      </c>
      <c r="Y159" s="5">
        <f t="shared" si="40"/>
        <v>0</v>
      </c>
      <c r="Z159">
        <f t="shared" si="41"/>
        <v>5</v>
      </c>
      <c r="AA159">
        <f t="shared" si="42"/>
        <v>-8</v>
      </c>
      <c r="AB159">
        <f t="shared" si="43"/>
        <v>5</v>
      </c>
      <c r="AC159" s="10">
        <f t="shared" si="44"/>
        <v>2</v>
      </c>
      <c r="AD159" s="5">
        <f t="shared" si="36"/>
        <v>1</v>
      </c>
      <c r="AE159" s="5">
        <f t="shared" si="37"/>
        <v>1</v>
      </c>
      <c r="AF159" s="5">
        <f t="shared" si="45"/>
        <v>0</v>
      </c>
      <c r="AG159">
        <f>IF(B159&lt;&gt;"", COUNTIFS($B$2:B159, B159), "")</f>
        <v>12</v>
      </c>
      <c r="AH159">
        <f t="shared" si="46"/>
        <v>5</v>
      </c>
      <c r="AI159" t="str">
        <f>VLOOKUP(B159, Currency!A:B, 2, FALSE)</f>
        <v>INR</v>
      </c>
      <c r="AJ159">
        <f t="shared" si="38"/>
        <v>5</v>
      </c>
      <c r="AK159">
        <f t="shared" si="47"/>
        <v>5</v>
      </c>
      <c r="AL159" t="str">
        <f t="shared" si="48"/>
        <v>May</v>
      </c>
      <c r="AM159">
        <f t="shared" si="49"/>
        <v>2023</v>
      </c>
      <c r="AN159" t="str">
        <f t="shared" si="39"/>
        <v>30Ami Enterprises</v>
      </c>
      <c r="AO159">
        <f>IF(COUNTIF($AN$2:AN159, AN159)=1, 1, 0)</f>
        <v>0</v>
      </c>
      <c r="AP159" t="str">
        <f t="shared" si="50"/>
        <v>&gt;3</v>
      </c>
      <c r="AQ159" t="str">
        <f t="shared" si="51"/>
        <v>&gt;3</v>
      </c>
      <c r="AR159" t="str">
        <f t="shared" si="52"/>
        <v>&gt;3</v>
      </c>
    </row>
    <row r="160" spans="1:44" x14ac:dyDescent="0.3">
      <c r="A160" t="s">
        <v>33</v>
      </c>
      <c r="B160" t="s">
        <v>366</v>
      </c>
      <c r="C160" t="s">
        <v>415</v>
      </c>
      <c r="D160">
        <v>2138</v>
      </c>
      <c r="E160">
        <v>23210185</v>
      </c>
      <c r="F160" t="s">
        <v>392</v>
      </c>
      <c r="G160" t="s">
        <v>393</v>
      </c>
      <c r="H160">
        <v>100</v>
      </c>
      <c r="I160">
        <v>11000</v>
      </c>
      <c r="J160">
        <v>1100000</v>
      </c>
      <c r="K160" t="str">
        <f>IFERROR(IF(B160&lt;&gt;"", TEXT(VLOOKUP(B160, 'Expected Date'!A:B, 2, FALSE) + DATE(RIGHT(C160,2),MID(C160,4,2),LEFT(C160,2)), "dd/mm/yy"), ""), "")</f>
        <v>23/05/23</v>
      </c>
      <c r="L160" t="s">
        <v>68</v>
      </c>
      <c r="M160" t="s">
        <v>48</v>
      </c>
      <c r="N160" t="s">
        <v>370</v>
      </c>
      <c r="O160" t="s">
        <v>432</v>
      </c>
      <c r="P160">
        <v>23290373</v>
      </c>
      <c r="Q160" t="s">
        <v>392</v>
      </c>
      <c r="R160" t="s">
        <v>393</v>
      </c>
      <c r="S160">
        <v>27.68</v>
      </c>
      <c r="T160">
        <v>11000</v>
      </c>
      <c r="U160">
        <v>304480</v>
      </c>
      <c r="V160" t="str">
        <f t="shared" si="55"/>
        <v>Accepted</v>
      </c>
      <c r="W160">
        <f>IFERROR(VLOOKUP(N160, Payment_Terms!A:B, 2, FALSE), "Payment term not found!")</f>
        <v>15</v>
      </c>
      <c r="X160" t="str">
        <f>IFERROR(VLOOKUP(R160, Item_Category!A:B, 2, FALSE), "Uncategorized")</f>
        <v>Coal materials</v>
      </c>
      <c r="Y160" s="5">
        <f t="shared" si="40"/>
        <v>0.15810000000000002</v>
      </c>
      <c r="Z160">
        <f t="shared" si="41"/>
        <v>1</v>
      </c>
      <c r="AA160">
        <f t="shared" si="42"/>
        <v>-1</v>
      </c>
      <c r="AB160">
        <f t="shared" si="43"/>
        <v>5</v>
      </c>
      <c r="AC160" s="10">
        <f t="shared" si="44"/>
        <v>1</v>
      </c>
      <c r="AD160" s="5">
        <f t="shared" si="36"/>
        <v>1</v>
      </c>
      <c r="AE160" s="5">
        <f t="shared" si="37"/>
        <v>1</v>
      </c>
      <c r="AF160" s="5">
        <f t="shared" si="45"/>
        <v>0</v>
      </c>
      <c r="AG160">
        <f>IF(B160&lt;&gt;"", COUNTIFS($B$2:B160, B160), "")</f>
        <v>34</v>
      </c>
      <c r="AH160">
        <f t="shared" si="46"/>
        <v>5</v>
      </c>
      <c r="AI160" t="str">
        <f>VLOOKUP(B160, Currency!A:B, 2, FALSE)</f>
        <v>INR</v>
      </c>
      <c r="AJ160">
        <f t="shared" si="38"/>
        <v>4</v>
      </c>
      <c r="AK160">
        <f t="shared" si="47"/>
        <v>5</v>
      </c>
      <c r="AL160" t="str">
        <f t="shared" si="48"/>
        <v>May</v>
      </c>
      <c r="AM160">
        <f t="shared" si="49"/>
        <v>2023</v>
      </c>
      <c r="AN160" t="str">
        <f t="shared" si="39"/>
        <v>15SKYWIN ENTERPRISE</v>
      </c>
      <c r="AO160">
        <f>IF(COUNTIF($AN$2:AN160, AN160)=1, 1, 0)</f>
        <v>0</v>
      </c>
      <c r="AP160" t="str">
        <f t="shared" si="50"/>
        <v>&gt;3</v>
      </c>
      <c r="AQ160" t="str">
        <f t="shared" si="51"/>
        <v>&lt;=3</v>
      </c>
      <c r="AR160" t="str">
        <f t="shared" si="52"/>
        <v>&gt;3</v>
      </c>
    </row>
    <row r="161" spans="1:44" x14ac:dyDescent="0.3">
      <c r="A161" t="s">
        <v>33</v>
      </c>
      <c r="B161" t="s">
        <v>382</v>
      </c>
      <c r="C161" t="s">
        <v>193</v>
      </c>
      <c r="D161">
        <v>3152</v>
      </c>
      <c r="E161">
        <v>23210426</v>
      </c>
      <c r="F161" t="s">
        <v>479</v>
      </c>
      <c r="G161" t="s">
        <v>480</v>
      </c>
      <c r="H161">
        <v>1000</v>
      </c>
      <c r="I161">
        <v>38.700000000000003</v>
      </c>
      <c r="J161">
        <v>38700</v>
      </c>
      <c r="K161" t="str">
        <f>IFERROR(IF(B161&lt;&gt;"", TEXT(VLOOKUP(B161, 'Expected Date'!A:B, 2, FALSE) + DATE(RIGHT(C161,2),MID(C161,4,2),LEFT(C161,2)), "dd/mm/yy"), ""), "")</f>
        <v>27/07/23</v>
      </c>
      <c r="L161" t="s">
        <v>38</v>
      </c>
      <c r="M161" t="s">
        <v>48</v>
      </c>
      <c r="N161" t="s">
        <v>342</v>
      </c>
      <c r="O161" t="s">
        <v>116</v>
      </c>
      <c r="P161">
        <v>23290832</v>
      </c>
      <c r="Q161" t="s">
        <v>479</v>
      </c>
      <c r="R161" t="s">
        <v>480</v>
      </c>
      <c r="S161">
        <v>1000</v>
      </c>
      <c r="T161">
        <v>38.700000000000003</v>
      </c>
      <c r="U161">
        <v>38700</v>
      </c>
      <c r="V161" t="str">
        <f t="shared" si="55"/>
        <v>Accepted</v>
      </c>
      <c r="W161">
        <f>IFERROR(VLOOKUP(N161, Payment_Terms!A:B, 2, FALSE), "Payment term not found!")</f>
        <v>30</v>
      </c>
      <c r="X161" t="str">
        <f>IFERROR(VLOOKUP(R161, Item_Category!A:B, 2, FALSE), "Uncategorized")</f>
        <v>Soda Ash</v>
      </c>
      <c r="Y161" s="5">
        <f t="shared" si="40"/>
        <v>0</v>
      </c>
      <c r="Z161">
        <f t="shared" si="41"/>
        <v>5</v>
      </c>
      <c r="AA161">
        <f t="shared" si="42"/>
        <v>-9</v>
      </c>
      <c r="AB161">
        <f t="shared" si="43"/>
        <v>5</v>
      </c>
      <c r="AC161" s="10">
        <f t="shared" si="44"/>
        <v>1</v>
      </c>
      <c r="AD161" s="5">
        <f t="shared" si="36"/>
        <v>1</v>
      </c>
      <c r="AE161" s="5">
        <f t="shared" si="37"/>
        <v>1</v>
      </c>
      <c r="AF161" s="5">
        <f t="shared" si="45"/>
        <v>0</v>
      </c>
      <c r="AG161">
        <f>IF(B161&lt;&gt;"", COUNTIFS($B$2:B161, B161), "")</f>
        <v>9</v>
      </c>
      <c r="AH161">
        <f t="shared" si="46"/>
        <v>5</v>
      </c>
      <c r="AI161" t="str">
        <f>VLOOKUP(B161, Currency!A:B, 2, FALSE)</f>
        <v>INR</v>
      </c>
      <c r="AJ161">
        <f t="shared" si="38"/>
        <v>5</v>
      </c>
      <c r="AK161">
        <f t="shared" si="47"/>
        <v>7</v>
      </c>
      <c r="AL161" t="str">
        <f t="shared" si="48"/>
        <v>July</v>
      </c>
      <c r="AM161">
        <f t="shared" si="49"/>
        <v>2023</v>
      </c>
      <c r="AN161" t="str">
        <f t="shared" si="39"/>
        <v>30Aerochem Laboratories</v>
      </c>
      <c r="AO161">
        <f>IF(COUNTIF($AN$2:AN161, AN161)=1, 1, 0)</f>
        <v>0</v>
      </c>
      <c r="AP161" t="str">
        <f t="shared" si="50"/>
        <v>&gt;3</v>
      </c>
      <c r="AQ161" t="str">
        <f t="shared" si="51"/>
        <v>&gt;3</v>
      </c>
      <c r="AR161" t="str">
        <f t="shared" si="52"/>
        <v>&gt;3</v>
      </c>
    </row>
    <row r="162" spans="1:44" x14ac:dyDescent="0.3">
      <c r="A162" t="s">
        <v>33</v>
      </c>
      <c r="B162" t="s">
        <v>382</v>
      </c>
      <c r="C162" t="s">
        <v>193</v>
      </c>
      <c r="D162">
        <v>3152</v>
      </c>
      <c r="E162">
        <v>23210426</v>
      </c>
      <c r="F162" t="s">
        <v>412</v>
      </c>
      <c r="G162" t="s">
        <v>413</v>
      </c>
      <c r="H162">
        <v>1000</v>
      </c>
      <c r="I162">
        <v>19.7</v>
      </c>
      <c r="J162">
        <v>19700</v>
      </c>
      <c r="K162" t="str">
        <f>IFERROR(IF(B162&lt;&gt;"", TEXT(VLOOKUP(B162, 'Expected Date'!A:B, 2, FALSE) + DATE(RIGHT(C162,2),MID(C162,4,2),LEFT(C162,2)), "dd/mm/yy"), ""), "")</f>
        <v>27/07/23</v>
      </c>
      <c r="L162" t="s">
        <v>38</v>
      </c>
      <c r="M162" t="s">
        <v>48</v>
      </c>
      <c r="N162" t="s">
        <v>342</v>
      </c>
      <c r="O162" t="s">
        <v>116</v>
      </c>
      <c r="P162">
        <v>23290832</v>
      </c>
      <c r="Q162" t="s">
        <v>412</v>
      </c>
      <c r="R162" t="s">
        <v>413</v>
      </c>
      <c r="S162">
        <v>1000</v>
      </c>
      <c r="T162">
        <v>19.7</v>
      </c>
      <c r="U162">
        <v>19700</v>
      </c>
      <c r="V162" t="str">
        <f t="shared" si="55"/>
        <v>Accepted</v>
      </c>
      <c r="W162">
        <f>IFERROR(VLOOKUP(N162, Payment_Terms!A:B, 2, FALSE), "Payment term not found!")</f>
        <v>30</v>
      </c>
      <c r="X162" t="str">
        <f>IFERROR(VLOOKUP(R162, Item_Category!A:B, 2, FALSE), "Uncategorized")</f>
        <v>NON FERRIC ALUM</v>
      </c>
      <c r="Y162" s="5">
        <f t="shared" si="40"/>
        <v>0</v>
      </c>
      <c r="Z162">
        <f t="shared" si="41"/>
        <v>5</v>
      </c>
      <c r="AA162">
        <f t="shared" si="42"/>
        <v>-9</v>
      </c>
      <c r="AB162">
        <f t="shared" si="43"/>
        <v>5</v>
      </c>
      <c r="AC162" s="10">
        <f t="shared" si="44"/>
        <v>1</v>
      </c>
      <c r="AD162" s="5">
        <f t="shared" si="36"/>
        <v>1</v>
      </c>
      <c r="AE162" s="5">
        <f t="shared" si="37"/>
        <v>1</v>
      </c>
      <c r="AF162" s="5">
        <f t="shared" si="45"/>
        <v>0</v>
      </c>
      <c r="AG162">
        <f>IF(B162&lt;&gt;"", COUNTIFS($B$2:B162, B162), "")</f>
        <v>10</v>
      </c>
      <c r="AH162">
        <f t="shared" si="46"/>
        <v>5</v>
      </c>
      <c r="AI162" t="str">
        <f>VLOOKUP(B162, Currency!A:B, 2, FALSE)</f>
        <v>INR</v>
      </c>
      <c r="AJ162">
        <f t="shared" si="38"/>
        <v>5</v>
      </c>
      <c r="AK162">
        <f t="shared" si="47"/>
        <v>7</v>
      </c>
      <c r="AL162" t="str">
        <f t="shared" si="48"/>
        <v>July</v>
      </c>
      <c r="AM162">
        <f t="shared" si="49"/>
        <v>2023</v>
      </c>
      <c r="AN162" t="str">
        <f t="shared" si="39"/>
        <v>30Aerochem Laboratories</v>
      </c>
      <c r="AO162">
        <f>IF(COUNTIF($AN$2:AN162, AN162)=1, 1, 0)</f>
        <v>0</v>
      </c>
      <c r="AP162" t="str">
        <f t="shared" si="50"/>
        <v>&gt;3</v>
      </c>
      <c r="AQ162" t="str">
        <f t="shared" si="51"/>
        <v>&gt;3</v>
      </c>
      <c r="AR162" t="str">
        <f t="shared" si="52"/>
        <v>&gt;3</v>
      </c>
    </row>
    <row r="163" spans="1:44" x14ac:dyDescent="0.3">
      <c r="A163" t="s">
        <v>33</v>
      </c>
      <c r="B163" t="s">
        <v>395</v>
      </c>
      <c r="C163" t="s">
        <v>88</v>
      </c>
      <c r="D163">
        <v>2928</v>
      </c>
      <c r="E163">
        <v>23210383</v>
      </c>
      <c r="F163" t="s">
        <v>392</v>
      </c>
      <c r="G163" t="s">
        <v>393</v>
      </c>
      <c r="H163">
        <v>200</v>
      </c>
      <c r="I163">
        <v>10700</v>
      </c>
      <c r="J163">
        <v>2140000</v>
      </c>
      <c r="K163" t="str">
        <f>IFERROR(IF(B163&lt;&gt;"", TEXT(VLOOKUP(B163, 'Expected Date'!A:B, 2, FALSE) + DATE(RIGHT(C163,2),MID(C163,4,2),LEFT(C163,2)), "dd/mm/yy"), ""), "")</f>
        <v>09/07/23</v>
      </c>
      <c r="L163" t="s">
        <v>68</v>
      </c>
      <c r="M163" t="s">
        <v>48</v>
      </c>
      <c r="N163" t="s">
        <v>370</v>
      </c>
      <c r="O163" t="s">
        <v>120</v>
      </c>
      <c r="P163">
        <v>23290844</v>
      </c>
      <c r="Q163" t="s">
        <v>392</v>
      </c>
      <c r="R163" t="s">
        <v>393</v>
      </c>
      <c r="S163">
        <v>27</v>
      </c>
      <c r="T163">
        <v>10700</v>
      </c>
      <c r="U163">
        <v>288900</v>
      </c>
      <c r="V163" t="str">
        <f t="shared" si="55"/>
        <v>Accepted</v>
      </c>
      <c r="W163">
        <f>IFERROR(VLOOKUP(N163, Payment_Terms!A:B, 2, FALSE), "Payment term not found!")</f>
        <v>15</v>
      </c>
      <c r="X163" t="str">
        <f>IFERROR(VLOOKUP(R163, Item_Category!A:B, 2, FALSE), "Uncategorized")</f>
        <v>Coal materials</v>
      </c>
      <c r="Y163" s="5">
        <f t="shared" si="40"/>
        <v>5.1500000000000053E-3</v>
      </c>
      <c r="Z163">
        <f t="shared" si="41"/>
        <v>4</v>
      </c>
      <c r="AA163">
        <f t="shared" si="42"/>
        <v>11</v>
      </c>
      <c r="AB163">
        <f t="shared" si="43"/>
        <v>1</v>
      </c>
      <c r="AC163" s="10">
        <f t="shared" si="44"/>
        <v>16</v>
      </c>
      <c r="AD163" s="5">
        <f t="shared" si="36"/>
        <v>1</v>
      </c>
      <c r="AE163" s="5">
        <f t="shared" si="37"/>
        <v>1</v>
      </c>
      <c r="AF163" s="5">
        <f t="shared" si="45"/>
        <v>0</v>
      </c>
      <c r="AG163">
        <f>IF(B163&lt;&gt;"", COUNTIFS($B$2:B163, B163), "")</f>
        <v>14</v>
      </c>
      <c r="AH163">
        <f t="shared" si="46"/>
        <v>5</v>
      </c>
      <c r="AI163" t="str">
        <f>VLOOKUP(B163, Currency!A:B, 2, FALSE)</f>
        <v>INR</v>
      </c>
      <c r="AJ163">
        <f t="shared" si="38"/>
        <v>4</v>
      </c>
      <c r="AK163">
        <f t="shared" si="47"/>
        <v>7</v>
      </c>
      <c r="AL163" t="str">
        <f t="shared" si="48"/>
        <v>July</v>
      </c>
      <c r="AM163">
        <f t="shared" si="49"/>
        <v>2023</v>
      </c>
      <c r="AN163" t="str">
        <f t="shared" si="39"/>
        <v>15Crystal coal corporation</v>
      </c>
      <c r="AO163">
        <f>IF(COUNTIF($AN$2:AN163, AN163)=1, 1, 0)</f>
        <v>0</v>
      </c>
      <c r="AP163" t="str">
        <f t="shared" si="50"/>
        <v>&gt;3</v>
      </c>
      <c r="AQ163" t="str">
        <f t="shared" si="51"/>
        <v>&gt;3</v>
      </c>
      <c r="AR163" t="str">
        <f t="shared" si="52"/>
        <v>&lt;=3</v>
      </c>
    </row>
    <row r="164" spans="1:44" x14ac:dyDescent="0.3">
      <c r="A164" t="s">
        <v>33</v>
      </c>
      <c r="B164" t="s">
        <v>371</v>
      </c>
      <c r="C164" t="s">
        <v>482</v>
      </c>
      <c r="D164">
        <v>4236</v>
      </c>
      <c r="E164">
        <v>23210630</v>
      </c>
      <c r="F164" t="s">
        <v>372</v>
      </c>
      <c r="G164" t="s">
        <v>373</v>
      </c>
      <c r="H164">
        <v>20</v>
      </c>
      <c r="I164">
        <v>1100</v>
      </c>
      <c r="J164">
        <v>22000</v>
      </c>
      <c r="K164" t="str">
        <f>IFERROR(IF(B164&lt;&gt;"", TEXT(VLOOKUP(B164, 'Expected Date'!A:B, 2, FALSE) + DATE(RIGHT(C164,2),MID(C164,4,2),LEFT(C164,2)), "dd/mm/yy"), ""), "")</f>
        <v>12/09/23</v>
      </c>
      <c r="L164" t="s">
        <v>38</v>
      </c>
      <c r="M164" t="s">
        <v>48</v>
      </c>
      <c r="N164" t="s">
        <v>342</v>
      </c>
      <c r="O164" t="s">
        <v>154</v>
      </c>
      <c r="P164">
        <v>23291468</v>
      </c>
      <c r="Q164" t="s">
        <v>372</v>
      </c>
      <c r="R164" t="s">
        <v>373</v>
      </c>
      <c r="S164">
        <v>9.9600000000000009</v>
      </c>
      <c r="T164">
        <v>1100</v>
      </c>
      <c r="U164">
        <v>10956</v>
      </c>
      <c r="V164" t="str">
        <f t="shared" si="55"/>
        <v>Accepted</v>
      </c>
      <c r="W164">
        <f>IFERROR(VLOOKUP(N164, Payment_Terms!A:B, 2, FALSE), "Payment term not found!")</f>
        <v>30</v>
      </c>
      <c r="X164" t="str">
        <f>IFERROR(VLOOKUP(R164, Item_Category!A:B, 2, FALSE), "Uncategorized")</f>
        <v>HCL</v>
      </c>
      <c r="Y164" s="5">
        <f t="shared" si="40"/>
        <v>0</v>
      </c>
      <c r="Z164">
        <f t="shared" si="41"/>
        <v>5</v>
      </c>
      <c r="AA164">
        <f t="shared" si="42"/>
        <v>8</v>
      </c>
      <c r="AB164">
        <f t="shared" si="43"/>
        <v>2</v>
      </c>
      <c r="AC164" s="10">
        <f t="shared" si="44"/>
        <v>13</v>
      </c>
      <c r="AD164" s="5">
        <f t="shared" si="36"/>
        <v>1</v>
      </c>
      <c r="AE164" s="5">
        <f t="shared" si="37"/>
        <v>1</v>
      </c>
      <c r="AF164" s="5">
        <f t="shared" si="45"/>
        <v>0</v>
      </c>
      <c r="AG164">
        <f>IF(B164&lt;&gt;"", COUNTIFS($B$2:B164, B164), "")</f>
        <v>8</v>
      </c>
      <c r="AH164">
        <f t="shared" si="46"/>
        <v>5</v>
      </c>
      <c r="AI164" t="str">
        <f>VLOOKUP(B164, Currency!A:B, 2, FALSE)</f>
        <v>INR</v>
      </c>
      <c r="AJ164">
        <f t="shared" si="38"/>
        <v>5</v>
      </c>
      <c r="AK164">
        <f t="shared" si="47"/>
        <v>9</v>
      </c>
      <c r="AL164" t="str">
        <f t="shared" si="48"/>
        <v>September</v>
      </c>
      <c r="AM164">
        <f t="shared" si="49"/>
        <v>2023</v>
      </c>
      <c r="AN164" t="str">
        <f t="shared" si="39"/>
        <v>30SHREE ACID AND CHEMICALS</v>
      </c>
      <c r="AO164">
        <f>IF(COUNTIF($AN$2:AN164, AN164)=1, 1, 0)</f>
        <v>0</v>
      </c>
      <c r="AP164" t="str">
        <f t="shared" si="50"/>
        <v>&gt;3</v>
      </c>
      <c r="AQ164" t="str">
        <f t="shared" si="51"/>
        <v>&gt;3</v>
      </c>
      <c r="AR164" t="str">
        <f t="shared" si="52"/>
        <v>&lt;=3</v>
      </c>
    </row>
    <row r="165" spans="1:44" x14ac:dyDescent="0.3">
      <c r="A165" t="str">
        <f>A73</f>
        <v>Woodpulp</v>
      </c>
      <c r="B165" t="s">
        <v>140</v>
      </c>
      <c r="C165" t="s">
        <v>146</v>
      </c>
      <c r="D165">
        <v>1749</v>
      </c>
      <c r="E165">
        <v>23220017</v>
      </c>
      <c r="F165" t="s">
        <v>359</v>
      </c>
      <c r="G165" t="s">
        <v>360</v>
      </c>
      <c r="H165">
        <v>100</v>
      </c>
      <c r="I165">
        <v>830</v>
      </c>
      <c r="J165">
        <v>6710550</v>
      </c>
      <c r="K165" t="str">
        <f>IFERROR(IF(B165&lt;&gt;"", TEXT(VLOOKUP(B165, 'Expected Date'!A:B, 2, FALSE) + DATE(RIGHT(C165,2),MID(C165,4,2),LEFT(C165,2)), "dd/mm/yy"), ""), "")</f>
        <v>23/06/23</v>
      </c>
      <c r="L165" t="s">
        <v>68</v>
      </c>
      <c r="M165" t="str">
        <f>M73</f>
        <v>MT</v>
      </c>
      <c r="N165" t="s">
        <v>144</v>
      </c>
      <c r="O165" t="s">
        <v>416</v>
      </c>
      <c r="P165">
        <v>23290392</v>
      </c>
      <c r="Q165" t="s">
        <v>359</v>
      </c>
      <c r="R165" t="s">
        <v>360</v>
      </c>
      <c r="S165">
        <v>98.521000000000001</v>
      </c>
      <c r="T165">
        <v>830</v>
      </c>
      <c r="U165">
        <v>6668541.6699999999</v>
      </c>
      <c r="V165" t="str">
        <f t="shared" si="55"/>
        <v>Accepted</v>
      </c>
      <c r="W165">
        <f>IFERROR(VLOOKUP(N165, Payment_Terms!A:B, 2, FALSE), "Payment term not found!")</f>
        <v>30</v>
      </c>
      <c r="X165" t="str">
        <f>IFERROR(VLOOKUP(R165, Item_Category!A:B, 2, FALSE), "Uncategorized")</f>
        <v>Wood pulp</v>
      </c>
      <c r="Y165" s="5">
        <f t="shared" si="40"/>
        <v>1.4789999999999992E-2</v>
      </c>
      <c r="Z165">
        <f t="shared" si="41"/>
        <v>4</v>
      </c>
      <c r="AA165">
        <f t="shared" si="42"/>
        <v>-34</v>
      </c>
      <c r="AB165">
        <f t="shared" si="43"/>
        <v>5</v>
      </c>
      <c r="AC165" s="10">
        <f t="shared" si="44"/>
        <v>11</v>
      </c>
      <c r="AD165" s="5">
        <f t="shared" si="36"/>
        <v>1</v>
      </c>
      <c r="AE165" s="5">
        <f t="shared" si="37"/>
        <v>1</v>
      </c>
      <c r="AF165" s="5">
        <f t="shared" si="45"/>
        <v>0</v>
      </c>
      <c r="AG165">
        <f>IF(B165&lt;&gt;"", COUNTIFS($B$2:B165, B165), "")</f>
        <v>3</v>
      </c>
      <c r="AH165">
        <f t="shared" si="46"/>
        <v>5</v>
      </c>
      <c r="AI165" t="str">
        <f>VLOOKUP(B165, Currency!A:B, 2, FALSE)</f>
        <v>USD</v>
      </c>
      <c r="AJ165">
        <f t="shared" si="38"/>
        <v>5</v>
      </c>
      <c r="AK165">
        <f t="shared" si="47"/>
        <v>5</v>
      </c>
      <c r="AL165" t="str">
        <f t="shared" si="48"/>
        <v>May</v>
      </c>
      <c r="AM165">
        <f t="shared" si="49"/>
        <v>2023</v>
      </c>
      <c r="AN165" t="str">
        <f t="shared" si="39"/>
        <v>30Sappi Paper Holdings GMBH</v>
      </c>
      <c r="AO165">
        <f>IF(COUNTIF($AN$2:AN165, AN165)=1, 1, 0)</f>
        <v>0</v>
      </c>
      <c r="AP165" t="str">
        <f t="shared" si="50"/>
        <v>&gt;3</v>
      </c>
      <c r="AQ165" t="str">
        <f t="shared" si="51"/>
        <v>&gt;3</v>
      </c>
      <c r="AR165" t="str">
        <f t="shared" si="52"/>
        <v>&gt;3</v>
      </c>
    </row>
    <row r="166" spans="1:44" x14ac:dyDescent="0.3">
      <c r="A166" t="s">
        <v>33</v>
      </c>
      <c r="B166" t="s">
        <v>492</v>
      </c>
      <c r="C166" t="s">
        <v>89</v>
      </c>
      <c r="D166">
        <v>3006</v>
      </c>
      <c r="E166">
        <v>23210408</v>
      </c>
      <c r="F166" t="s">
        <v>399</v>
      </c>
      <c r="G166" t="s">
        <v>400</v>
      </c>
      <c r="H166">
        <v>150</v>
      </c>
      <c r="I166">
        <v>60</v>
      </c>
      <c r="J166">
        <v>9000</v>
      </c>
      <c r="K166" t="str">
        <f>IFERROR(IF(B166&lt;&gt;"", TEXT(VLOOKUP(B166, 'Expected Date'!A:B, 2, FALSE) + DATE(RIGHT(C166,2),MID(C166,4,2),LEFT(C166,2)), "dd/mm/yy"), ""), "")</f>
        <v>10/07/23</v>
      </c>
      <c r="L166" t="s">
        <v>38</v>
      </c>
      <c r="M166" t="s">
        <v>39</v>
      </c>
      <c r="N166" t="s">
        <v>342</v>
      </c>
      <c r="O166" t="s">
        <v>117</v>
      </c>
      <c r="P166">
        <v>23290784</v>
      </c>
      <c r="Q166" t="s">
        <v>399</v>
      </c>
      <c r="R166" t="s">
        <v>400</v>
      </c>
      <c r="S166">
        <v>150</v>
      </c>
      <c r="T166">
        <v>60</v>
      </c>
      <c r="U166">
        <v>9000</v>
      </c>
      <c r="V166" t="str">
        <f t="shared" si="55"/>
        <v>Accepted</v>
      </c>
      <c r="W166">
        <f>IFERROR(VLOOKUP(N166, Payment_Terms!A:B, 2, FALSE), "Payment term not found!")</f>
        <v>30</v>
      </c>
      <c r="X166" t="str">
        <f>IFERROR(VLOOKUP(R166, Item_Category!A:B, 2, FALSE), "Uncategorized")</f>
        <v>Ply sheets</v>
      </c>
      <c r="Y166" s="5">
        <f t="shared" si="40"/>
        <v>0</v>
      </c>
      <c r="Z166">
        <f t="shared" si="41"/>
        <v>5</v>
      </c>
      <c r="AA166">
        <f t="shared" si="42"/>
        <v>-3</v>
      </c>
      <c r="AB166">
        <f t="shared" si="43"/>
        <v>5</v>
      </c>
      <c r="AC166" s="10">
        <f t="shared" si="44"/>
        <v>2</v>
      </c>
      <c r="AD166" s="5">
        <f t="shared" si="36"/>
        <v>1</v>
      </c>
      <c r="AE166" s="5">
        <f t="shared" si="37"/>
        <v>1</v>
      </c>
      <c r="AF166" s="5">
        <f t="shared" si="45"/>
        <v>0</v>
      </c>
      <c r="AG166">
        <f>IF(B166&lt;&gt;"", COUNTIFS($B$2:B166, B166), "")</f>
        <v>1</v>
      </c>
      <c r="AH166">
        <f t="shared" si="46"/>
        <v>5</v>
      </c>
      <c r="AI166" t="str">
        <f>VLOOKUP(B166, Currency!A:B, 2, FALSE)</f>
        <v>INR</v>
      </c>
      <c r="AJ166">
        <f t="shared" si="38"/>
        <v>5</v>
      </c>
      <c r="AK166">
        <f t="shared" si="47"/>
        <v>7</v>
      </c>
      <c r="AL166" t="str">
        <f t="shared" si="48"/>
        <v>July</v>
      </c>
      <c r="AM166">
        <f t="shared" si="49"/>
        <v>2023</v>
      </c>
      <c r="AN166" t="str">
        <f t="shared" si="39"/>
        <v>30Avinashi Enterprise</v>
      </c>
      <c r="AO166">
        <f>IF(COUNTIF($AN$2:AN166, AN166)=1, 1, 0)</f>
        <v>1</v>
      </c>
      <c r="AP166" t="str">
        <f t="shared" si="50"/>
        <v>&gt;3</v>
      </c>
      <c r="AQ166" t="str">
        <f t="shared" si="51"/>
        <v>&gt;3</v>
      </c>
      <c r="AR166" t="str">
        <f t="shared" si="52"/>
        <v>&gt;3</v>
      </c>
    </row>
    <row r="167" spans="1:44" x14ac:dyDescent="0.3">
      <c r="A167" t="s">
        <v>33</v>
      </c>
      <c r="B167" t="s">
        <v>122</v>
      </c>
      <c r="C167" t="s">
        <v>192</v>
      </c>
      <c r="D167">
        <v>3695</v>
      </c>
      <c r="E167">
        <v>23210540</v>
      </c>
      <c r="F167" t="s">
        <v>405</v>
      </c>
      <c r="G167" t="s">
        <v>406</v>
      </c>
      <c r="H167">
        <v>600</v>
      </c>
      <c r="I167">
        <v>930</v>
      </c>
      <c r="J167">
        <v>558000</v>
      </c>
      <c r="K167" t="str">
        <f>IFERROR(IF(B167&lt;&gt;"", TEXT(VLOOKUP(B167, 'Expected Date'!A:B, 2, FALSE) + DATE(RIGHT(C167,2),MID(C167,4,2),LEFT(C167,2)), "dd/mm/yy"), ""), "")</f>
        <v>29/08/23</v>
      </c>
      <c r="L167" t="s">
        <v>38</v>
      </c>
      <c r="M167" t="s">
        <v>39</v>
      </c>
      <c r="N167" t="s">
        <v>364</v>
      </c>
      <c r="O167" t="s">
        <v>493</v>
      </c>
      <c r="P167">
        <v>23291302</v>
      </c>
      <c r="Q167" t="s">
        <v>405</v>
      </c>
      <c r="R167" t="s">
        <v>406</v>
      </c>
      <c r="S167">
        <v>180</v>
      </c>
      <c r="T167">
        <v>930</v>
      </c>
      <c r="U167">
        <v>167400</v>
      </c>
      <c r="V167" t="str">
        <f t="shared" si="55"/>
        <v>Accepted</v>
      </c>
      <c r="W167">
        <f>IFERROR(VLOOKUP(N167, Payment_Terms!A:B, 2, FALSE), "Payment term not found!")</f>
        <v>30</v>
      </c>
      <c r="X167" t="str">
        <f>IFERROR(VLOOKUP(R167, Item_Category!A:B, 2, FALSE), "Uncategorized")</f>
        <v>Pallets</v>
      </c>
      <c r="Y167" s="5">
        <f t="shared" si="40"/>
        <v>0</v>
      </c>
      <c r="Z167">
        <f t="shared" si="41"/>
        <v>5</v>
      </c>
      <c r="AA167">
        <f t="shared" si="42"/>
        <v>5</v>
      </c>
      <c r="AB167">
        <f t="shared" si="43"/>
        <v>3</v>
      </c>
      <c r="AC167" s="10">
        <f t="shared" si="44"/>
        <v>20</v>
      </c>
      <c r="AD167" s="5">
        <f t="shared" si="36"/>
        <v>1</v>
      </c>
      <c r="AE167" s="5">
        <f t="shared" si="37"/>
        <v>1</v>
      </c>
      <c r="AF167" s="5">
        <f t="shared" si="45"/>
        <v>0</v>
      </c>
      <c r="AG167">
        <f>IF(B167&lt;&gt;"", COUNTIFS($B$2:B167, B167), "")</f>
        <v>20</v>
      </c>
      <c r="AH167">
        <f t="shared" si="46"/>
        <v>5</v>
      </c>
      <c r="AI167" t="str">
        <f>VLOOKUP(B167, Currency!A:B, 2, FALSE)</f>
        <v>INR</v>
      </c>
      <c r="AJ167">
        <f t="shared" si="38"/>
        <v>5</v>
      </c>
      <c r="AK167">
        <f t="shared" si="47"/>
        <v>8</v>
      </c>
      <c r="AL167" t="str">
        <f t="shared" si="48"/>
        <v>August</v>
      </c>
      <c r="AM167">
        <f t="shared" si="49"/>
        <v>2023</v>
      </c>
      <c r="AN167" t="str">
        <f t="shared" si="39"/>
        <v>30Plastocon Industries Pvt Ltd</v>
      </c>
      <c r="AO167">
        <f>IF(COUNTIF($AN$2:AN167, AN167)=1, 1, 0)</f>
        <v>0</v>
      </c>
      <c r="AP167" t="str">
        <f t="shared" si="50"/>
        <v>&gt;3</v>
      </c>
      <c r="AQ167" t="str">
        <f t="shared" si="51"/>
        <v>&gt;3</v>
      </c>
      <c r="AR167" t="str">
        <f t="shared" si="52"/>
        <v>&lt;=3</v>
      </c>
    </row>
    <row r="168" spans="1:44" x14ac:dyDescent="0.3">
      <c r="A168" t="s">
        <v>33</v>
      </c>
      <c r="B168" t="s">
        <v>386</v>
      </c>
      <c r="C168" t="s">
        <v>178</v>
      </c>
      <c r="D168">
        <v>4141</v>
      </c>
      <c r="E168">
        <v>23210604</v>
      </c>
      <c r="F168" t="s">
        <v>494</v>
      </c>
      <c r="G168" t="s">
        <v>495</v>
      </c>
      <c r="H168">
        <v>120</v>
      </c>
      <c r="I168">
        <v>510</v>
      </c>
      <c r="J168">
        <v>61200</v>
      </c>
      <c r="K168" t="str">
        <f>IFERROR(IF(B168&lt;&gt;"", TEXT(VLOOKUP(B168, 'Expected Date'!A:B, 2, FALSE) + DATE(RIGHT(C168,2),MID(C168,4,2),LEFT(C168,2)), "dd/mm/yy"), ""), "")</f>
        <v>06/09/23</v>
      </c>
      <c r="L168" t="s">
        <v>38</v>
      </c>
      <c r="M168" t="s">
        <v>48</v>
      </c>
      <c r="N168" t="s">
        <v>342</v>
      </c>
      <c r="O168" t="s">
        <v>496</v>
      </c>
      <c r="P168">
        <v>23291303</v>
      </c>
      <c r="Q168" t="s">
        <v>494</v>
      </c>
      <c r="R168" t="s">
        <v>495</v>
      </c>
      <c r="S168">
        <v>120</v>
      </c>
      <c r="T168">
        <v>510</v>
      </c>
      <c r="U168">
        <v>61200</v>
      </c>
      <c r="V168" t="str">
        <f t="shared" si="55"/>
        <v>Accepted</v>
      </c>
      <c r="W168">
        <f>IFERROR(VLOOKUP(N168, Payment_Terms!A:B, 2, FALSE), "Payment term not found!")</f>
        <v>30</v>
      </c>
      <c r="X168" t="str">
        <f>IFERROR(VLOOKUP(R168, Item_Category!A:B, 2, FALSE), "Uncategorized")</f>
        <v>Strapping rolls</v>
      </c>
      <c r="Y168" s="5">
        <f t="shared" si="40"/>
        <v>0</v>
      </c>
      <c r="Z168">
        <f t="shared" si="41"/>
        <v>5</v>
      </c>
      <c r="AA168">
        <f t="shared" si="42"/>
        <v>-4</v>
      </c>
      <c r="AB168">
        <f t="shared" si="43"/>
        <v>5</v>
      </c>
      <c r="AC168" s="10">
        <f t="shared" si="44"/>
        <v>1</v>
      </c>
      <c r="AD168" s="5">
        <f t="shared" si="36"/>
        <v>1</v>
      </c>
      <c r="AE168" s="5">
        <f t="shared" si="37"/>
        <v>1</v>
      </c>
      <c r="AF168" s="5">
        <f t="shared" si="45"/>
        <v>0</v>
      </c>
      <c r="AG168">
        <f>IF(B168&lt;&gt;"", COUNTIFS($B$2:B168, B168), "")</f>
        <v>10</v>
      </c>
      <c r="AH168">
        <f t="shared" si="46"/>
        <v>5</v>
      </c>
      <c r="AI168" t="str">
        <f>VLOOKUP(B168, Currency!A:B, 2, FALSE)</f>
        <v>INR</v>
      </c>
      <c r="AJ168">
        <f t="shared" si="38"/>
        <v>5</v>
      </c>
      <c r="AK168">
        <f t="shared" si="47"/>
        <v>9</v>
      </c>
      <c r="AL168" t="str">
        <f t="shared" si="48"/>
        <v>September</v>
      </c>
      <c r="AM168">
        <f t="shared" si="49"/>
        <v>2023</v>
      </c>
      <c r="AN168" t="str">
        <f t="shared" si="39"/>
        <v>30Shree Shyam Enterprises</v>
      </c>
      <c r="AO168">
        <f>IF(COUNTIF($AN$2:AN168, AN168)=1, 1, 0)</f>
        <v>0</v>
      </c>
      <c r="AP168" t="str">
        <f t="shared" si="50"/>
        <v>&gt;3</v>
      </c>
      <c r="AQ168" t="str">
        <f t="shared" si="51"/>
        <v>&gt;3</v>
      </c>
      <c r="AR168" t="str">
        <f t="shared" si="52"/>
        <v>&gt;3</v>
      </c>
    </row>
    <row r="169" spans="1:44" x14ac:dyDescent="0.3">
      <c r="A169" t="s">
        <v>33</v>
      </c>
      <c r="B169" t="s">
        <v>386</v>
      </c>
      <c r="C169" t="s">
        <v>178</v>
      </c>
      <c r="D169">
        <v>4141</v>
      </c>
      <c r="E169">
        <v>23210604</v>
      </c>
      <c r="F169" t="s">
        <v>497</v>
      </c>
      <c r="G169" t="s">
        <v>498</v>
      </c>
      <c r="H169">
        <v>505</v>
      </c>
      <c r="I169">
        <v>19.5</v>
      </c>
      <c r="J169">
        <v>9847.5</v>
      </c>
      <c r="K169" t="str">
        <f>IFERROR(IF(B169&lt;&gt;"", TEXT(VLOOKUP(B169, 'Expected Date'!A:B, 2, FALSE) + DATE(RIGHT(C169,2),MID(C169,4,2),LEFT(C169,2)), "dd/mm/yy"), ""), "")</f>
        <v>06/09/23</v>
      </c>
      <c r="L169" t="s">
        <v>68</v>
      </c>
      <c r="M169" t="s">
        <v>39</v>
      </c>
      <c r="N169" t="s">
        <v>342</v>
      </c>
      <c r="O169" t="s">
        <v>496</v>
      </c>
      <c r="P169">
        <v>23291303</v>
      </c>
      <c r="Q169" t="s">
        <v>497</v>
      </c>
      <c r="R169" t="s">
        <v>498</v>
      </c>
      <c r="S169">
        <v>501</v>
      </c>
      <c r="T169">
        <v>19.5</v>
      </c>
      <c r="U169">
        <v>9769.5</v>
      </c>
      <c r="V169" t="str">
        <f t="shared" si="55"/>
        <v>Accepted</v>
      </c>
      <c r="W169">
        <f>IFERROR(VLOOKUP(N169, Payment_Terms!A:B, 2, FALSE), "Payment term not found!")</f>
        <v>30</v>
      </c>
      <c r="X169" t="str">
        <f>IFERROR(VLOOKUP(R169, Item_Category!A:B, 2, FALSE), "Uncategorized")</f>
        <v>HDPE blue bag</v>
      </c>
      <c r="Y169" s="5">
        <f t="shared" si="40"/>
        <v>7.9207920792079209E-3</v>
      </c>
      <c r="Z169">
        <f t="shared" si="41"/>
        <v>4</v>
      </c>
      <c r="AA169">
        <f t="shared" si="42"/>
        <v>-4</v>
      </c>
      <c r="AB169">
        <f t="shared" si="43"/>
        <v>5</v>
      </c>
      <c r="AC169" s="10">
        <f t="shared" si="44"/>
        <v>1</v>
      </c>
      <c r="AD169" s="5">
        <f t="shared" si="36"/>
        <v>1</v>
      </c>
      <c r="AE169" s="5">
        <f t="shared" si="37"/>
        <v>1</v>
      </c>
      <c r="AF169" s="5">
        <f t="shared" si="45"/>
        <v>0</v>
      </c>
      <c r="AG169">
        <f>IF(B169&lt;&gt;"", COUNTIFS($B$2:B169, B169), "")</f>
        <v>11</v>
      </c>
      <c r="AH169">
        <f t="shared" si="46"/>
        <v>5</v>
      </c>
      <c r="AI169" t="str">
        <f>VLOOKUP(B169, Currency!A:B, 2, FALSE)</f>
        <v>INR</v>
      </c>
      <c r="AJ169">
        <f t="shared" si="38"/>
        <v>5</v>
      </c>
      <c r="AK169">
        <f t="shared" si="47"/>
        <v>9</v>
      </c>
      <c r="AL169" t="str">
        <f t="shared" si="48"/>
        <v>September</v>
      </c>
      <c r="AM169">
        <f t="shared" si="49"/>
        <v>2023</v>
      </c>
      <c r="AN169" t="str">
        <f t="shared" si="39"/>
        <v>30Shree Shyam Enterprises</v>
      </c>
      <c r="AO169">
        <f>IF(COUNTIF($AN$2:AN169, AN169)=1, 1, 0)</f>
        <v>0</v>
      </c>
      <c r="AP169" t="str">
        <f t="shared" si="50"/>
        <v>&gt;3</v>
      </c>
      <c r="AQ169" t="str">
        <f t="shared" si="51"/>
        <v>&gt;3</v>
      </c>
      <c r="AR169" t="str">
        <f t="shared" si="52"/>
        <v>&gt;3</v>
      </c>
    </row>
    <row r="170" spans="1:44" x14ac:dyDescent="0.3">
      <c r="A170" t="s">
        <v>33</v>
      </c>
      <c r="B170" t="s">
        <v>386</v>
      </c>
      <c r="C170" t="s">
        <v>178</v>
      </c>
      <c r="D170">
        <v>4141</v>
      </c>
      <c r="E170">
        <v>23210604</v>
      </c>
      <c r="F170" t="s">
        <v>499</v>
      </c>
      <c r="G170" t="s">
        <v>500</v>
      </c>
      <c r="H170">
        <v>505</v>
      </c>
      <c r="I170">
        <v>19.5</v>
      </c>
      <c r="J170">
        <v>9847.5</v>
      </c>
      <c r="K170" t="str">
        <f>IFERROR(IF(B170&lt;&gt;"", TEXT(VLOOKUP(B170, 'Expected Date'!A:B, 2, FALSE) + DATE(RIGHT(C170,2),MID(C170,4,2),LEFT(C170,2)), "dd/mm/yy"), ""), "")</f>
        <v>06/09/23</v>
      </c>
      <c r="L170" t="s">
        <v>68</v>
      </c>
      <c r="M170" t="s">
        <v>39</v>
      </c>
      <c r="N170" t="s">
        <v>342</v>
      </c>
      <c r="O170" t="s">
        <v>496</v>
      </c>
      <c r="P170">
        <v>23291303</v>
      </c>
      <c r="Q170" t="s">
        <v>499</v>
      </c>
      <c r="R170" t="s">
        <v>500</v>
      </c>
      <c r="S170">
        <v>502</v>
      </c>
      <c r="T170">
        <v>19.5</v>
      </c>
      <c r="U170">
        <v>9789</v>
      </c>
      <c r="V170" t="str">
        <f t="shared" si="55"/>
        <v>Accepted</v>
      </c>
      <c r="W170">
        <f>IFERROR(VLOOKUP(N170, Payment_Terms!A:B, 2, FALSE), "Payment term not found!")</f>
        <v>30</v>
      </c>
      <c r="X170" t="str">
        <f>IFERROR(VLOOKUP(R170, Item_Category!A:B, 2, FALSE), "Uncategorized")</f>
        <v>HDPE yellow bag</v>
      </c>
      <c r="Y170" s="5">
        <f>IFERROR(IF(AND(E170&lt;&gt;"", G170&lt;&gt;""), MAX(0, (H170-SUMIFS(S:S, E:E, E170, G:G, G170))/H170), ""), (H170-S170)/H170)</f>
        <v>5.9405940594059407E-3</v>
      </c>
      <c r="Z170">
        <f t="shared" si="41"/>
        <v>4</v>
      </c>
      <c r="AA170">
        <f t="shared" si="42"/>
        <v>-4</v>
      </c>
      <c r="AB170">
        <f t="shared" si="43"/>
        <v>5</v>
      </c>
      <c r="AC170" s="10">
        <f t="shared" si="44"/>
        <v>1</v>
      </c>
      <c r="AD170" s="5">
        <f t="shared" si="36"/>
        <v>1</v>
      </c>
      <c r="AE170" s="5">
        <f t="shared" si="37"/>
        <v>1</v>
      </c>
      <c r="AF170" s="5">
        <f t="shared" si="45"/>
        <v>0</v>
      </c>
      <c r="AG170">
        <f>IF(B170&lt;&gt;"", COUNTIFS($B$2:B170, B170), "")</f>
        <v>12</v>
      </c>
      <c r="AH170">
        <f t="shared" si="46"/>
        <v>5</v>
      </c>
      <c r="AI170" t="str">
        <f>VLOOKUP(B170, Currency!A:B, 2, FALSE)</f>
        <v>INR</v>
      </c>
      <c r="AJ170">
        <f t="shared" si="38"/>
        <v>5</v>
      </c>
      <c r="AK170">
        <f t="shared" si="47"/>
        <v>9</v>
      </c>
      <c r="AL170" t="str">
        <f t="shared" si="48"/>
        <v>September</v>
      </c>
      <c r="AM170">
        <f t="shared" si="49"/>
        <v>2023</v>
      </c>
      <c r="AN170" t="str">
        <f t="shared" si="39"/>
        <v>30Shree Shyam Enterprises</v>
      </c>
      <c r="AO170">
        <f>IF(COUNTIF($AN$2:AN170, AN170)=1, 1, 0)</f>
        <v>0</v>
      </c>
      <c r="AP170" t="str">
        <f t="shared" si="50"/>
        <v>&gt;3</v>
      </c>
      <c r="AQ170" t="str">
        <f t="shared" si="51"/>
        <v>&gt;3</v>
      </c>
      <c r="AR170" t="str">
        <f t="shared" si="52"/>
        <v>&gt;3</v>
      </c>
    </row>
    <row r="171" spans="1:44" x14ac:dyDescent="0.3">
      <c r="A171" t="s">
        <v>33</v>
      </c>
      <c r="B171" t="s">
        <v>382</v>
      </c>
      <c r="C171" t="s">
        <v>284</v>
      </c>
      <c r="D171">
        <v>4153</v>
      </c>
      <c r="E171">
        <v>23210607</v>
      </c>
      <c r="F171" t="s">
        <v>479</v>
      </c>
      <c r="G171" t="s">
        <v>480</v>
      </c>
      <c r="H171">
        <v>1000</v>
      </c>
      <c r="I171">
        <v>38.200000000000003</v>
      </c>
      <c r="J171">
        <v>38200</v>
      </c>
      <c r="K171" t="str">
        <f>IFERROR(IF(B171&lt;&gt;"", TEXT(VLOOKUP(B171, 'Expected Date'!A:B, 2, FALSE) + DATE(RIGHT(C171,2),MID(C171,4,2),LEFT(C171,2)), "dd/mm/yy"), ""), "")</f>
        <v>14/09/23</v>
      </c>
      <c r="L171" t="s">
        <v>38</v>
      </c>
      <c r="M171" t="s">
        <v>48</v>
      </c>
      <c r="N171" t="s">
        <v>342</v>
      </c>
      <c r="O171" t="s">
        <v>281</v>
      </c>
      <c r="P171">
        <v>23291332</v>
      </c>
      <c r="Q171" t="s">
        <v>479</v>
      </c>
      <c r="R171" t="s">
        <v>480</v>
      </c>
      <c r="S171">
        <v>1000</v>
      </c>
      <c r="T171">
        <v>38.200000000000003</v>
      </c>
      <c r="U171">
        <v>38200</v>
      </c>
      <c r="V171" t="str">
        <f t="shared" si="55"/>
        <v>Accepted</v>
      </c>
      <c r="W171">
        <f>IFERROR(VLOOKUP(N171, Payment_Terms!A:B, 2, FALSE), "Payment term not found!")</f>
        <v>30</v>
      </c>
      <c r="X171" t="str">
        <f>IFERROR(VLOOKUP(R171, Item_Category!A:B, 2, FALSE), "Uncategorized")</f>
        <v>Soda Ash</v>
      </c>
      <c r="Y171" s="5">
        <f t="shared" ref="Y171:Y234" si="56">IFERROR(IF(AND(E171&lt;&gt;"", G171&lt;&gt;""), MAX(0, (H171-SUMIFS(S:S, E:E, E171, G:G, G171))/H171), ""), (H171-S171)/H171)</f>
        <v>0</v>
      </c>
      <c r="Z171">
        <f t="shared" si="41"/>
        <v>5</v>
      </c>
      <c r="AA171">
        <f t="shared" si="42"/>
        <v>-9</v>
      </c>
      <c r="AB171">
        <f t="shared" si="43"/>
        <v>5</v>
      </c>
      <c r="AC171" s="10">
        <f t="shared" si="44"/>
        <v>1</v>
      </c>
      <c r="AD171" s="5">
        <f t="shared" si="36"/>
        <v>1</v>
      </c>
      <c r="AE171" s="5">
        <f t="shared" si="37"/>
        <v>1</v>
      </c>
      <c r="AF171" s="5">
        <f t="shared" si="45"/>
        <v>0</v>
      </c>
      <c r="AG171">
        <f>IF(B171&lt;&gt;"", COUNTIFS($B$2:B171, B171), "")</f>
        <v>11</v>
      </c>
      <c r="AH171">
        <f t="shared" si="46"/>
        <v>5</v>
      </c>
      <c r="AI171" t="str">
        <f>VLOOKUP(B171, Currency!A:B, 2, FALSE)</f>
        <v>INR</v>
      </c>
      <c r="AJ171">
        <f t="shared" si="38"/>
        <v>5</v>
      </c>
      <c r="AK171">
        <f t="shared" si="47"/>
        <v>9</v>
      </c>
      <c r="AL171" t="str">
        <f t="shared" si="48"/>
        <v>September</v>
      </c>
      <c r="AM171">
        <f t="shared" si="49"/>
        <v>2023</v>
      </c>
      <c r="AN171" t="str">
        <f t="shared" si="39"/>
        <v>30Aerochem Laboratories</v>
      </c>
      <c r="AO171">
        <f>IF(COUNTIF($AN$2:AN171, AN171)=1, 1, 0)</f>
        <v>0</v>
      </c>
      <c r="AP171" t="str">
        <f t="shared" si="50"/>
        <v>&gt;3</v>
      </c>
      <c r="AQ171" t="str">
        <f t="shared" si="51"/>
        <v>&gt;3</v>
      </c>
      <c r="AR171" t="str">
        <f t="shared" si="52"/>
        <v>&gt;3</v>
      </c>
    </row>
    <row r="172" spans="1:44" x14ac:dyDescent="0.3">
      <c r="A172" t="s">
        <v>33</v>
      </c>
      <c r="B172" t="s">
        <v>382</v>
      </c>
      <c r="C172" t="s">
        <v>284</v>
      </c>
      <c r="D172">
        <v>4153</v>
      </c>
      <c r="E172">
        <v>23210607</v>
      </c>
      <c r="F172" t="s">
        <v>412</v>
      </c>
      <c r="G172" t="s">
        <v>413</v>
      </c>
      <c r="H172">
        <v>1000</v>
      </c>
      <c r="I172">
        <v>19.2</v>
      </c>
      <c r="J172">
        <v>19200</v>
      </c>
      <c r="K172" t="str">
        <f>IFERROR(IF(B172&lt;&gt;"", TEXT(VLOOKUP(B172, 'Expected Date'!A:B, 2, FALSE) + DATE(RIGHT(C172,2),MID(C172,4,2),LEFT(C172,2)), "dd/mm/yy"), ""), "")</f>
        <v>14/09/23</v>
      </c>
      <c r="L172" t="s">
        <v>38</v>
      </c>
      <c r="M172" t="s">
        <v>48</v>
      </c>
      <c r="N172" t="s">
        <v>342</v>
      </c>
      <c r="O172" t="s">
        <v>281</v>
      </c>
      <c r="P172">
        <v>23291332</v>
      </c>
      <c r="Q172" t="s">
        <v>412</v>
      </c>
      <c r="R172" t="s">
        <v>413</v>
      </c>
      <c r="S172">
        <v>1000</v>
      </c>
      <c r="T172">
        <v>19.2</v>
      </c>
      <c r="U172">
        <v>19200</v>
      </c>
      <c r="V172" t="str">
        <f t="shared" si="55"/>
        <v>Accepted</v>
      </c>
      <c r="W172">
        <f>IFERROR(VLOOKUP(N172, Payment_Terms!A:B, 2, FALSE), "Payment term not found!")</f>
        <v>30</v>
      </c>
      <c r="X172" t="str">
        <f>IFERROR(VLOOKUP(R172, Item_Category!A:B, 2, FALSE), "Uncategorized")</f>
        <v>NON FERRIC ALUM</v>
      </c>
      <c r="Y172" s="5">
        <f t="shared" si="56"/>
        <v>0</v>
      </c>
      <c r="Z172">
        <f t="shared" si="41"/>
        <v>5</v>
      </c>
      <c r="AA172">
        <f t="shared" si="42"/>
        <v>-9</v>
      </c>
      <c r="AB172">
        <f t="shared" si="43"/>
        <v>5</v>
      </c>
      <c r="AC172" s="10">
        <f t="shared" si="44"/>
        <v>1</v>
      </c>
      <c r="AD172" s="5">
        <f t="shared" si="36"/>
        <v>1</v>
      </c>
      <c r="AE172" s="5">
        <f t="shared" si="37"/>
        <v>1</v>
      </c>
      <c r="AF172" s="5">
        <f t="shared" si="45"/>
        <v>0</v>
      </c>
      <c r="AG172">
        <f>IF(B172&lt;&gt;"", COUNTIFS($B$2:B172, B172), "")</f>
        <v>12</v>
      </c>
      <c r="AH172">
        <f t="shared" si="46"/>
        <v>5</v>
      </c>
      <c r="AI172" t="str">
        <f>VLOOKUP(B172, Currency!A:B, 2, FALSE)</f>
        <v>INR</v>
      </c>
      <c r="AJ172">
        <f t="shared" si="38"/>
        <v>5</v>
      </c>
      <c r="AK172">
        <f t="shared" si="47"/>
        <v>9</v>
      </c>
      <c r="AL172" t="str">
        <f t="shared" si="48"/>
        <v>September</v>
      </c>
      <c r="AM172">
        <f t="shared" si="49"/>
        <v>2023</v>
      </c>
      <c r="AN172" t="str">
        <f t="shared" si="39"/>
        <v>30Aerochem Laboratories</v>
      </c>
      <c r="AO172">
        <f>IF(COUNTIF($AN$2:AN172, AN172)=1, 1, 0)</f>
        <v>0</v>
      </c>
      <c r="AP172" t="str">
        <f t="shared" si="50"/>
        <v>&gt;3</v>
      </c>
      <c r="AQ172" t="str">
        <f t="shared" si="51"/>
        <v>&gt;3</v>
      </c>
      <c r="AR172" t="str">
        <f t="shared" si="52"/>
        <v>&gt;3</v>
      </c>
    </row>
    <row r="173" spans="1:44" x14ac:dyDescent="0.3">
      <c r="A173" t="s">
        <v>33</v>
      </c>
      <c r="B173" t="s">
        <v>395</v>
      </c>
      <c r="C173" t="s">
        <v>501</v>
      </c>
      <c r="D173">
        <v>4036</v>
      </c>
      <c r="E173">
        <v>23210586</v>
      </c>
      <c r="F173" t="s">
        <v>392</v>
      </c>
      <c r="G173" t="s">
        <v>393</v>
      </c>
      <c r="H173">
        <v>100</v>
      </c>
      <c r="I173">
        <v>10425</v>
      </c>
      <c r="J173">
        <v>1042500</v>
      </c>
      <c r="K173" t="str">
        <f>IFERROR(IF(B173&lt;&gt;"", TEXT(VLOOKUP(B173, 'Expected Date'!A:B, 2, FALSE) + DATE(RIGHT(C173,2),MID(C173,4,2),LEFT(C173,2)), "dd/mm/yy"), ""), "")</f>
        <v>25/08/23</v>
      </c>
      <c r="L173" t="s">
        <v>68</v>
      </c>
      <c r="M173" t="s">
        <v>48</v>
      </c>
      <c r="N173" t="s">
        <v>370</v>
      </c>
      <c r="O173" t="s">
        <v>199</v>
      </c>
      <c r="P173">
        <v>23291240</v>
      </c>
      <c r="Q173" t="s">
        <v>392</v>
      </c>
      <c r="R173" t="s">
        <v>393</v>
      </c>
      <c r="S173">
        <v>23.91</v>
      </c>
      <c r="T173">
        <v>10425</v>
      </c>
      <c r="U173">
        <v>249261.75</v>
      </c>
      <c r="V173" t="str">
        <f t="shared" si="55"/>
        <v>Accepted</v>
      </c>
      <c r="W173">
        <f>IFERROR(VLOOKUP(N173, Payment_Terms!A:B, 2, FALSE), "Payment term not found!")</f>
        <v>15</v>
      </c>
      <c r="X173" t="str">
        <f>IFERROR(VLOOKUP(R173, Item_Category!A:B, 2, FALSE), "Uncategorized")</f>
        <v>Coal materials</v>
      </c>
      <c r="Y173" s="5">
        <f t="shared" si="56"/>
        <v>0.22800000000000012</v>
      </c>
      <c r="Z173">
        <f t="shared" si="41"/>
        <v>1</v>
      </c>
      <c r="AA173">
        <f t="shared" si="42"/>
        <v>1</v>
      </c>
      <c r="AB173">
        <f t="shared" si="43"/>
        <v>5</v>
      </c>
      <c r="AC173" s="10">
        <f t="shared" si="44"/>
        <v>6</v>
      </c>
      <c r="AD173" s="5">
        <f t="shared" si="36"/>
        <v>1</v>
      </c>
      <c r="AE173" s="5">
        <f t="shared" si="37"/>
        <v>1</v>
      </c>
      <c r="AF173" s="5">
        <f t="shared" si="45"/>
        <v>0</v>
      </c>
      <c r="AG173">
        <f>IF(B173&lt;&gt;"", COUNTIFS($B$2:B173, B173), "")</f>
        <v>15</v>
      </c>
      <c r="AH173">
        <f t="shared" si="46"/>
        <v>5</v>
      </c>
      <c r="AI173" t="str">
        <f>VLOOKUP(B173, Currency!A:B, 2, FALSE)</f>
        <v>INR</v>
      </c>
      <c r="AJ173">
        <f t="shared" si="38"/>
        <v>4</v>
      </c>
      <c r="AK173">
        <f t="shared" si="47"/>
        <v>8</v>
      </c>
      <c r="AL173" t="str">
        <f t="shared" si="48"/>
        <v>August</v>
      </c>
      <c r="AM173">
        <f t="shared" si="49"/>
        <v>2023</v>
      </c>
      <c r="AN173" t="str">
        <f t="shared" si="39"/>
        <v>15Crystal coal corporation</v>
      </c>
      <c r="AO173">
        <f>IF(COUNTIF($AN$2:AN173, AN173)=1, 1, 0)</f>
        <v>0</v>
      </c>
      <c r="AP173" t="str">
        <f t="shared" si="50"/>
        <v>&gt;3</v>
      </c>
      <c r="AQ173" t="str">
        <f t="shared" si="51"/>
        <v>&lt;=3</v>
      </c>
      <c r="AR173" t="str">
        <f t="shared" si="52"/>
        <v>&gt;3</v>
      </c>
    </row>
    <row r="174" spans="1:44" x14ac:dyDescent="0.3">
      <c r="A174" t="s">
        <v>33</v>
      </c>
      <c r="B174" t="s">
        <v>366</v>
      </c>
      <c r="C174" t="s">
        <v>87</v>
      </c>
      <c r="D174">
        <v>3042</v>
      </c>
      <c r="E174">
        <v>23210410</v>
      </c>
      <c r="F174" t="s">
        <v>392</v>
      </c>
      <c r="G174" t="s">
        <v>393</v>
      </c>
      <c r="H174">
        <v>200</v>
      </c>
      <c r="I174">
        <v>10200</v>
      </c>
      <c r="J174">
        <v>2040000</v>
      </c>
      <c r="K174" t="str">
        <f>IFERROR(IF(B174&lt;&gt;"", TEXT(VLOOKUP(B174, 'Expected Date'!A:B, 2, FALSE) + DATE(RIGHT(C174,2),MID(C174,4,2),LEFT(C174,2)), "dd/mm/yy"), ""), "")</f>
        <v>14/07/23</v>
      </c>
      <c r="L174" t="s">
        <v>68</v>
      </c>
      <c r="M174" t="s">
        <v>48</v>
      </c>
      <c r="N174" t="s">
        <v>370</v>
      </c>
      <c r="O174" t="s">
        <v>469</v>
      </c>
      <c r="P174">
        <v>23290781</v>
      </c>
      <c r="Q174" t="s">
        <v>392</v>
      </c>
      <c r="R174" t="s">
        <v>393</v>
      </c>
      <c r="S174">
        <v>29.76</v>
      </c>
      <c r="T174">
        <v>10200</v>
      </c>
      <c r="U174">
        <v>303552</v>
      </c>
      <c r="V174" t="str">
        <f t="shared" si="55"/>
        <v>Accepted</v>
      </c>
      <c r="W174">
        <f>IFERROR(VLOOKUP(N174, Payment_Terms!A:B, 2, FALSE), "Payment term not found!")</f>
        <v>15</v>
      </c>
      <c r="X174" t="str">
        <f>IFERROR(VLOOKUP(R174, Item_Category!A:B, 2, FALSE), "Uncategorized")</f>
        <v>Coal materials</v>
      </c>
      <c r="Y174" s="5">
        <f t="shared" si="56"/>
        <v>0.57009999999999994</v>
      </c>
      <c r="Z174">
        <f t="shared" si="41"/>
        <v>1</v>
      </c>
      <c r="AA174">
        <f t="shared" si="42"/>
        <v>-1</v>
      </c>
      <c r="AB174">
        <f t="shared" si="43"/>
        <v>5</v>
      </c>
      <c r="AC174" s="10">
        <f t="shared" si="44"/>
        <v>1</v>
      </c>
      <c r="AD174" s="5">
        <f t="shared" si="36"/>
        <v>1</v>
      </c>
      <c r="AE174" s="5">
        <f t="shared" si="37"/>
        <v>1</v>
      </c>
      <c r="AF174" s="5">
        <f t="shared" si="45"/>
        <v>0</v>
      </c>
      <c r="AG174">
        <f>IF(B174&lt;&gt;"", COUNTIFS($B$2:B174, B174), "")</f>
        <v>35</v>
      </c>
      <c r="AH174">
        <f t="shared" si="46"/>
        <v>5</v>
      </c>
      <c r="AI174" t="str">
        <f>VLOOKUP(B174, Currency!A:B, 2, FALSE)</f>
        <v>INR</v>
      </c>
      <c r="AJ174">
        <f t="shared" si="38"/>
        <v>4</v>
      </c>
      <c r="AK174">
        <f t="shared" si="47"/>
        <v>7</v>
      </c>
      <c r="AL174" t="str">
        <f t="shared" si="48"/>
        <v>July</v>
      </c>
      <c r="AM174">
        <f t="shared" si="49"/>
        <v>2023</v>
      </c>
      <c r="AN174" t="str">
        <f t="shared" si="39"/>
        <v>15SKYWIN ENTERPRISE</v>
      </c>
      <c r="AO174">
        <f>IF(COUNTIF($AN$2:AN174, AN174)=1, 1, 0)</f>
        <v>0</v>
      </c>
      <c r="AP174" t="str">
        <f t="shared" si="50"/>
        <v>&gt;3</v>
      </c>
      <c r="AQ174" t="str">
        <f t="shared" si="51"/>
        <v>&lt;=3</v>
      </c>
      <c r="AR174" t="str">
        <f t="shared" si="52"/>
        <v>&gt;3</v>
      </c>
    </row>
    <row r="175" spans="1:44" x14ac:dyDescent="0.3">
      <c r="A175" t="s">
        <v>33</v>
      </c>
      <c r="B175" t="s">
        <v>492</v>
      </c>
      <c r="C175" t="s">
        <v>89</v>
      </c>
      <c r="D175">
        <v>3006</v>
      </c>
      <c r="E175">
        <v>23210408</v>
      </c>
      <c r="F175" t="s">
        <v>387</v>
      </c>
      <c r="G175" t="s">
        <v>388</v>
      </c>
      <c r="H175">
        <v>50</v>
      </c>
      <c r="I175">
        <v>95</v>
      </c>
      <c r="J175">
        <v>4750</v>
      </c>
      <c r="K175" t="str">
        <f>IFERROR(IF(B175&lt;&gt;"", TEXT(VLOOKUP(B175, 'Expected Date'!A:B, 2, FALSE) + DATE(RIGHT(C175,2),MID(C175,4,2),LEFT(C175,2)), "dd/mm/yy"), ""), "")</f>
        <v>10/07/23</v>
      </c>
      <c r="L175" t="s">
        <v>38</v>
      </c>
      <c r="M175" t="s">
        <v>48</v>
      </c>
      <c r="N175" t="s">
        <v>342</v>
      </c>
      <c r="O175" t="s">
        <v>117</v>
      </c>
      <c r="P175">
        <v>23290784</v>
      </c>
      <c r="Q175" t="s">
        <v>387</v>
      </c>
      <c r="R175" t="s">
        <v>388</v>
      </c>
      <c r="S175">
        <v>50</v>
      </c>
      <c r="T175">
        <v>95</v>
      </c>
      <c r="U175">
        <v>4750</v>
      </c>
      <c r="V175" t="str">
        <f t="shared" si="55"/>
        <v>Accepted</v>
      </c>
      <c r="W175">
        <f>IFERROR(VLOOKUP(N175, Payment_Terms!A:B, 2, FALSE), "Payment term not found!")</f>
        <v>30</v>
      </c>
      <c r="X175" t="str">
        <f>IFERROR(VLOOKUP(R175, Item_Category!A:B, 2, FALSE), "Uncategorized")</f>
        <v>Clips</v>
      </c>
      <c r="Y175" s="5">
        <f t="shared" si="56"/>
        <v>0</v>
      </c>
      <c r="Z175">
        <f t="shared" si="41"/>
        <v>5</v>
      </c>
      <c r="AA175">
        <f t="shared" si="42"/>
        <v>-3</v>
      </c>
      <c r="AB175">
        <f t="shared" si="43"/>
        <v>5</v>
      </c>
      <c r="AC175" s="10">
        <f t="shared" si="44"/>
        <v>2</v>
      </c>
      <c r="AD175" s="5">
        <f t="shared" si="36"/>
        <v>1</v>
      </c>
      <c r="AE175" s="5">
        <f t="shared" si="37"/>
        <v>1</v>
      </c>
      <c r="AF175" s="5">
        <f t="shared" si="45"/>
        <v>0</v>
      </c>
      <c r="AG175">
        <f>IF(B175&lt;&gt;"", COUNTIFS($B$2:B175, B175), "")</f>
        <v>2</v>
      </c>
      <c r="AH175">
        <f t="shared" si="46"/>
        <v>5</v>
      </c>
      <c r="AI175" t="str">
        <f>VLOOKUP(B175, Currency!A:B, 2, FALSE)</f>
        <v>INR</v>
      </c>
      <c r="AJ175">
        <f t="shared" si="38"/>
        <v>5</v>
      </c>
      <c r="AK175">
        <f t="shared" si="47"/>
        <v>7</v>
      </c>
      <c r="AL175" t="str">
        <f t="shared" si="48"/>
        <v>July</v>
      </c>
      <c r="AM175">
        <f t="shared" si="49"/>
        <v>2023</v>
      </c>
      <c r="AN175" t="str">
        <f t="shared" si="39"/>
        <v>30Avinashi Enterprise</v>
      </c>
      <c r="AO175">
        <f>IF(COUNTIF($AN$2:AN175, AN175)=1, 1, 0)</f>
        <v>0</v>
      </c>
      <c r="AP175" t="str">
        <f t="shared" si="50"/>
        <v>&gt;3</v>
      </c>
      <c r="AQ175" t="str">
        <f t="shared" si="51"/>
        <v>&gt;3</v>
      </c>
      <c r="AR175" t="str">
        <f t="shared" si="52"/>
        <v>&gt;3</v>
      </c>
    </row>
    <row r="176" spans="1:44" x14ac:dyDescent="0.3">
      <c r="A176" t="s">
        <v>33</v>
      </c>
      <c r="B176" t="str">
        <f>B2</f>
        <v>Ami Enterprises</v>
      </c>
      <c r="C176" t="s">
        <v>329</v>
      </c>
      <c r="D176">
        <v>2740</v>
      </c>
      <c r="E176">
        <v>23210338</v>
      </c>
      <c r="F176" t="s">
        <v>502</v>
      </c>
      <c r="G176" t="s">
        <v>503</v>
      </c>
      <c r="H176">
        <v>266</v>
      </c>
      <c r="I176">
        <v>33.5</v>
      </c>
      <c r="J176">
        <v>8911</v>
      </c>
      <c r="K176" t="str">
        <f>IFERROR(IF(B176&lt;&gt;"", TEXT(VLOOKUP(B176, 'Expected Date'!A:B, 2, FALSE) + DATE(RIGHT(C176,2),MID(C176,4,2),LEFT(C176,2)), "dd/mm/yy"), ""), "")</f>
        <v>05/07/23</v>
      </c>
      <c r="L176" t="s">
        <v>38</v>
      </c>
      <c r="M176" t="s">
        <v>39</v>
      </c>
      <c r="N176" t="s">
        <v>318</v>
      </c>
      <c r="O176" t="s">
        <v>139</v>
      </c>
      <c r="P176">
        <v>23290632</v>
      </c>
      <c r="Q176" t="s">
        <v>502</v>
      </c>
      <c r="R176" t="s">
        <v>503</v>
      </c>
      <c r="S176">
        <v>266</v>
      </c>
      <c r="T176">
        <v>33.5</v>
      </c>
      <c r="U176">
        <v>8911</v>
      </c>
      <c r="V176" t="str">
        <f t="shared" si="55"/>
        <v>Accepted</v>
      </c>
      <c r="W176">
        <f>IFERROR(VLOOKUP(N176, Payment_Terms!A:B, 2, FALSE), "Payment term not found!")</f>
        <v>30</v>
      </c>
      <c r="X176" t="str">
        <f>IFERROR(VLOOKUP(R176, Item_Category!A:B, 2, FALSE), "Uncategorized")</f>
        <v>Bags</v>
      </c>
      <c r="Y176" s="5">
        <f t="shared" si="56"/>
        <v>0</v>
      </c>
      <c r="Z176">
        <f t="shared" si="41"/>
        <v>5</v>
      </c>
      <c r="AA176">
        <f t="shared" si="42"/>
        <v>-7</v>
      </c>
      <c r="AB176">
        <f t="shared" si="43"/>
        <v>5</v>
      </c>
      <c r="AC176" s="10">
        <f t="shared" si="44"/>
        <v>3</v>
      </c>
      <c r="AD176" s="5">
        <f t="shared" si="36"/>
        <v>1</v>
      </c>
      <c r="AE176" s="5">
        <f t="shared" si="37"/>
        <v>1</v>
      </c>
      <c r="AF176" s="5">
        <f t="shared" si="45"/>
        <v>0</v>
      </c>
      <c r="AG176">
        <f>IF(B176&lt;&gt;"", COUNTIFS($B$2:B176, B176), "")</f>
        <v>13</v>
      </c>
      <c r="AH176">
        <f t="shared" si="46"/>
        <v>5</v>
      </c>
      <c r="AI176" t="str">
        <f>VLOOKUP(B176, Currency!A:B, 2, FALSE)</f>
        <v>INR</v>
      </c>
      <c r="AJ176">
        <f t="shared" si="38"/>
        <v>5</v>
      </c>
      <c r="AK176">
        <f t="shared" si="47"/>
        <v>6</v>
      </c>
      <c r="AL176" t="str">
        <f t="shared" si="48"/>
        <v>June</v>
      </c>
      <c r="AM176">
        <f t="shared" si="49"/>
        <v>2023</v>
      </c>
      <c r="AN176" t="str">
        <f t="shared" si="39"/>
        <v>30Ami Enterprises</v>
      </c>
      <c r="AO176">
        <f>IF(COUNTIF($AN$2:AN176, AN176)=1, 1, 0)</f>
        <v>0</v>
      </c>
      <c r="AP176" t="str">
        <f t="shared" si="50"/>
        <v>&gt;3</v>
      </c>
      <c r="AQ176" t="str">
        <f t="shared" si="51"/>
        <v>&gt;3</v>
      </c>
      <c r="AR176" t="str">
        <f t="shared" si="52"/>
        <v>&gt;3</v>
      </c>
    </row>
    <row r="177" spans="1:44" x14ac:dyDescent="0.3">
      <c r="A177" t="s">
        <v>33</v>
      </c>
      <c r="B177" t="str">
        <f>B2</f>
        <v>Ami Enterprises</v>
      </c>
      <c r="C177" t="s">
        <v>329</v>
      </c>
      <c r="D177">
        <v>2740</v>
      </c>
      <c r="E177">
        <v>23210338</v>
      </c>
      <c r="F177" t="s">
        <v>460</v>
      </c>
      <c r="G177" t="s">
        <v>461</v>
      </c>
      <c r="H177">
        <v>12166</v>
      </c>
      <c r="I177">
        <v>33.5</v>
      </c>
      <c r="J177">
        <v>407561</v>
      </c>
      <c r="K177" t="str">
        <f>IFERROR(IF(B177&lt;&gt;"", TEXT(VLOOKUP(B177, 'Expected Date'!A:B, 2, FALSE) + DATE(RIGHT(C177,2),MID(C177,4,2),LEFT(C177,2)), "dd/mm/yy"), ""), "")</f>
        <v>05/07/23</v>
      </c>
      <c r="L177" t="s">
        <v>38</v>
      </c>
      <c r="M177" t="s">
        <v>39</v>
      </c>
      <c r="N177" t="s">
        <v>318</v>
      </c>
      <c r="O177" t="s">
        <v>139</v>
      </c>
      <c r="P177">
        <v>23290632</v>
      </c>
      <c r="Q177" t="s">
        <v>460</v>
      </c>
      <c r="R177" t="s">
        <v>461</v>
      </c>
      <c r="S177">
        <v>12166</v>
      </c>
      <c r="T177">
        <v>33.5</v>
      </c>
      <c r="U177">
        <v>407561</v>
      </c>
      <c r="V177" t="str">
        <f t="shared" si="55"/>
        <v>Accepted</v>
      </c>
      <c r="W177">
        <f>IFERROR(VLOOKUP(N177, Payment_Terms!A:B, 2, FALSE), "Payment term not found!")</f>
        <v>30</v>
      </c>
      <c r="X177" t="str">
        <f>IFERROR(VLOOKUP(R177, Item_Category!A:B, 2, FALSE), "Uncategorized")</f>
        <v>Bags</v>
      </c>
      <c r="Y177" s="5">
        <f t="shared" si="56"/>
        <v>0</v>
      </c>
      <c r="Z177">
        <f t="shared" si="41"/>
        <v>5</v>
      </c>
      <c r="AA177">
        <f t="shared" si="42"/>
        <v>-7</v>
      </c>
      <c r="AB177">
        <f t="shared" si="43"/>
        <v>5</v>
      </c>
      <c r="AC177" s="10">
        <f t="shared" si="44"/>
        <v>3</v>
      </c>
      <c r="AD177" s="5">
        <f t="shared" si="36"/>
        <v>1</v>
      </c>
      <c r="AE177" s="5">
        <f t="shared" si="37"/>
        <v>1</v>
      </c>
      <c r="AF177" s="5">
        <f t="shared" si="45"/>
        <v>0</v>
      </c>
      <c r="AG177">
        <f>IF(B177&lt;&gt;"", COUNTIFS($B$2:B177, B177), "")</f>
        <v>14</v>
      </c>
      <c r="AH177">
        <f t="shared" si="46"/>
        <v>5</v>
      </c>
      <c r="AI177" t="str">
        <f>VLOOKUP(B177, Currency!A:B, 2, FALSE)</f>
        <v>INR</v>
      </c>
      <c r="AJ177">
        <f t="shared" si="38"/>
        <v>5</v>
      </c>
      <c r="AK177">
        <f t="shared" si="47"/>
        <v>6</v>
      </c>
      <c r="AL177" t="str">
        <f t="shared" si="48"/>
        <v>June</v>
      </c>
      <c r="AM177">
        <f t="shared" si="49"/>
        <v>2023</v>
      </c>
      <c r="AN177" t="str">
        <f t="shared" si="39"/>
        <v>30Ami Enterprises</v>
      </c>
      <c r="AO177">
        <f>IF(COUNTIF($AN$2:AN177, AN177)=1, 1, 0)</f>
        <v>0</v>
      </c>
      <c r="AP177" t="str">
        <f t="shared" si="50"/>
        <v>&gt;3</v>
      </c>
      <c r="AQ177" t="str">
        <f t="shared" si="51"/>
        <v>&gt;3</v>
      </c>
      <c r="AR177" t="str">
        <f t="shared" si="52"/>
        <v>&gt;3</v>
      </c>
    </row>
    <row r="178" spans="1:44" x14ac:dyDescent="0.3">
      <c r="A178" t="s">
        <v>33</v>
      </c>
      <c r="B178" t="str">
        <f>B2</f>
        <v>Ami Enterprises</v>
      </c>
      <c r="C178" t="s">
        <v>329</v>
      </c>
      <c r="D178">
        <v>2740</v>
      </c>
      <c r="E178">
        <v>23210338</v>
      </c>
      <c r="F178" t="s">
        <v>471</v>
      </c>
      <c r="G178" t="s">
        <v>472</v>
      </c>
      <c r="H178">
        <v>1023</v>
      </c>
      <c r="I178">
        <v>33.5</v>
      </c>
      <c r="J178">
        <v>34270.5</v>
      </c>
      <c r="K178" t="str">
        <f>IFERROR(IF(B178&lt;&gt;"", TEXT(VLOOKUP(B178, 'Expected Date'!A:B, 2, FALSE) + DATE(RIGHT(C178,2),MID(C178,4,2),LEFT(C178,2)), "dd/mm/yy"), ""), "")</f>
        <v>05/07/23</v>
      </c>
      <c r="L178" t="s">
        <v>38</v>
      </c>
      <c r="M178" t="s">
        <v>39</v>
      </c>
      <c r="N178" t="s">
        <v>318</v>
      </c>
      <c r="O178" t="s">
        <v>139</v>
      </c>
      <c r="P178">
        <v>23290632</v>
      </c>
      <c r="Q178" t="s">
        <v>471</v>
      </c>
      <c r="R178" t="s">
        <v>472</v>
      </c>
      <c r="S178">
        <v>1023</v>
      </c>
      <c r="T178">
        <v>33.5</v>
      </c>
      <c r="U178">
        <v>34270.5</v>
      </c>
      <c r="V178" t="str">
        <f t="shared" si="55"/>
        <v>Accepted</v>
      </c>
      <c r="W178">
        <f>IFERROR(VLOOKUP(N178, Payment_Terms!A:B, 2, FALSE), "Payment term not found!")</f>
        <v>30</v>
      </c>
      <c r="X178" t="str">
        <f>IFERROR(VLOOKUP(R178, Item_Category!A:B, 2, FALSE), "Uncategorized")</f>
        <v>Bags</v>
      </c>
      <c r="Y178" s="5">
        <f t="shared" si="56"/>
        <v>0</v>
      </c>
      <c r="Z178">
        <f t="shared" si="41"/>
        <v>5</v>
      </c>
      <c r="AA178">
        <f t="shared" si="42"/>
        <v>-7</v>
      </c>
      <c r="AB178">
        <f t="shared" si="43"/>
        <v>5</v>
      </c>
      <c r="AC178" s="10">
        <f t="shared" si="44"/>
        <v>3</v>
      </c>
      <c r="AD178" s="5">
        <f t="shared" si="36"/>
        <v>1</v>
      </c>
      <c r="AE178" s="5">
        <f t="shared" si="37"/>
        <v>1</v>
      </c>
      <c r="AF178" s="5">
        <f t="shared" si="45"/>
        <v>0</v>
      </c>
      <c r="AG178">
        <f>IF(B178&lt;&gt;"", COUNTIFS($B$2:B178, B178), "")</f>
        <v>15</v>
      </c>
      <c r="AH178">
        <f t="shared" si="46"/>
        <v>5</v>
      </c>
      <c r="AI178" t="str">
        <f>VLOOKUP(B178, Currency!A:B, 2, FALSE)</f>
        <v>INR</v>
      </c>
      <c r="AJ178">
        <f t="shared" si="38"/>
        <v>5</v>
      </c>
      <c r="AK178">
        <f t="shared" si="47"/>
        <v>6</v>
      </c>
      <c r="AL178" t="str">
        <f t="shared" si="48"/>
        <v>June</v>
      </c>
      <c r="AM178">
        <f t="shared" si="49"/>
        <v>2023</v>
      </c>
      <c r="AN178" t="str">
        <f t="shared" si="39"/>
        <v>30Ami Enterprises</v>
      </c>
      <c r="AO178">
        <f>IF(COUNTIF($AN$2:AN178, AN178)=1, 1, 0)</f>
        <v>0</v>
      </c>
      <c r="AP178" t="str">
        <f t="shared" si="50"/>
        <v>&gt;3</v>
      </c>
      <c r="AQ178" t="str">
        <f t="shared" si="51"/>
        <v>&gt;3</v>
      </c>
      <c r="AR178" t="str">
        <f t="shared" si="52"/>
        <v>&gt;3</v>
      </c>
    </row>
    <row r="179" spans="1:44" x14ac:dyDescent="0.3">
      <c r="A179" t="s">
        <v>33</v>
      </c>
      <c r="B179" t="str">
        <f>B2</f>
        <v>Ami Enterprises</v>
      </c>
      <c r="C179" t="s">
        <v>329</v>
      </c>
      <c r="D179">
        <v>2740</v>
      </c>
      <c r="E179">
        <v>23210338</v>
      </c>
      <c r="F179" t="s">
        <v>485</v>
      </c>
      <c r="G179" t="s">
        <v>486</v>
      </c>
      <c r="H179">
        <v>1024</v>
      </c>
      <c r="I179">
        <v>27</v>
      </c>
      <c r="J179">
        <v>27648</v>
      </c>
      <c r="K179" t="str">
        <f>IFERROR(IF(B179&lt;&gt;"", TEXT(VLOOKUP(B179, 'Expected Date'!A:B, 2, FALSE) + DATE(RIGHT(C179,2),MID(C179,4,2),LEFT(C179,2)), "dd/mm/yy"), ""), "")</f>
        <v>05/07/23</v>
      </c>
      <c r="L179" t="s">
        <v>38</v>
      </c>
      <c r="M179" t="s">
        <v>39</v>
      </c>
      <c r="N179" t="s">
        <v>318</v>
      </c>
      <c r="O179" t="s">
        <v>139</v>
      </c>
      <c r="P179">
        <v>23290632</v>
      </c>
      <c r="Q179" t="s">
        <v>485</v>
      </c>
      <c r="R179" t="s">
        <v>486</v>
      </c>
      <c r="S179">
        <v>1024</v>
      </c>
      <c r="T179">
        <v>27</v>
      </c>
      <c r="U179">
        <v>27648</v>
      </c>
      <c r="V179" t="str">
        <f t="shared" si="55"/>
        <v>Accepted</v>
      </c>
      <c r="W179">
        <f>IFERROR(VLOOKUP(N179, Payment_Terms!A:B, 2, FALSE), "Payment term not found!")</f>
        <v>30</v>
      </c>
      <c r="X179" t="str">
        <f>IFERROR(VLOOKUP(R179, Item_Category!A:B, 2, FALSE), "Uncategorized")</f>
        <v>Liner</v>
      </c>
      <c r="Y179" s="5">
        <f t="shared" si="56"/>
        <v>0</v>
      </c>
      <c r="Z179">
        <f t="shared" si="41"/>
        <v>5</v>
      </c>
      <c r="AA179">
        <f t="shared" si="42"/>
        <v>-7</v>
      </c>
      <c r="AB179">
        <f t="shared" si="43"/>
        <v>5</v>
      </c>
      <c r="AC179" s="10">
        <f t="shared" si="44"/>
        <v>3</v>
      </c>
      <c r="AD179" s="5">
        <f t="shared" si="36"/>
        <v>1</v>
      </c>
      <c r="AE179" s="5">
        <f t="shared" si="37"/>
        <v>1</v>
      </c>
      <c r="AF179" s="5">
        <f t="shared" si="45"/>
        <v>0</v>
      </c>
      <c r="AG179">
        <f>IF(B179&lt;&gt;"", COUNTIFS($B$2:B179, B179), "")</f>
        <v>16</v>
      </c>
      <c r="AH179">
        <f t="shared" si="46"/>
        <v>5</v>
      </c>
      <c r="AI179" t="str">
        <f>VLOOKUP(B179, Currency!A:B, 2, FALSE)</f>
        <v>INR</v>
      </c>
      <c r="AJ179">
        <f t="shared" si="38"/>
        <v>5</v>
      </c>
      <c r="AK179">
        <f t="shared" si="47"/>
        <v>6</v>
      </c>
      <c r="AL179" t="str">
        <f t="shared" si="48"/>
        <v>June</v>
      </c>
      <c r="AM179">
        <f t="shared" si="49"/>
        <v>2023</v>
      </c>
      <c r="AN179" t="str">
        <f t="shared" si="39"/>
        <v>30Ami Enterprises</v>
      </c>
      <c r="AO179">
        <f>IF(COUNTIF($AN$2:AN179, AN179)=1, 1, 0)</f>
        <v>0</v>
      </c>
      <c r="AP179" t="str">
        <f t="shared" si="50"/>
        <v>&gt;3</v>
      </c>
      <c r="AQ179" t="str">
        <f t="shared" si="51"/>
        <v>&gt;3</v>
      </c>
      <c r="AR179" t="str">
        <f t="shared" si="52"/>
        <v>&gt;3</v>
      </c>
    </row>
    <row r="180" spans="1:44" x14ac:dyDescent="0.3">
      <c r="A180" t="s">
        <v>33</v>
      </c>
      <c r="B180" t="str">
        <f>B2</f>
        <v>Ami Enterprises</v>
      </c>
      <c r="C180" t="s">
        <v>352</v>
      </c>
      <c r="D180">
        <v>2488</v>
      </c>
      <c r="E180">
        <v>23210295</v>
      </c>
      <c r="F180" t="s">
        <v>504</v>
      </c>
      <c r="G180" t="s">
        <v>505</v>
      </c>
      <c r="H180">
        <v>1050</v>
      </c>
      <c r="I180">
        <v>28</v>
      </c>
      <c r="J180">
        <v>29400</v>
      </c>
      <c r="K180" t="str">
        <f>IFERROR(IF(B180&lt;&gt;"", TEXT(VLOOKUP(B180, 'Expected Date'!A:B, 2, FALSE) + DATE(RIGHT(C180,2),MID(C180,4,2),LEFT(C180,2)), "dd/mm/yy"), ""), "")</f>
        <v>12/06/23</v>
      </c>
      <c r="L180" t="s">
        <v>68</v>
      </c>
      <c r="M180" t="s">
        <v>39</v>
      </c>
      <c r="N180" t="s">
        <v>342</v>
      </c>
      <c r="O180" t="s">
        <v>161</v>
      </c>
      <c r="P180">
        <v>23290633</v>
      </c>
      <c r="Q180" t="s">
        <v>504</v>
      </c>
      <c r="R180" t="s">
        <v>505</v>
      </c>
      <c r="S180">
        <v>1011</v>
      </c>
      <c r="T180">
        <v>28</v>
      </c>
      <c r="U180">
        <v>28308</v>
      </c>
      <c r="V180" t="str">
        <f t="shared" si="55"/>
        <v>Accepted</v>
      </c>
      <c r="W180">
        <f>IFERROR(VLOOKUP(N180, Payment_Terms!A:B, 2, FALSE), "Payment term not found!")</f>
        <v>30</v>
      </c>
      <c r="X180" t="str">
        <f>IFERROR(VLOOKUP(R180, Item_Category!A:B, 2, FALSE), "Uncategorized")</f>
        <v>Bags</v>
      </c>
      <c r="Y180" s="5">
        <f t="shared" si="56"/>
        <v>3.7142857142857144E-2</v>
      </c>
      <c r="Z180">
        <f t="shared" si="41"/>
        <v>3</v>
      </c>
      <c r="AA180">
        <f t="shared" si="42"/>
        <v>-9</v>
      </c>
      <c r="AB180">
        <f t="shared" si="43"/>
        <v>5</v>
      </c>
      <c r="AC180" s="10">
        <f t="shared" si="44"/>
        <v>1</v>
      </c>
      <c r="AD180" s="5">
        <f t="shared" si="36"/>
        <v>1</v>
      </c>
      <c r="AE180" s="5">
        <f t="shared" si="37"/>
        <v>1</v>
      </c>
      <c r="AF180" s="5">
        <f t="shared" si="45"/>
        <v>0</v>
      </c>
      <c r="AG180">
        <f>IF(B180&lt;&gt;"", COUNTIFS($B$2:B180, B180), "")</f>
        <v>17</v>
      </c>
      <c r="AH180">
        <f t="shared" si="46"/>
        <v>5</v>
      </c>
      <c r="AI180" t="str">
        <f>VLOOKUP(B180, Currency!A:B, 2, FALSE)</f>
        <v>INR</v>
      </c>
      <c r="AJ180">
        <f t="shared" si="38"/>
        <v>5</v>
      </c>
      <c r="AK180">
        <f t="shared" si="47"/>
        <v>6</v>
      </c>
      <c r="AL180" t="str">
        <f t="shared" si="48"/>
        <v>June</v>
      </c>
      <c r="AM180">
        <f t="shared" si="49"/>
        <v>2023</v>
      </c>
      <c r="AN180" t="str">
        <f t="shared" si="39"/>
        <v>30Ami Enterprises</v>
      </c>
      <c r="AO180">
        <f>IF(COUNTIF($AN$2:AN180, AN180)=1, 1, 0)</f>
        <v>0</v>
      </c>
      <c r="AP180" t="str">
        <f t="shared" si="50"/>
        <v>&gt;3</v>
      </c>
      <c r="AQ180" t="str">
        <f t="shared" si="51"/>
        <v>&lt;=3</v>
      </c>
      <c r="AR180" t="str">
        <f t="shared" si="52"/>
        <v>&gt;3</v>
      </c>
    </row>
    <row r="181" spans="1:44" x14ac:dyDescent="0.3">
      <c r="A181" t="str">
        <f>A22</f>
        <v>Woodpulp</v>
      </c>
      <c r="B181" t="s">
        <v>96</v>
      </c>
      <c r="C181" t="s">
        <v>97</v>
      </c>
      <c r="D181">
        <v>1238</v>
      </c>
      <c r="E181">
        <v>23220007</v>
      </c>
      <c r="F181" t="s">
        <v>389</v>
      </c>
      <c r="G181" t="s">
        <v>390</v>
      </c>
      <c r="H181">
        <v>75</v>
      </c>
      <c r="I181">
        <v>1025</v>
      </c>
      <c r="J181">
        <v>6234562.5</v>
      </c>
      <c r="K181" t="str">
        <f>IFERROR(IF(B181&lt;&gt;"", TEXT(VLOOKUP(B181, 'Expected Date'!A:B, 2, FALSE) + DATE(RIGHT(C181,2),MID(C181,4,2),LEFT(C181,2)), "dd/mm/yy"), ""), "")</f>
        <v>10/06/23</v>
      </c>
      <c r="L181" t="s">
        <v>68</v>
      </c>
      <c r="M181" t="str">
        <f>M73</f>
        <v>MT</v>
      </c>
      <c r="N181" t="s">
        <v>102</v>
      </c>
      <c r="O181" t="s">
        <v>208</v>
      </c>
      <c r="P181">
        <v>23291079</v>
      </c>
      <c r="Q181" t="s">
        <v>389</v>
      </c>
      <c r="R181" t="s">
        <v>390</v>
      </c>
      <c r="S181">
        <v>73.040000000000006</v>
      </c>
      <c r="T181">
        <v>1025</v>
      </c>
      <c r="U181">
        <v>6131525.4000000004</v>
      </c>
      <c r="V181" t="str">
        <f t="shared" si="55"/>
        <v>Accepted</v>
      </c>
      <c r="W181">
        <f>IFERROR(VLOOKUP(N181, Payment_Terms!A:B, 2, FALSE), "Payment term not found!")</f>
        <v>60</v>
      </c>
      <c r="X181" t="str">
        <f>IFERROR(VLOOKUP(R181, Item_Category!A:B, 2, FALSE), "Uncategorized")</f>
        <v>Wood pulp</v>
      </c>
      <c r="Y181" s="5">
        <f t="shared" si="56"/>
        <v>2.6133333333333252E-2</v>
      </c>
      <c r="Z181">
        <f t="shared" si="41"/>
        <v>3</v>
      </c>
      <c r="AA181">
        <f t="shared" si="42"/>
        <v>63</v>
      </c>
      <c r="AB181">
        <f t="shared" si="43"/>
        <v>1</v>
      </c>
      <c r="AC181" s="10">
        <f t="shared" si="44"/>
        <v>123</v>
      </c>
      <c r="AD181" s="5">
        <f t="shared" si="36"/>
        <v>1</v>
      </c>
      <c r="AE181" s="5">
        <f t="shared" si="37"/>
        <v>1</v>
      </c>
      <c r="AF181" s="5">
        <f t="shared" si="45"/>
        <v>0</v>
      </c>
      <c r="AG181">
        <f>IF(B181&lt;&gt;"", COUNTIFS($B$2:B181, B181), "")</f>
        <v>4</v>
      </c>
      <c r="AH181">
        <f t="shared" si="46"/>
        <v>5</v>
      </c>
      <c r="AI181" t="str">
        <f>VLOOKUP(B181, Currency!A:B, 2, FALSE)</f>
        <v>USD</v>
      </c>
      <c r="AJ181">
        <f t="shared" si="38"/>
        <v>4</v>
      </c>
      <c r="AK181">
        <f t="shared" si="47"/>
        <v>4</v>
      </c>
      <c r="AL181" t="str">
        <f t="shared" si="48"/>
        <v>April</v>
      </c>
      <c r="AM181">
        <f t="shared" si="49"/>
        <v>2023</v>
      </c>
      <c r="AN181" t="str">
        <f t="shared" si="39"/>
        <v>60G P Cellulose GMBH</v>
      </c>
      <c r="AO181">
        <f>IF(COUNTIF($AN$2:AN181, AN181)=1, 1, 0)</f>
        <v>0</v>
      </c>
      <c r="AP181" t="str">
        <f t="shared" si="50"/>
        <v>&gt;3</v>
      </c>
      <c r="AQ181" t="str">
        <f t="shared" si="51"/>
        <v>&lt;=3</v>
      </c>
      <c r="AR181" t="str">
        <f t="shared" si="52"/>
        <v>&lt;=3</v>
      </c>
    </row>
    <row r="182" spans="1:44" x14ac:dyDescent="0.3">
      <c r="A182" t="str">
        <f>A165</f>
        <v>Woodpulp</v>
      </c>
      <c r="B182" t="s">
        <v>140</v>
      </c>
      <c r="C182" t="s">
        <v>442</v>
      </c>
      <c r="D182">
        <v>1499</v>
      </c>
      <c r="E182">
        <v>23220012</v>
      </c>
      <c r="F182" t="s">
        <v>359</v>
      </c>
      <c r="G182" t="s">
        <v>360</v>
      </c>
      <c r="H182">
        <v>50</v>
      </c>
      <c r="I182">
        <v>830</v>
      </c>
      <c r="J182">
        <v>3378100</v>
      </c>
      <c r="K182" t="str">
        <f>IFERROR(IF(B182&lt;&gt;"", TEXT(VLOOKUP(B182, 'Expected Date'!A:B, 2, FALSE) + DATE(RIGHT(C182,2),MID(C182,4,2),LEFT(C182,2)), "dd/mm/yy"), ""), "")</f>
        <v>09/06/23</v>
      </c>
      <c r="L182" t="s">
        <v>68</v>
      </c>
      <c r="M182" t="str">
        <f>M73</f>
        <v>MT</v>
      </c>
      <c r="N182" t="s">
        <v>144</v>
      </c>
      <c r="O182" t="s">
        <v>168</v>
      </c>
      <c r="P182">
        <v>23290115</v>
      </c>
      <c r="Q182" t="s">
        <v>359</v>
      </c>
      <c r="R182" t="s">
        <v>360</v>
      </c>
      <c r="S182">
        <v>49.039000000000001</v>
      </c>
      <c r="T182">
        <v>830</v>
      </c>
      <c r="U182">
        <v>3300962.21</v>
      </c>
      <c r="V182" t="str">
        <f t="shared" si="55"/>
        <v>Accepted</v>
      </c>
      <c r="W182">
        <f>IFERROR(VLOOKUP(N182, Payment_Terms!A:B, 2, FALSE), "Payment term not found!")</f>
        <v>30</v>
      </c>
      <c r="X182" t="str">
        <f>IFERROR(VLOOKUP(R182, Item_Category!A:B, 2, FALSE), "Uncategorized")</f>
        <v>Wood pulp</v>
      </c>
      <c r="Y182" s="5">
        <f t="shared" si="56"/>
        <v>1.921999999999997E-2</v>
      </c>
      <c r="Z182">
        <f t="shared" si="41"/>
        <v>4</v>
      </c>
      <c r="AA182">
        <f t="shared" si="42"/>
        <v>-53</v>
      </c>
      <c r="AB182">
        <f t="shared" si="43"/>
        <v>5</v>
      </c>
      <c r="AC182" s="10">
        <f t="shared" si="44"/>
        <v>8</v>
      </c>
      <c r="AD182" s="5">
        <f t="shared" si="36"/>
        <v>1</v>
      </c>
      <c r="AE182" s="5">
        <f t="shared" si="37"/>
        <v>1</v>
      </c>
      <c r="AF182" s="5">
        <f t="shared" si="45"/>
        <v>0</v>
      </c>
      <c r="AG182">
        <f>IF(B182&lt;&gt;"", COUNTIFS($B$2:B182, B182), "")</f>
        <v>4</v>
      </c>
      <c r="AH182">
        <f t="shared" si="46"/>
        <v>5</v>
      </c>
      <c r="AI182" t="str">
        <f>VLOOKUP(B182, Currency!A:B, 2, FALSE)</f>
        <v>USD</v>
      </c>
      <c r="AJ182">
        <f t="shared" si="38"/>
        <v>5</v>
      </c>
      <c r="AK182">
        <f t="shared" si="47"/>
        <v>4</v>
      </c>
      <c r="AL182" t="str">
        <f t="shared" si="48"/>
        <v>April</v>
      </c>
      <c r="AM182">
        <f t="shared" si="49"/>
        <v>2023</v>
      </c>
      <c r="AN182" t="str">
        <f t="shared" si="39"/>
        <v>30Sappi Paper Holdings GMBH</v>
      </c>
      <c r="AO182">
        <f>IF(COUNTIF($AN$2:AN182, AN182)=1, 1, 0)</f>
        <v>0</v>
      </c>
      <c r="AP182" t="str">
        <f t="shared" si="50"/>
        <v>&gt;3</v>
      </c>
      <c r="AQ182" t="str">
        <f t="shared" si="51"/>
        <v>&gt;3</v>
      </c>
      <c r="AR182" t="str">
        <f t="shared" si="52"/>
        <v>&gt;3</v>
      </c>
    </row>
    <row r="183" spans="1:44" x14ac:dyDescent="0.3">
      <c r="A183" t="s">
        <v>33</v>
      </c>
      <c r="B183" t="s">
        <v>347</v>
      </c>
      <c r="C183" t="s">
        <v>293</v>
      </c>
      <c r="D183">
        <v>3929</v>
      </c>
      <c r="E183">
        <v>23210567</v>
      </c>
      <c r="F183" t="s">
        <v>349</v>
      </c>
      <c r="G183" t="s">
        <v>350</v>
      </c>
      <c r="H183">
        <v>24</v>
      </c>
      <c r="I183">
        <v>55700</v>
      </c>
      <c r="J183">
        <v>1336800</v>
      </c>
      <c r="K183" t="str">
        <f>IFERROR(IF(B183&lt;&gt;"", TEXT(VLOOKUP(B183, 'Expected Date'!A:B, 2, FALSE) + DATE(RIGHT(C183,2),MID(C183,4,2),LEFT(C183,2)), "dd/mm/yy"), ""), "")</f>
        <v>23/08/23</v>
      </c>
      <c r="L183" t="s">
        <v>68</v>
      </c>
      <c r="M183" t="s">
        <v>48</v>
      </c>
      <c r="N183" t="s">
        <v>351</v>
      </c>
      <c r="O183" t="s">
        <v>199</v>
      </c>
      <c r="P183">
        <v>23291241</v>
      </c>
      <c r="Q183" t="s">
        <v>349</v>
      </c>
      <c r="R183" t="s">
        <v>350</v>
      </c>
      <c r="S183">
        <v>23.16</v>
      </c>
      <c r="T183">
        <v>55700</v>
      </c>
      <c r="U183">
        <v>1290012</v>
      </c>
      <c r="V183" t="str">
        <f t="shared" si="55"/>
        <v>Accepted</v>
      </c>
      <c r="W183">
        <f>IFERROR(VLOOKUP(N183, Payment_Terms!A:B, 2, FALSE), "Payment term not found!")</f>
        <v>0</v>
      </c>
      <c r="X183" t="str">
        <f>IFERROR(VLOOKUP(R183, Item_Category!A:B, 2, FALSE), "Uncategorized")</f>
        <v>Oil</v>
      </c>
      <c r="Y183" s="5">
        <f t="shared" si="56"/>
        <v>3.4999999999999996E-2</v>
      </c>
      <c r="Z183">
        <f t="shared" si="41"/>
        <v>3</v>
      </c>
      <c r="AA183">
        <f t="shared" si="42"/>
        <v>3</v>
      </c>
      <c r="AB183">
        <f t="shared" si="43"/>
        <v>4</v>
      </c>
      <c r="AC183" s="10">
        <f t="shared" si="44"/>
        <v>4</v>
      </c>
      <c r="AD183" s="5">
        <f t="shared" si="36"/>
        <v>1</v>
      </c>
      <c r="AE183" s="5">
        <f t="shared" si="37"/>
        <v>1</v>
      </c>
      <c r="AF183" s="5">
        <f t="shared" si="45"/>
        <v>0</v>
      </c>
      <c r="AG183">
        <f>IF(B183&lt;&gt;"", COUNTIFS($B$2:B183, B183), "")</f>
        <v>9</v>
      </c>
      <c r="AH183">
        <f t="shared" si="46"/>
        <v>5</v>
      </c>
      <c r="AI183" t="str">
        <f>VLOOKUP(B183, Currency!A:B, 2, FALSE)</f>
        <v>INR</v>
      </c>
      <c r="AJ183">
        <f t="shared" si="38"/>
        <v>5</v>
      </c>
      <c r="AK183">
        <f t="shared" si="47"/>
        <v>8</v>
      </c>
      <c r="AL183" t="str">
        <f t="shared" si="48"/>
        <v>August</v>
      </c>
      <c r="AM183">
        <f t="shared" si="49"/>
        <v>2023</v>
      </c>
      <c r="AN183" t="str">
        <f t="shared" si="39"/>
        <v>0Bharat Petroleum Corporation Ltd</v>
      </c>
      <c r="AO183">
        <f>IF(COUNTIF($AN$2:AN183, AN183)=1, 1, 0)</f>
        <v>0</v>
      </c>
      <c r="AP183" t="str">
        <f t="shared" si="50"/>
        <v>&gt;3</v>
      </c>
      <c r="AQ183" t="str">
        <f t="shared" si="51"/>
        <v>&lt;=3</v>
      </c>
      <c r="AR183" t="str">
        <f t="shared" si="52"/>
        <v>&gt;3</v>
      </c>
    </row>
    <row r="184" spans="1:44" x14ac:dyDescent="0.3">
      <c r="A184" t="s">
        <v>33</v>
      </c>
      <c r="B184" t="s">
        <v>347</v>
      </c>
      <c r="C184" t="s">
        <v>154</v>
      </c>
      <c r="D184">
        <v>4455</v>
      </c>
      <c r="E184">
        <v>23210677</v>
      </c>
      <c r="F184" t="s">
        <v>349</v>
      </c>
      <c r="G184" t="s">
        <v>350</v>
      </c>
      <c r="H184">
        <v>24</v>
      </c>
      <c r="I184">
        <v>56260</v>
      </c>
      <c r="J184">
        <v>1350240</v>
      </c>
      <c r="K184" t="str">
        <f>IFERROR(IF(B184&lt;&gt;"", TEXT(VLOOKUP(B184, 'Expected Date'!A:B, 2, FALSE) + DATE(RIGHT(C184,2),MID(C184,4,2),LEFT(C184,2)), "dd/mm/yy"), ""), "")</f>
        <v>21/09/23</v>
      </c>
      <c r="L184" t="s">
        <v>68</v>
      </c>
      <c r="M184" t="s">
        <v>48</v>
      </c>
      <c r="N184" t="s">
        <v>351</v>
      </c>
      <c r="O184" t="s">
        <v>194</v>
      </c>
      <c r="P184">
        <v>23291514</v>
      </c>
      <c r="Q184" t="s">
        <v>349</v>
      </c>
      <c r="R184" t="s">
        <v>350</v>
      </c>
      <c r="S184">
        <v>23.01</v>
      </c>
      <c r="T184">
        <v>56260</v>
      </c>
      <c r="U184">
        <v>1294542.6000000001</v>
      </c>
      <c r="V184" t="str">
        <f t="shared" si="55"/>
        <v>Accepted</v>
      </c>
      <c r="W184">
        <f>IFERROR(VLOOKUP(N184, Payment_Terms!A:B, 2, FALSE), "Payment term not found!")</f>
        <v>0</v>
      </c>
      <c r="X184" t="str">
        <f>IFERROR(VLOOKUP(R184, Item_Category!A:B, 2, FALSE), "Uncategorized")</f>
        <v>Oil</v>
      </c>
      <c r="Y184" s="5">
        <f t="shared" si="56"/>
        <v>4.1249999999999933E-2</v>
      </c>
      <c r="Z184">
        <f t="shared" si="41"/>
        <v>3</v>
      </c>
      <c r="AA184">
        <f t="shared" si="42"/>
        <v>5</v>
      </c>
      <c r="AB184">
        <f t="shared" si="43"/>
        <v>3</v>
      </c>
      <c r="AC184" s="10">
        <f t="shared" si="44"/>
        <v>6</v>
      </c>
      <c r="AD184" s="5">
        <f t="shared" si="36"/>
        <v>1</v>
      </c>
      <c r="AE184" s="5">
        <f t="shared" si="37"/>
        <v>1</v>
      </c>
      <c r="AF184" s="5">
        <f t="shared" si="45"/>
        <v>0</v>
      </c>
      <c r="AG184">
        <f>IF(B184&lt;&gt;"", COUNTIFS($B$2:B184, B184), "")</f>
        <v>10</v>
      </c>
      <c r="AH184">
        <f t="shared" si="46"/>
        <v>5</v>
      </c>
      <c r="AI184" t="str">
        <f>VLOOKUP(B184, Currency!A:B, 2, FALSE)</f>
        <v>INR</v>
      </c>
      <c r="AJ184">
        <f t="shared" si="38"/>
        <v>4</v>
      </c>
      <c r="AK184">
        <f t="shared" si="47"/>
        <v>9</v>
      </c>
      <c r="AL184" t="str">
        <f t="shared" si="48"/>
        <v>September</v>
      </c>
      <c r="AM184">
        <f t="shared" si="49"/>
        <v>2023</v>
      </c>
      <c r="AN184" t="str">
        <f t="shared" si="39"/>
        <v>0Bharat Petroleum Corporation Ltd</v>
      </c>
      <c r="AO184">
        <f>IF(COUNTIF($AN$2:AN184, AN184)=1, 1, 0)</f>
        <v>0</v>
      </c>
      <c r="AP184" t="str">
        <f t="shared" si="50"/>
        <v>&gt;3</v>
      </c>
      <c r="AQ184" t="str">
        <f t="shared" si="51"/>
        <v>&lt;=3</v>
      </c>
      <c r="AR184" t="str">
        <f t="shared" si="52"/>
        <v>&lt;=3</v>
      </c>
    </row>
    <row r="185" spans="1:44" x14ac:dyDescent="0.3">
      <c r="A185" t="s">
        <v>33</v>
      </c>
      <c r="B185" t="s">
        <v>395</v>
      </c>
      <c r="C185" t="s">
        <v>396</v>
      </c>
      <c r="D185">
        <v>1223</v>
      </c>
      <c r="E185">
        <v>23210016</v>
      </c>
      <c r="F185" t="s">
        <v>392</v>
      </c>
      <c r="G185" t="s">
        <v>393</v>
      </c>
      <c r="H185">
        <v>150</v>
      </c>
      <c r="I185">
        <v>10700</v>
      </c>
      <c r="J185">
        <v>1605000</v>
      </c>
      <c r="K185" t="str">
        <f>IFERROR(IF(B185&lt;&gt;"", TEXT(VLOOKUP(B185, 'Expected Date'!A:B, 2, FALSE) + DATE(RIGHT(C185,2),MID(C185,4,2),LEFT(C185,2)), "dd/mm/yy"), ""), "")</f>
        <v>12/04/23</v>
      </c>
      <c r="L185" t="s">
        <v>68</v>
      </c>
      <c r="M185" t="s">
        <v>48</v>
      </c>
      <c r="N185" t="s">
        <v>318</v>
      </c>
      <c r="O185" t="s">
        <v>506</v>
      </c>
      <c r="P185">
        <v>23290097</v>
      </c>
      <c r="Q185" t="s">
        <v>392</v>
      </c>
      <c r="R185" t="s">
        <v>393</v>
      </c>
      <c r="S185">
        <v>27.67</v>
      </c>
      <c r="T185">
        <v>10700</v>
      </c>
      <c r="U185">
        <v>296069</v>
      </c>
      <c r="V185" t="str">
        <f t="shared" si="55"/>
        <v>Accepted</v>
      </c>
      <c r="W185">
        <f>IFERROR(VLOOKUP(N185, Payment_Terms!A:B, 2, FALSE), "Payment term not found!")</f>
        <v>30</v>
      </c>
      <c r="X185" t="str">
        <f>IFERROR(VLOOKUP(R185, Item_Category!A:B, 2, FALSE), "Uncategorized")</f>
        <v>Coal materials</v>
      </c>
      <c r="Y185" s="5">
        <f t="shared" si="56"/>
        <v>0.41046666666666665</v>
      </c>
      <c r="Z185">
        <f t="shared" si="41"/>
        <v>1</v>
      </c>
      <c r="AA185">
        <f t="shared" si="42"/>
        <v>-3</v>
      </c>
      <c r="AB185">
        <f t="shared" si="43"/>
        <v>5</v>
      </c>
      <c r="AC185" s="10">
        <f t="shared" si="44"/>
        <v>2</v>
      </c>
      <c r="AD185" s="5">
        <f t="shared" si="36"/>
        <v>1</v>
      </c>
      <c r="AE185" s="5">
        <f t="shared" si="37"/>
        <v>1</v>
      </c>
      <c r="AF185" s="5">
        <f t="shared" si="45"/>
        <v>0</v>
      </c>
      <c r="AG185">
        <f>IF(B185&lt;&gt;"", COUNTIFS($B$2:B185, B185), "")</f>
        <v>16</v>
      </c>
      <c r="AH185">
        <f t="shared" si="46"/>
        <v>5</v>
      </c>
      <c r="AI185" t="str">
        <f>VLOOKUP(B185, Currency!A:B, 2, FALSE)</f>
        <v>INR</v>
      </c>
      <c r="AJ185">
        <f t="shared" si="38"/>
        <v>4</v>
      </c>
      <c r="AK185">
        <f t="shared" si="47"/>
        <v>4</v>
      </c>
      <c r="AL185" t="str">
        <f t="shared" si="48"/>
        <v>April</v>
      </c>
      <c r="AM185">
        <f t="shared" si="49"/>
        <v>2023</v>
      </c>
      <c r="AN185" t="str">
        <f t="shared" si="39"/>
        <v>30Crystal coal corporation</v>
      </c>
      <c r="AO185">
        <f>IF(COUNTIF($AN$2:AN185, AN185)=1, 1, 0)</f>
        <v>0</v>
      </c>
      <c r="AP185" t="str">
        <f t="shared" si="50"/>
        <v>&gt;3</v>
      </c>
      <c r="AQ185" t="str">
        <f t="shared" si="51"/>
        <v>&lt;=3</v>
      </c>
      <c r="AR185" t="str">
        <f t="shared" si="52"/>
        <v>&gt;3</v>
      </c>
    </row>
    <row r="186" spans="1:44" x14ac:dyDescent="0.3">
      <c r="A186" t="s">
        <v>111</v>
      </c>
      <c r="B186" t="s">
        <v>296</v>
      </c>
      <c r="C186" t="s">
        <v>374</v>
      </c>
      <c r="D186">
        <v>1251</v>
      </c>
      <c r="E186">
        <v>23210020</v>
      </c>
      <c r="F186" t="s">
        <v>445</v>
      </c>
      <c r="G186" t="s">
        <v>446</v>
      </c>
      <c r="H186">
        <v>12000</v>
      </c>
      <c r="I186">
        <v>205</v>
      </c>
      <c r="J186">
        <v>2460000</v>
      </c>
      <c r="K186" t="str">
        <f>IFERROR(IF(B186&lt;&gt;"", TEXT(VLOOKUP(B186, 'Expected Date'!A:B, 2, FALSE) + DATE(RIGHT(C186,2),MID(C186,4,2),LEFT(C186,2)), "dd/mm/yy"), ""), "")</f>
        <v>28/04/23</v>
      </c>
      <c r="L186" t="s">
        <v>38</v>
      </c>
      <c r="M186" t="s">
        <v>48</v>
      </c>
      <c r="N186" t="s">
        <v>381</v>
      </c>
      <c r="O186" t="s">
        <v>231</v>
      </c>
      <c r="P186">
        <v>23290470</v>
      </c>
      <c r="Q186" t="s">
        <v>445</v>
      </c>
      <c r="R186" t="s">
        <v>446</v>
      </c>
      <c r="S186">
        <v>2000</v>
      </c>
      <c r="T186">
        <v>205</v>
      </c>
      <c r="U186">
        <v>410000</v>
      </c>
      <c r="V186" t="str">
        <f t="shared" si="55"/>
        <v>Accepted</v>
      </c>
      <c r="W186">
        <f>IFERROR(VLOOKUP(N186, Payment_Terms!A:B, 2, FALSE), "Payment term not found!")</f>
        <v>30</v>
      </c>
      <c r="X186" t="str">
        <f>IFERROR(VLOOKUP(R186, Item_Category!A:B, 2, FALSE), "Uncategorized")</f>
        <v>SSG - Potato</v>
      </c>
      <c r="Y186" s="5">
        <f t="shared" si="56"/>
        <v>0</v>
      </c>
      <c r="Z186">
        <f t="shared" si="41"/>
        <v>5</v>
      </c>
      <c r="AA186">
        <f t="shared" si="42"/>
        <v>42</v>
      </c>
      <c r="AB186">
        <f t="shared" si="43"/>
        <v>1</v>
      </c>
      <c r="AC186" s="10">
        <f t="shared" si="44"/>
        <v>57</v>
      </c>
      <c r="AD186" s="5">
        <f t="shared" si="36"/>
        <v>1</v>
      </c>
      <c r="AE186" s="5">
        <f t="shared" si="37"/>
        <v>1</v>
      </c>
      <c r="AF186" s="5">
        <f t="shared" si="45"/>
        <v>0</v>
      </c>
      <c r="AG186">
        <f>IF(B186&lt;&gt;"", COUNTIFS($B$2:B186, B186), "")</f>
        <v>6</v>
      </c>
      <c r="AH186">
        <f t="shared" si="46"/>
        <v>5</v>
      </c>
      <c r="AI186" t="str">
        <f>VLOOKUP(B186, Currency!A:B, 2, FALSE)</f>
        <v>INR</v>
      </c>
      <c r="AJ186">
        <f t="shared" si="38"/>
        <v>4</v>
      </c>
      <c r="AK186">
        <f t="shared" si="47"/>
        <v>4</v>
      </c>
      <c r="AL186" t="str">
        <f t="shared" si="48"/>
        <v>April</v>
      </c>
      <c r="AM186">
        <f t="shared" si="49"/>
        <v>2023</v>
      </c>
      <c r="AN186" t="str">
        <f t="shared" si="39"/>
        <v>30Ascot Pharmachem Pvt Ltd</v>
      </c>
      <c r="AO186">
        <f>IF(COUNTIF($AN$2:AN186, AN186)=1, 1, 0)</f>
        <v>0</v>
      </c>
      <c r="AP186" t="str">
        <f t="shared" si="50"/>
        <v>&gt;3</v>
      </c>
      <c r="AQ186" t="str">
        <f t="shared" si="51"/>
        <v>&gt;3</v>
      </c>
      <c r="AR186" t="str">
        <f t="shared" si="52"/>
        <v>&lt;=3</v>
      </c>
    </row>
    <row r="187" spans="1:44" x14ac:dyDescent="0.3">
      <c r="A187" t="s">
        <v>33</v>
      </c>
      <c r="B187" t="str">
        <f>B2</f>
        <v>Ami Enterprises</v>
      </c>
      <c r="C187" t="s">
        <v>416</v>
      </c>
      <c r="D187">
        <v>2119</v>
      </c>
      <c r="E187">
        <v>23210181</v>
      </c>
      <c r="F187" t="s">
        <v>502</v>
      </c>
      <c r="G187" t="s">
        <v>503</v>
      </c>
      <c r="H187">
        <v>502</v>
      </c>
      <c r="I187">
        <v>35</v>
      </c>
      <c r="J187">
        <v>17570</v>
      </c>
      <c r="K187" t="str">
        <f>IFERROR(IF(B187&lt;&gt;"", TEXT(VLOOKUP(B187, 'Expected Date'!A:B, 2, FALSE) + DATE(RIGHT(C187,2),MID(C187,4,2),LEFT(C187,2)), "dd/mm/yy"), ""), "")</f>
        <v>30/05/23</v>
      </c>
      <c r="L187" t="s">
        <v>38</v>
      </c>
      <c r="M187" t="s">
        <v>39</v>
      </c>
      <c r="N187" t="s">
        <v>342</v>
      </c>
      <c r="O187" t="s">
        <v>432</v>
      </c>
      <c r="P187">
        <v>23290367</v>
      </c>
      <c r="Q187" t="s">
        <v>502</v>
      </c>
      <c r="R187" t="s">
        <v>503</v>
      </c>
      <c r="S187">
        <v>502</v>
      </c>
      <c r="T187">
        <v>35</v>
      </c>
      <c r="U187">
        <v>17570</v>
      </c>
      <c r="V187" t="str">
        <f t="shared" si="55"/>
        <v>Accepted</v>
      </c>
      <c r="W187">
        <f>IFERROR(VLOOKUP(N187, Payment_Terms!A:B, 2, FALSE), "Payment term not found!")</f>
        <v>30</v>
      </c>
      <c r="X187" t="str">
        <f>IFERROR(VLOOKUP(R187, Item_Category!A:B, 2, FALSE), "Uncategorized")</f>
        <v>Bags</v>
      </c>
      <c r="Y187" s="5">
        <f t="shared" si="56"/>
        <v>0</v>
      </c>
      <c r="Z187">
        <f t="shared" si="41"/>
        <v>5</v>
      </c>
      <c r="AA187">
        <f t="shared" si="42"/>
        <v>-8</v>
      </c>
      <c r="AB187">
        <f t="shared" si="43"/>
        <v>5</v>
      </c>
      <c r="AC187" s="10">
        <f t="shared" si="44"/>
        <v>2</v>
      </c>
      <c r="AD187" s="5">
        <f t="shared" si="36"/>
        <v>1</v>
      </c>
      <c r="AE187" s="5">
        <f t="shared" si="37"/>
        <v>1</v>
      </c>
      <c r="AF187" s="5">
        <f t="shared" si="45"/>
        <v>0</v>
      </c>
      <c r="AG187">
        <f>IF(B187&lt;&gt;"", COUNTIFS($B$2:B187, B187), "")</f>
        <v>18</v>
      </c>
      <c r="AH187">
        <f t="shared" si="46"/>
        <v>5</v>
      </c>
      <c r="AI187" t="str">
        <f>VLOOKUP(B187, Currency!A:B, 2, FALSE)</f>
        <v>INR</v>
      </c>
      <c r="AJ187">
        <f t="shared" si="38"/>
        <v>5</v>
      </c>
      <c r="AK187">
        <f t="shared" si="47"/>
        <v>5</v>
      </c>
      <c r="AL187" t="str">
        <f t="shared" si="48"/>
        <v>May</v>
      </c>
      <c r="AM187">
        <f t="shared" si="49"/>
        <v>2023</v>
      </c>
      <c r="AN187" t="str">
        <f t="shared" si="39"/>
        <v>30Ami Enterprises</v>
      </c>
      <c r="AO187">
        <f>IF(COUNTIF($AN$2:AN187, AN187)=1, 1, 0)</f>
        <v>0</v>
      </c>
      <c r="AP187" t="str">
        <f t="shared" si="50"/>
        <v>&gt;3</v>
      </c>
      <c r="AQ187" t="str">
        <f t="shared" si="51"/>
        <v>&gt;3</v>
      </c>
      <c r="AR187" t="str">
        <f t="shared" si="52"/>
        <v>&gt;3</v>
      </c>
    </row>
    <row r="188" spans="1:44" x14ac:dyDescent="0.3">
      <c r="A188" t="s">
        <v>33</v>
      </c>
      <c r="B188" t="s">
        <v>386</v>
      </c>
      <c r="C188" t="s">
        <v>108</v>
      </c>
      <c r="D188">
        <v>2144</v>
      </c>
      <c r="E188">
        <v>23210191</v>
      </c>
      <c r="F188" t="s">
        <v>437</v>
      </c>
      <c r="G188" t="s">
        <v>438</v>
      </c>
      <c r="H188">
        <v>8700</v>
      </c>
      <c r="I188">
        <v>9.0441000000000003</v>
      </c>
      <c r="J188">
        <v>78683.67</v>
      </c>
      <c r="K188" t="str">
        <f>IFERROR(IF(B188&lt;&gt;"", TEXT(VLOOKUP(B188, 'Expected Date'!A:B, 2, FALSE) + DATE(RIGHT(C188,2),MID(C188,4,2),LEFT(C188,2)), "dd/mm/yy"), ""), "")</f>
        <v>15/05/23</v>
      </c>
      <c r="L188" t="s">
        <v>38</v>
      </c>
      <c r="M188" t="s">
        <v>48</v>
      </c>
      <c r="N188" t="s">
        <v>342</v>
      </c>
      <c r="O188" t="s">
        <v>269</v>
      </c>
      <c r="P188">
        <v>23290372</v>
      </c>
      <c r="Q188" t="s">
        <v>437</v>
      </c>
      <c r="R188" t="s">
        <v>438</v>
      </c>
      <c r="S188">
        <v>8700</v>
      </c>
      <c r="T188">
        <v>9.0441000000000003</v>
      </c>
      <c r="U188">
        <v>78683.67</v>
      </c>
      <c r="V188" t="str">
        <f t="shared" si="55"/>
        <v>Accepted</v>
      </c>
      <c r="W188">
        <f>IFERROR(VLOOKUP(N188, Payment_Terms!A:B, 2, FALSE), "Payment term not found!")</f>
        <v>30</v>
      </c>
      <c r="X188" t="str">
        <f>IFERROR(VLOOKUP(R188, Item_Category!A:B, 2, FALSE), "Uncategorized")</f>
        <v>Liner</v>
      </c>
      <c r="Y188" s="5">
        <f t="shared" si="56"/>
        <v>0</v>
      </c>
      <c r="Z188">
        <f t="shared" si="41"/>
        <v>5</v>
      </c>
      <c r="AA188">
        <f t="shared" si="42"/>
        <v>0</v>
      </c>
      <c r="AB188">
        <f t="shared" si="43"/>
        <v>5</v>
      </c>
      <c r="AC188" s="10">
        <f t="shared" si="44"/>
        <v>5</v>
      </c>
      <c r="AD188" s="5">
        <f t="shared" si="36"/>
        <v>1</v>
      </c>
      <c r="AE188" s="5">
        <f t="shared" si="37"/>
        <v>1</v>
      </c>
      <c r="AF188" s="5">
        <f t="shared" si="45"/>
        <v>0</v>
      </c>
      <c r="AG188">
        <f>IF(B188&lt;&gt;"", COUNTIFS($B$2:B188, B188), "")</f>
        <v>13</v>
      </c>
      <c r="AH188">
        <f t="shared" si="46"/>
        <v>5</v>
      </c>
      <c r="AI188" t="str">
        <f>VLOOKUP(B188, Currency!A:B, 2, FALSE)</f>
        <v>INR</v>
      </c>
      <c r="AJ188">
        <f t="shared" si="38"/>
        <v>5</v>
      </c>
      <c r="AK188">
        <f t="shared" si="47"/>
        <v>5</v>
      </c>
      <c r="AL188" t="str">
        <f t="shared" si="48"/>
        <v>May</v>
      </c>
      <c r="AM188">
        <f t="shared" si="49"/>
        <v>2023</v>
      </c>
      <c r="AN188" t="str">
        <f t="shared" si="39"/>
        <v>30Shree Shyam Enterprises</v>
      </c>
      <c r="AO188">
        <f>IF(COUNTIF($AN$2:AN188, AN188)=1, 1, 0)</f>
        <v>0</v>
      </c>
      <c r="AP188" t="str">
        <f t="shared" si="50"/>
        <v>&gt;3</v>
      </c>
      <c r="AQ188" t="str">
        <f t="shared" si="51"/>
        <v>&gt;3</v>
      </c>
      <c r="AR188" t="str">
        <f t="shared" si="52"/>
        <v>&gt;3</v>
      </c>
    </row>
    <row r="189" spans="1:44" x14ac:dyDescent="0.3">
      <c r="A189" t="s">
        <v>33</v>
      </c>
      <c r="B189" t="s">
        <v>382</v>
      </c>
      <c r="C189" t="s">
        <v>432</v>
      </c>
      <c r="D189">
        <v>2086</v>
      </c>
      <c r="E189">
        <v>23210177</v>
      </c>
      <c r="F189" t="s">
        <v>383</v>
      </c>
      <c r="G189" t="s">
        <v>384</v>
      </c>
      <c r="H189">
        <v>250</v>
      </c>
      <c r="I189">
        <v>96</v>
      </c>
      <c r="J189">
        <v>24000</v>
      </c>
      <c r="K189" t="str">
        <f>IFERROR(IF(B189&lt;&gt;"", TEXT(VLOOKUP(B189, 'Expected Date'!A:B, 2, FALSE) + DATE(RIGHT(C189,2),MID(C189,4,2),LEFT(C189,2)), "dd/mm/yy"), ""), "")</f>
        <v>01/06/23</v>
      </c>
      <c r="L189" t="s">
        <v>38</v>
      </c>
      <c r="M189" t="s">
        <v>48</v>
      </c>
      <c r="N189" t="s">
        <v>342</v>
      </c>
      <c r="O189" t="s">
        <v>137</v>
      </c>
      <c r="P189">
        <v>23290380</v>
      </c>
      <c r="Q189" t="s">
        <v>383</v>
      </c>
      <c r="R189" t="s">
        <v>384</v>
      </c>
      <c r="S189">
        <v>250</v>
      </c>
      <c r="T189">
        <v>96</v>
      </c>
      <c r="U189">
        <v>24000</v>
      </c>
      <c r="V189" t="str">
        <f t="shared" si="55"/>
        <v>Accepted</v>
      </c>
      <c r="W189">
        <f>IFERROR(VLOOKUP(N189, Payment_Terms!A:B, 2, FALSE), "Payment term not found!")</f>
        <v>30</v>
      </c>
      <c r="X189" t="str">
        <f>IFERROR(VLOOKUP(R189, Item_Category!A:B, 2, FALSE), "Uncategorized")</f>
        <v>Gas</v>
      </c>
      <c r="Y189" s="5">
        <f t="shared" si="56"/>
        <v>0</v>
      </c>
      <c r="Z189">
        <f t="shared" si="41"/>
        <v>5</v>
      </c>
      <c r="AA189">
        <f t="shared" si="42"/>
        <v>-6</v>
      </c>
      <c r="AB189">
        <f t="shared" si="43"/>
        <v>5</v>
      </c>
      <c r="AC189" s="10">
        <f t="shared" si="44"/>
        <v>4</v>
      </c>
      <c r="AD189" s="5">
        <f t="shared" si="36"/>
        <v>1</v>
      </c>
      <c r="AE189" s="5">
        <f t="shared" si="37"/>
        <v>1</v>
      </c>
      <c r="AF189" s="5">
        <f t="shared" si="45"/>
        <v>0</v>
      </c>
      <c r="AG189">
        <f>IF(B189&lt;&gt;"", COUNTIFS($B$2:B189, B189), "")</f>
        <v>13</v>
      </c>
      <c r="AH189">
        <f t="shared" si="46"/>
        <v>5</v>
      </c>
      <c r="AI189" t="str">
        <f>VLOOKUP(B189, Currency!A:B, 2, FALSE)</f>
        <v>INR</v>
      </c>
      <c r="AJ189">
        <f t="shared" si="38"/>
        <v>5</v>
      </c>
      <c r="AK189">
        <f t="shared" si="47"/>
        <v>5</v>
      </c>
      <c r="AL189" t="str">
        <f t="shared" si="48"/>
        <v>May</v>
      </c>
      <c r="AM189">
        <f t="shared" si="49"/>
        <v>2023</v>
      </c>
      <c r="AN189" t="str">
        <f t="shared" si="39"/>
        <v>30Aerochem Laboratories</v>
      </c>
      <c r="AO189">
        <f>IF(COUNTIF($AN$2:AN189, AN189)=1, 1, 0)</f>
        <v>0</v>
      </c>
      <c r="AP189" t="str">
        <f t="shared" si="50"/>
        <v>&gt;3</v>
      </c>
      <c r="AQ189" t="str">
        <f t="shared" si="51"/>
        <v>&gt;3</v>
      </c>
      <c r="AR189" t="str">
        <f t="shared" si="52"/>
        <v>&gt;3</v>
      </c>
    </row>
    <row r="190" spans="1:44" x14ac:dyDescent="0.3">
      <c r="A190" t="str">
        <f>A22</f>
        <v>Woodpulp</v>
      </c>
      <c r="B190" t="s">
        <v>96</v>
      </c>
      <c r="C190" t="s">
        <v>97</v>
      </c>
      <c r="D190">
        <v>1233</v>
      </c>
      <c r="E190">
        <v>23220002</v>
      </c>
      <c r="F190" t="s">
        <v>443</v>
      </c>
      <c r="G190" t="s">
        <v>99</v>
      </c>
      <c r="H190">
        <v>52</v>
      </c>
      <c r="I190">
        <v>820</v>
      </c>
      <c r="J190">
        <v>3458104</v>
      </c>
      <c r="K190" t="str">
        <f>IFERROR(IF(B190&lt;&gt;"", TEXT(VLOOKUP(B190, 'Expected Date'!A:B, 2, FALSE) + DATE(RIGHT(C190,2),MID(C190,4,2),LEFT(C190,2)), "dd/mm/yy"), ""), "")</f>
        <v>10/06/23</v>
      </c>
      <c r="L190" t="s">
        <v>68</v>
      </c>
      <c r="M190" t="str">
        <f>M73</f>
        <v>MT</v>
      </c>
      <c r="N190" t="s">
        <v>102</v>
      </c>
      <c r="O190" t="s">
        <v>426</v>
      </c>
      <c r="P190">
        <v>23290740</v>
      </c>
      <c r="Q190" t="s">
        <v>443</v>
      </c>
      <c r="R190" t="s">
        <v>444</v>
      </c>
      <c r="S190">
        <v>50.033000000000001</v>
      </c>
      <c r="T190">
        <v>820</v>
      </c>
      <c r="U190">
        <v>3345756.74</v>
      </c>
      <c r="V190" t="str">
        <f t="shared" si="55"/>
        <v>Accepted</v>
      </c>
      <c r="W190">
        <f>IFERROR(VLOOKUP(N190, Payment_Terms!A:B, 2, FALSE), "Payment term not found!")</f>
        <v>60</v>
      </c>
      <c r="X190" t="str">
        <f>IFERROR(VLOOKUP(R190, Item_Category!A:B, 2, FALSE), "Uncategorized")</f>
        <v>Wood pulp</v>
      </c>
      <c r="Y190" s="5">
        <f t="shared" si="56"/>
        <v>3.782692307692305E-2</v>
      </c>
      <c r="Z190">
        <f t="shared" si="41"/>
        <v>3</v>
      </c>
      <c r="AA190">
        <f t="shared" si="42"/>
        <v>28</v>
      </c>
      <c r="AB190">
        <f t="shared" si="43"/>
        <v>1</v>
      </c>
      <c r="AC190" s="10">
        <f t="shared" si="44"/>
        <v>88</v>
      </c>
      <c r="AD190" s="5">
        <f t="shared" si="36"/>
        <v>1</v>
      </c>
      <c r="AE190" s="5">
        <f t="shared" si="37"/>
        <v>1</v>
      </c>
      <c r="AF190" s="5">
        <f t="shared" si="45"/>
        <v>0</v>
      </c>
      <c r="AG190">
        <f>IF(B190&lt;&gt;"", COUNTIFS($B$2:B190, B190), "")</f>
        <v>5</v>
      </c>
      <c r="AH190">
        <f t="shared" si="46"/>
        <v>5</v>
      </c>
      <c r="AI190" t="str">
        <f>VLOOKUP(B190, Currency!A:B, 2, FALSE)</f>
        <v>USD</v>
      </c>
      <c r="AJ190">
        <f t="shared" si="38"/>
        <v>4</v>
      </c>
      <c r="AK190">
        <f t="shared" si="47"/>
        <v>4</v>
      </c>
      <c r="AL190" t="str">
        <f t="shared" si="48"/>
        <v>April</v>
      </c>
      <c r="AM190">
        <f t="shared" si="49"/>
        <v>2023</v>
      </c>
      <c r="AN190" t="str">
        <f t="shared" si="39"/>
        <v>60G P Cellulose GMBH</v>
      </c>
      <c r="AO190">
        <f>IF(COUNTIF($AN$2:AN190, AN190)=1, 1, 0)</f>
        <v>0</v>
      </c>
      <c r="AP190" t="str">
        <f t="shared" si="50"/>
        <v>&gt;3</v>
      </c>
      <c r="AQ190" t="str">
        <f t="shared" si="51"/>
        <v>&lt;=3</v>
      </c>
      <c r="AR190" t="str">
        <f t="shared" si="52"/>
        <v>&lt;=3</v>
      </c>
    </row>
    <row r="191" spans="1:44" x14ac:dyDescent="0.3">
      <c r="A191" t="s">
        <v>111</v>
      </c>
      <c r="B191" t="s">
        <v>112</v>
      </c>
      <c r="C191" t="s">
        <v>286</v>
      </c>
      <c r="D191">
        <v>4130</v>
      </c>
      <c r="E191">
        <v>23220057</v>
      </c>
      <c r="F191" t="s">
        <v>507</v>
      </c>
      <c r="G191" t="s">
        <v>508</v>
      </c>
      <c r="H191">
        <v>4000</v>
      </c>
      <c r="I191">
        <v>25</v>
      </c>
      <c r="J191">
        <v>100000</v>
      </c>
      <c r="K191" t="str">
        <f>IFERROR(IF(B191&lt;&gt;"", TEXT(VLOOKUP(B191, 'Expected Date'!A:B, 2, FALSE) + DATE(RIGHT(C191,2),MID(C191,4,2),LEFT(C191,2)), "dd/mm/yy"), ""), "")</f>
        <v>15/09/23</v>
      </c>
      <c r="L191" t="s">
        <v>38</v>
      </c>
      <c r="M191" t="s">
        <v>48</v>
      </c>
      <c r="N191" t="s">
        <v>509</v>
      </c>
      <c r="O191" t="s">
        <v>202</v>
      </c>
      <c r="P191">
        <v>23291277</v>
      </c>
      <c r="Q191" t="s">
        <v>507</v>
      </c>
      <c r="R191" t="s">
        <v>508</v>
      </c>
      <c r="S191">
        <v>4000</v>
      </c>
      <c r="T191">
        <v>25</v>
      </c>
      <c r="U191">
        <v>100000</v>
      </c>
      <c r="V191" t="s">
        <v>481</v>
      </c>
      <c r="W191">
        <f>IFERROR(VLOOKUP(N191, Payment_Terms!A:B, 2, FALSE), "Payment term not found!")</f>
        <v>30</v>
      </c>
      <c r="X191" t="str">
        <f>IFERROR(VLOOKUP(R191, Item_Category!A:B, 2, FALSE), "Uncategorized")</f>
        <v>Talc</v>
      </c>
      <c r="Y191" s="5">
        <f t="shared" si="56"/>
        <v>0</v>
      </c>
      <c r="Z191">
        <f t="shared" si="41"/>
        <v>5</v>
      </c>
      <c r="AA191">
        <f t="shared" si="42"/>
        <v>-37</v>
      </c>
      <c r="AB191">
        <f t="shared" si="43"/>
        <v>5</v>
      </c>
      <c r="AC191" s="10">
        <f t="shared" si="44"/>
        <v>22</v>
      </c>
      <c r="AD191" s="5">
        <f t="shared" si="36"/>
        <v>0</v>
      </c>
      <c r="AE191" s="5">
        <f t="shared" si="37"/>
        <v>0</v>
      </c>
      <c r="AF191" s="5">
        <f t="shared" si="45"/>
        <v>1</v>
      </c>
      <c r="AG191">
        <f>IF(B191&lt;&gt;"", COUNTIFS($B$2:B191, B191), "")</f>
        <v>1</v>
      </c>
      <c r="AH191">
        <f t="shared" si="46"/>
        <v>1</v>
      </c>
      <c r="AI191" t="str">
        <f>VLOOKUP(B191, Currency!A:B, 2, FALSE)</f>
        <v>INR</v>
      </c>
      <c r="AJ191">
        <f t="shared" si="38"/>
        <v>4</v>
      </c>
      <c r="AK191">
        <f t="shared" si="47"/>
        <v>8</v>
      </c>
      <c r="AL191" t="str">
        <f t="shared" si="48"/>
        <v>August</v>
      </c>
      <c r="AM191">
        <f t="shared" si="49"/>
        <v>2023</v>
      </c>
      <c r="AN191" t="str">
        <f t="shared" si="39"/>
        <v>30NEELKANTH FINECHEM LLP</v>
      </c>
      <c r="AO191">
        <f>IF(COUNTIF($AN$2:AN191, AN191)=1, 1, 0)</f>
        <v>1</v>
      </c>
      <c r="AP191" t="str">
        <f t="shared" si="50"/>
        <v>&lt;=3</v>
      </c>
      <c r="AQ191" t="str">
        <f t="shared" si="51"/>
        <v>&gt;3</v>
      </c>
      <c r="AR191" t="str">
        <f t="shared" si="52"/>
        <v>&gt;3</v>
      </c>
    </row>
    <row r="192" spans="1:44" x14ac:dyDescent="0.3">
      <c r="A192" t="str">
        <f>A165</f>
        <v>Woodpulp</v>
      </c>
      <c r="B192" t="s">
        <v>140</v>
      </c>
      <c r="C192" t="s">
        <v>442</v>
      </c>
      <c r="D192">
        <v>1497</v>
      </c>
      <c r="E192">
        <v>23220010</v>
      </c>
      <c r="F192" t="s">
        <v>359</v>
      </c>
      <c r="G192" t="s">
        <v>360</v>
      </c>
      <c r="H192">
        <v>50</v>
      </c>
      <c r="I192">
        <v>830</v>
      </c>
      <c r="J192">
        <v>3378100</v>
      </c>
      <c r="K192" t="str">
        <f>IFERROR(IF(B192&lt;&gt;"", TEXT(VLOOKUP(B192, 'Expected Date'!A:B, 2, FALSE) + DATE(RIGHT(C192,2),MID(C192,4,2),LEFT(C192,2)), "dd/mm/yy"), ""), "")</f>
        <v>09/06/23</v>
      </c>
      <c r="L192" t="s">
        <v>68</v>
      </c>
      <c r="M192" t="str">
        <f>M73</f>
        <v>MT</v>
      </c>
      <c r="N192" t="s">
        <v>144</v>
      </c>
      <c r="O192" t="s">
        <v>428</v>
      </c>
      <c r="P192">
        <v>23290114</v>
      </c>
      <c r="Q192" t="s">
        <v>359</v>
      </c>
      <c r="R192" t="s">
        <v>360</v>
      </c>
      <c r="S192">
        <v>49.5</v>
      </c>
      <c r="T192">
        <v>830</v>
      </c>
      <c r="U192">
        <v>3366915.75</v>
      </c>
      <c r="V192" t="str">
        <f>V190</f>
        <v>Accepted</v>
      </c>
      <c r="W192">
        <f>IFERROR(VLOOKUP(N192, Payment_Terms!A:B, 2, FALSE), "Payment term not found!")</f>
        <v>30</v>
      </c>
      <c r="X192" t="str">
        <f>IFERROR(VLOOKUP(R192, Item_Category!A:B, 2, FALSE), "Uncategorized")</f>
        <v>Wood pulp</v>
      </c>
      <c r="Y192" s="5">
        <f t="shared" si="56"/>
        <v>0.01</v>
      </c>
      <c r="Z192">
        <f t="shared" si="41"/>
        <v>4</v>
      </c>
      <c r="AA192">
        <f t="shared" si="42"/>
        <v>-67</v>
      </c>
      <c r="AB192">
        <f t="shared" si="43"/>
        <v>5</v>
      </c>
      <c r="AC192" s="10">
        <f t="shared" si="44"/>
        <v>22</v>
      </c>
      <c r="AD192" s="5">
        <f t="shared" si="36"/>
        <v>1</v>
      </c>
      <c r="AE192" s="5">
        <f t="shared" si="37"/>
        <v>1</v>
      </c>
      <c r="AF192" s="5">
        <f t="shared" si="45"/>
        <v>0</v>
      </c>
      <c r="AG192">
        <f>IF(B192&lt;&gt;"", COUNTIFS($B$2:B192, B192), "")</f>
        <v>5</v>
      </c>
      <c r="AH192">
        <f t="shared" si="46"/>
        <v>5</v>
      </c>
      <c r="AI192" t="str">
        <f>VLOOKUP(B192, Currency!A:B, 2, FALSE)</f>
        <v>USD</v>
      </c>
      <c r="AJ192">
        <f t="shared" si="38"/>
        <v>5</v>
      </c>
      <c r="AK192">
        <f t="shared" si="47"/>
        <v>4</v>
      </c>
      <c r="AL192" t="str">
        <f t="shared" si="48"/>
        <v>April</v>
      </c>
      <c r="AM192">
        <f t="shared" si="49"/>
        <v>2023</v>
      </c>
      <c r="AN192" t="str">
        <f t="shared" si="39"/>
        <v>30Sappi Paper Holdings GMBH</v>
      </c>
      <c r="AO192">
        <f>IF(COUNTIF($AN$2:AN192, AN192)=1, 1, 0)</f>
        <v>0</v>
      </c>
      <c r="AP192" t="str">
        <f t="shared" si="50"/>
        <v>&gt;3</v>
      </c>
      <c r="AQ192" t="str">
        <f t="shared" si="51"/>
        <v>&gt;3</v>
      </c>
      <c r="AR192" t="str">
        <f t="shared" si="52"/>
        <v>&gt;3</v>
      </c>
    </row>
    <row r="193" spans="1:44" x14ac:dyDescent="0.3">
      <c r="A193" t="s">
        <v>33</v>
      </c>
      <c r="B193" t="s">
        <v>395</v>
      </c>
      <c r="C193" t="s">
        <v>120</v>
      </c>
      <c r="D193">
        <v>3445</v>
      </c>
      <c r="E193">
        <v>23210471</v>
      </c>
      <c r="F193" t="s">
        <v>392</v>
      </c>
      <c r="G193" t="s">
        <v>393</v>
      </c>
      <c r="H193">
        <v>200</v>
      </c>
      <c r="I193">
        <v>10500</v>
      </c>
      <c r="J193">
        <v>2100000</v>
      </c>
      <c r="K193" t="str">
        <f>IFERROR(IF(B193&lt;&gt;"", TEXT(VLOOKUP(B193, 'Expected Date'!A:B, 2, FALSE) + DATE(RIGHT(C193,2),MID(C193,4,2),LEFT(C193,2)), "dd/mm/yy"), ""), "")</f>
        <v>25/07/23</v>
      </c>
      <c r="L193" t="s">
        <v>68</v>
      </c>
      <c r="M193" t="s">
        <v>48</v>
      </c>
      <c r="N193" t="s">
        <v>370</v>
      </c>
      <c r="O193" t="s">
        <v>57</v>
      </c>
      <c r="P193">
        <v>23291025</v>
      </c>
      <c r="Q193" t="s">
        <v>392</v>
      </c>
      <c r="R193" t="s">
        <v>393</v>
      </c>
      <c r="S193">
        <v>28.66</v>
      </c>
      <c r="T193">
        <v>10500</v>
      </c>
      <c r="U193">
        <v>300930</v>
      </c>
      <c r="V193" t="str">
        <f>V192</f>
        <v>Accepted</v>
      </c>
      <c r="W193">
        <f>IFERROR(VLOOKUP(N193, Payment_Terms!A:B, 2, FALSE), "Payment term not found!")</f>
        <v>15</v>
      </c>
      <c r="X193" t="str">
        <f>IFERROR(VLOOKUP(R193, Item_Category!A:B, 2, FALSE), "Uncategorized")</f>
        <v>Coal materials</v>
      </c>
      <c r="Y193" s="5">
        <f t="shared" si="56"/>
        <v>4.2950000000000016E-2</v>
      </c>
      <c r="Z193">
        <f t="shared" si="41"/>
        <v>3</v>
      </c>
      <c r="AA193">
        <f t="shared" si="42"/>
        <v>9</v>
      </c>
      <c r="AB193">
        <f t="shared" si="43"/>
        <v>2</v>
      </c>
      <c r="AC193" s="10">
        <f t="shared" si="44"/>
        <v>14</v>
      </c>
      <c r="AD193" s="5">
        <f t="shared" si="36"/>
        <v>1</v>
      </c>
      <c r="AE193" s="5">
        <f t="shared" si="37"/>
        <v>1</v>
      </c>
      <c r="AF193" s="5">
        <f t="shared" si="45"/>
        <v>0</v>
      </c>
      <c r="AG193">
        <f>IF(B193&lt;&gt;"", COUNTIFS($B$2:B193, B193), "")</f>
        <v>17</v>
      </c>
      <c r="AH193">
        <f t="shared" si="46"/>
        <v>5</v>
      </c>
      <c r="AI193" t="str">
        <f>VLOOKUP(B193, Currency!A:B, 2, FALSE)</f>
        <v>INR</v>
      </c>
      <c r="AJ193">
        <f t="shared" si="38"/>
        <v>4</v>
      </c>
      <c r="AK193">
        <f t="shared" si="47"/>
        <v>7</v>
      </c>
      <c r="AL193" t="str">
        <f t="shared" si="48"/>
        <v>July</v>
      </c>
      <c r="AM193">
        <f t="shared" si="49"/>
        <v>2023</v>
      </c>
      <c r="AN193" t="str">
        <f t="shared" si="39"/>
        <v>15Crystal coal corporation</v>
      </c>
      <c r="AO193">
        <f>IF(COUNTIF($AN$2:AN193, AN193)=1, 1, 0)</f>
        <v>0</v>
      </c>
      <c r="AP193" t="str">
        <f t="shared" si="50"/>
        <v>&gt;3</v>
      </c>
      <c r="AQ193" t="str">
        <f t="shared" si="51"/>
        <v>&lt;=3</v>
      </c>
      <c r="AR193" t="str">
        <f t="shared" si="52"/>
        <v>&lt;=3</v>
      </c>
    </row>
    <row r="194" spans="1:44" x14ac:dyDescent="0.3">
      <c r="A194" t="s">
        <v>33</v>
      </c>
      <c r="B194" t="s">
        <v>395</v>
      </c>
      <c r="C194" t="s">
        <v>120</v>
      </c>
      <c r="D194">
        <v>3445</v>
      </c>
      <c r="E194">
        <v>23210471</v>
      </c>
      <c r="F194" t="s">
        <v>392</v>
      </c>
      <c r="G194" t="s">
        <v>393</v>
      </c>
      <c r="H194">
        <v>200</v>
      </c>
      <c r="I194">
        <v>10500</v>
      </c>
      <c r="J194">
        <v>2100000</v>
      </c>
      <c r="K194" t="str">
        <f>IFERROR(IF(B194&lt;&gt;"", TEXT(VLOOKUP(B194, 'Expected Date'!A:B, 2, FALSE) + DATE(RIGHT(C194,2),MID(C194,4,2),LEFT(C194,2)), "dd/mm/yy"), ""), "")</f>
        <v>25/07/23</v>
      </c>
      <c r="L194" t="s">
        <v>68</v>
      </c>
      <c r="M194" t="s">
        <v>48</v>
      </c>
      <c r="N194" t="s">
        <v>370</v>
      </c>
      <c r="O194" t="s">
        <v>127</v>
      </c>
      <c r="P194">
        <v>23291031</v>
      </c>
      <c r="Q194" t="s">
        <v>392</v>
      </c>
      <c r="R194" t="s">
        <v>393</v>
      </c>
      <c r="S194">
        <v>28.91</v>
      </c>
      <c r="T194">
        <v>10500</v>
      </c>
      <c r="U194">
        <v>303555</v>
      </c>
      <c r="V194" t="str">
        <f t="shared" ref="V194:V257" si="57">V193</f>
        <v>Accepted</v>
      </c>
      <c r="W194">
        <f>IFERROR(VLOOKUP(N194, Payment_Terms!A:B, 2, FALSE), "Payment term not found!")</f>
        <v>15</v>
      </c>
      <c r="X194" t="str">
        <f>IFERROR(VLOOKUP(R194, Item_Category!A:B, 2, FALSE), "Uncategorized")</f>
        <v>Coal materials</v>
      </c>
      <c r="Y194" s="5">
        <f t="shared" si="56"/>
        <v>4.2950000000000016E-2</v>
      </c>
      <c r="Z194">
        <f t="shared" si="41"/>
        <v>3</v>
      </c>
      <c r="AA194">
        <f t="shared" si="42"/>
        <v>8</v>
      </c>
      <c r="AB194">
        <f t="shared" si="43"/>
        <v>2</v>
      </c>
      <c r="AC194" s="10">
        <f t="shared" si="44"/>
        <v>13</v>
      </c>
      <c r="AD194" s="5">
        <f t="shared" ref="AD194:AD257" si="58">IF(V194="Accepted",1,0)</f>
        <v>1</v>
      </c>
      <c r="AE194" s="5">
        <f t="shared" ref="AE194:AE257" si="59">ROUNDUP((SUMIFS(S:S, B:B, B194, V:V, "Accepted")/SUMIF(B:B,B194,S:S)),2)</f>
        <v>1</v>
      </c>
      <c r="AF194" s="5">
        <f t="shared" si="45"/>
        <v>0</v>
      </c>
      <c r="AG194">
        <f>IF(B194&lt;&gt;"", COUNTIFS($B$2:B194, B194), "")</f>
        <v>18</v>
      </c>
      <c r="AH194">
        <f t="shared" si="46"/>
        <v>5</v>
      </c>
      <c r="AI194" t="str">
        <f>VLOOKUP(B194, Currency!A:B, 2, FALSE)</f>
        <v>INR</v>
      </c>
      <c r="AJ194">
        <f t="shared" ref="AJ194:AJ257" si="60">_xlfn.CEILING.MATH(((0.4*AH194)+(0.3*Z194)+(0.3*AB194)),1)</f>
        <v>4</v>
      </c>
      <c r="AK194">
        <f t="shared" si="47"/>
        <v>7</v>
      </c>
      <c r="AL194" t="str">
        <f t="shared" si="48"/>
        <v>July</v>
      </c>
      <c r="AM194">
        <f t="shared" si="49"/>
        <v>2023</v>
      </c>
      <c r="AN194" t="str">
        <f t="shared" ref="AN194:AN257" si="61">W194&amp;B194</f>
        <v>15Crystal coal corporation</v>
      </c>
      <c r="AO194">
        <f>IF(COUNTIF($AN$2:AN194, AN194)=1, 1, 0)</f>
        <v>0</v>
      </c>
      <c r="AP194" t="str">
        <f t="shared" si="50"/>
        <v>&gt;3</v>
      </c>
      <c r="AQ194" t="str">
        <f t="shared" si="51"/>
        <v>&lt;=3</v>
      </c>
      <c r="AR194" t="str">
        <f t="shared" si="52"/>
        <v>&lt;=3</v>
      </c>
    </row>
    <row r="195" spans="1:44" x14ac:dyDescent="0.3">
      <c r="A195" t="s">
        <v>33</v>
      </c>
      <c r="B195" t="s">
        <v>395</v>
      </c>
      <c r="C195" t="s">
        <v>427</v>
      </c>
      <c r="D195">
        <v>1224</v>
      </c>
      <c r="E195">
        <v>23210017</v>
      </c>
      <c r="F195" t="s">
        <v>368</v>
      </c>
      <c r="G195" t="s">
        <v>369</v>
      </c>
      <c r="H195">
        <v>150000</v>
      </c>
      <c r="I195">
        <v>8.125</v>
      </c>
      <c r="J195">
        <v>1218750</v>
      </c>
      <c r="K195" t="str">
        <f>IFERROR(IF(B195&lt;&gt;"", TEXT(VLOOKUP(B195, 'Expected Date'!A:B, 2, FALSE) + DATE(RIGHT(C195,2),MID(C195,4,2),LEFT(C195,2)), "dd/mm/yy"), ""), "")</f>
        <v>06/04/23</v>
      </c>
      <c r="L195" t="s">
        <v>68</v>
      </c>
      <c r="M195" t="s">
        <v>48</v>
      </c>
      <c r="N195" t="s">
        <v>342</v>
      </c>
      <c r="O195" t="s">
        <v>428</v>
      </c>
      <c r="P195">
        <v>23290084</v>
      </c>
      <c r="Q195" t="s">
        <v>368</v>
      </c>
      <c r="R195" t="s">
        <v>369</v>
      </c>
      <c r="S195">
        <v>37830</v>
      </c>
      <c r="T195">
        <v>8.125</v>
      </c>
      <c r="U195">
        <v>307368.75</v>
      </c>
      <c r="V195" t="str">
        <f t="shared" si="57"/>
        <v>Accepted</v>
      </c>
      <c r="W195">
        <f>IFERROR(VLOOKUP(N195, Payment_Terms!A:B, 2, FALSE), "Payment term not found!")</f>
        <v>30</v>
      </c>
      <c r="X195" t="str">
        <f>IFERROR(VLOOKUP(R195, Item_Category!A:B, 2, FALSE), "Uncategorized")</f>
        <v>Coal materials</v>
      </c>
      <c r="Y195" s="5">
        <f t="shared" si="56"/>
        <v>0.49559999999999998</v>
      </c>
      <c r="Z195">
        <f t="shared" ref="Z195:Z258" si="62">IF(Y195&lt;=0%,5,(IF(AND(Y195&gt;0%,Y195&lt;=2%),4,IF(AND(Y195&gt;2%,Y195&lt;=5%),3,IF(AND(Y195&gt;5%,Y195&lt;10%),2,1)))))</f>
        <v>1</v>
      </c>
      <c r="AA195">
        <f t="shared" ref="AA195:AA258" si="63">DATE(RIGHT(O195,2),MID(O195,4,2),LEFT(O195,2)) - DATE(RIGHT(K195,2),MID(K195,4,2),LEFT(K195,2))</f>
        <v>-3</v>
      </c>
      <c r="AB195">
        <f t="shared" ref="AB195:AB258" si="64">IF(AA195 &lt;= 2, 5, IF(AA195 &lt;= 4, 4, IF(AA195 &lt;= 7, 3, IF(AA195&lt;=10,2,1))))</f>
        <v>5</v>
      </c>
      <c r="AC195" s="10">
        <f t="shared" ref="AC195:AC258" si="65">ABS(DATE(RIGHT(O195,2),MID(O195,4,2),LEFT(O195,2)) - DATE(RIGHT(C195,2),MID(C195,4,2),LEFT(C195,2)))</f>
        <v>2</v>
      </c>
      <c r="AD195" s="5">
        <f t="shared" si="58"/>
        <v>1</v>
      </c>
      <c r="AE195" s="5">
        <f t="shared" si="59"/>
        <v>1</v>
      </c>
      <c r="AF195" s="5">
        <f t="shared" ref="AF195:AF258" si="66">ROUNDUP(ABS(100%-AE195),2)</f>
        <v>0</v>
      </c>
      <c r="AG195">
        <f>IF(B195&lt;&gt;"", COUNTIFS($B$2:B195, B195), "")</f>
        <v>19</v>
      </c>
      <c r="AH195">
        <f t="shared" ref="AH195:AH258" si="67">IF(AF195=0%,5,IF(AND(AF195&gt;0%,AF195&lt;=2%),4,IF(AND(AF195&gt;2%,AF195&lt;=5%),3,IF(AND(AF195&gt;5%,AF195&lt;10%),2,1))))</f>
        <v>5</v>
      </c>
      <c r="AI195" t="str">
        <f>VLOOKUP(B195, Currency!A:B, 2, FALSE)</f>
        <v>INR</v>
      </c>
      <c r="AJ195">
        <f t="shared" si="60"/>
        <v>4</v>
      </c>
      <c r="AK195">
        <f t="shared" ref="AK195:AK258" si="68">MONTH(DATE(RIGHT(C195,2),MID(C195,4,2),LEFT(C195,2)))</f>
        <v>4</v>
      </c>
      <c r="AL195" t="str">
        <f t="shared" ref="AL195:AL258" si="69">TEXT(DATE(RIGHT(C195,2),MID(C195,4,2),LEFT(C195,2)),"mmmm")</f>
        <v>April</v>
      </c>
      <c r="AM195">
        <f t="shared" ref="AM195:AM258" si="70">YEAR(DATE(VALUE(MID(C195,7,2))+2000, MID(C195,4,2), MID(C195,1,2)))</f>
        <v>2023</v>
      </c>
      <c r="AN195" t="str">
        <f t="shared" si="61"/>
        <v>30Crystal coal corporation</v>
      </c>
      <c r="AO195">
        <f>IF(COUNTIF($AN$2:AN195, AN195)=1, 1, 0)</f>
        <v>0</v>
      </c>
      <c r="AP195" t="str">
        <f t="shared" ref="AP195:AP258" si="71">IF(AH195&lt;=3,"&lt;=3","&gt;3")</f>
        <v>&gt;3</v>
      </c>
      <c r="AQ195" t="str">
        <f t="shared" ref="AQ195:AQ258" si="72">IF(Z195&lt;=3,"&lt;=3","&gt;3")</f>
        <v>&lt;=3</v>
      </c>
      <c r="AR195" t="str">
        <f t="shared" ref="AR195:AR258" si="73">IF(AB195&lt;=3,"&lt;=3","&gt;3")</f>
        <v>&gt;3</v>
      </c>
    </row>
    <row r="196" spans="1:44" x14ac:dyDescent="0.3">
      <c r="A196" t="s">
        <v>33</v>
      </c>
      <c r="B196" t="s">
        <v>371</v>
      </c>
      <c r="C196" t="s">
        <v>416</v>
      </c>
      <c r="D196">
        <v>2120</v>
      </c>
      <c r="E196">
        <v>23210182</v>
      </c>
      <c r="F196" t="s">
        <v>372</v>
      </c>
      <c r="G196" t="s">
        <v>373</v>
      </c>
      <c r="H196">
        <v>50</v>
      </c>
      <c r="I196">
        <v>150</v>
      </c>
      <c r="J196">
        <v>7500</v>
      </c>
      <c r="K196" t="str">
        <f>IFERROR(IF(B196&lt;&gt;"", TEXT(VLOOKUP(B196, 'Expected Date'!A:B, 2, FALSE) + DATE(RIGHT(C196,2),MID(C196,4,2),LEFT(C196,2)), "dd/mm/yy"), ""), "")</f>
        <v>25/05/23</v>
      </c>
      <c r="L196" t="s">
        <v>68</v>
      </c>
      <c r="M196" t="s">
        <v>48</v>
      </c>
      <c r="N196" t="s">
        <v>342</v>
      </c>
      <c r="O196" t="s">
        <v>416</v>
      </c>
      <c r="P196">
        <v>23290366</v>
      </c>
      <c r="Q196" t="s">
        <v>372</v>
      </c>
      <c r="R196" t="s">
        <v>373</v>
      </c>
      <c r="S196">
        <v>10</v>
      </c>
      <c r="T196">
        <v>150</v>
      </c>
      <c r="U196">
        <v>1500</v>
      </c>
      <c r="V196" t="str">
        <f t="shared" si="57"/>
        <v>Accepted</v>
      </c>
      <c r="W196">
        <f>IFERROR(VLOOKUP(N196, Payment_Terms!A:B, 2, FALSE), "Payment term not found!")</f>
        <v>30</v>
      </c>
      <c r="X196" t="str">
        <f>IFERROR(VLOOKUP(R196, Item_Category!A:B, 2, FALSE), "Uncategorized")</f>
        <v>HCL</v>
      </c>
      <c r="Y196" s="5">
        <f t="shared" si="56"/>
        <v>6.3999999999998633E-3</v>
      </c>
      <c r="Z196">
        <f t="shared" si="62"/>
        <v>4</v>
      </c>
      <c r="AA196">
        <f t="shared" si="63"/>
        <v>-5</v>
      </c>
      <c r="AB196">
        <f t="shared" si="64"/>
        <v>5</v>
      </c>
      <c r="AC196" s="10">
        <f t="shared" si="65"/>
        <v>0</v>
      </c>
      <c r="AD196" s="5">
        <f t="shared" si="58"/>
        <v>1</v>
      </c>
      <c r="AE196" s="5">
        <f t="shared" si="59"/>
        <v>1</v>
      </c>
      <c r="AF196" s="5">
        <f t="shared" si="66"/>
        <v>0</v>
      </c>
      <c r="AG196">
        <f>IF(B196&lt;&gt;"", COUNTIFS($B$2:B196, B196), "")</f>
        <v>9</v>
      </c>
      <c r="AH196">
        <f t="shared" si="67"/>
        <v>5</v>
      </c>
      <c r="AI196" t="str">
        <f>VLOOKUP(B196, Currency!A:B, 2, FALSE)</f>
        <v>INR</v>
      </c>
      <c r="AJ196">
        <f t="shared" si="60"/>
        <v>5</v>
      </c>
      <c r="AK196">
        <f t="shared" si="68"/>
        <v>5</v>
      </c>
      <c r="AL196" t="str">
        <f t="shared" si="69"/>
        <v>May</v>
      </c>
      <c r="AM196">
        <f t="shared" si="70"/>
        <v>2023</v>
      </c>
      <c r="AN196" t="str">
        <f t="shared" si="61"/>
        <v>30SHREE ACID AND CHEMICALS</v>
      </c>
      <c r="AO196">
        <f>IF(COUNTIF($AN$2:AN196, AN196)=1, 1, 0)</f>
        <v>0</v>
      </c>
      <c r="AP196" t="str">
        <f t="shared" si="71"/>
        <v>&gt;3</v>
      </c>
      <c r="AQ196" t="str">
        <f t="shared" si="72"/>
        <v>&gt;3</v>
      </c>
      <c r="AR196" t="str">
        <f t="shared" si="73"/>
        <v>&gt;3</v>
      </c>
    </row>
    <row r="197" spans="1:44" x14ac:dyDescent="0.3">
      <c r="A197" t="s">
        <v>33</v>
      </c>
      <c r="B197" t="s">
        <v>371</v>
      </c>
      <c r="C197" t="s">
        <v>416</v>
      </c>
      <c r="D197">
        <v>2120</v>
      </c>
      <c r="E197">
        <v>23210182</v>
      </c>
      <c r="F197" t="s">
        <v>372</v>
      </c>
      <c r="G197" t="s">
        <v>373</v>
      </c>
      <c r="H197">
        <v>50</v>
      </c>
      <c r="I197">
        <v>150</v>
      </c>
      <c r="J197">
        <v>7500</v>
      </c>
      <c r="K197" t="str">
        <f>IFERROR(IF(B197&lt;&gt;"", TEXT(VLOOKUP(B197, 'Expected Date'!A:B, 2, FALSE) + DATE(RIGHT(C197,2),MID(C197,4,2),LEFT(C197,2)), "dd/mm/yy"), ""), "")</f>
        <v>25/05/23</v>
      </c>
      <c r="L197" t="s">
        <v>68</v>
      </c>
      <c r="M197" t="s">
        <v>48</v>
      </c>
      <c r="N197" t="s">
        <v>342</v>
      </c>
      <c r="O197" t="s">
        <v>324</v>
      </c>
      <c r="P197">
        <v>23290544</v>
      </c>
      <c r="Q197" t="s">
        <v>372</v>
      </c>
      <c r="R197" t="s">
        <v>373</v>
      </c>
      <c r="S197">
        <v>9.76</v>
      </c>
      <c r="T197">
        <v>150</v>
      </c>
      <c r="U197">
        <v>1464</v>
      </c>
      <c r="V197" t="str">
        <f t="shared" si="57"/>
        <v>Accepted</v>
      </c>
      <c r="W197">
        <f>IFERROR(VLOOKUP(N197, Payment_Terms!A:B, 2, FALSE), "Payment term not found!")</f>
        <v>30</v>
      </c>
      <c r="X197" t="str">
        <f>IFERROR(VLOOKUP(R197, Item_Category!A:B, 2, FALSE), "Uncategorized")</f>
        <v>HCL</v>
      </c>
      <c r="Y197" s="5">
        <f t="shared" si="56"/>
        <v>6.3999999999998633E-3</v>
      </c>
      <c r="Z197">
        <f t="shared" si="62"/>
        <v>4</v>
      </c>
      <c r="AA197">
        <f t="shared" si="63"/>
        <v>26</v>
      </c>
      <c r="AB197">
        <f t="shared" si="64"/>
        <v>1</v>
      </c>
      <c r="AC197" s="10">
        <f t="shared" si="65"/>
        <v>31</v>
      </c>
      <c r="AD197" s="5">
        <f t="shared" si="58"/>
        <v>1</v>
      </c>
      <c r="AE197" s="5">
        <f t="shared" si="59"/>
        <v>1</v>
      </c>
      <c r="AF197" s="5">
        <f t="shared" si="66"/>
        <v>0</v>
      </c>
      <c r="AG197">
        <f>IF(B197&lt;&gt;"", COUNTIFS($B$2:B197, B197), "")</f>
        <v>10</v>
      </c>
      <c r="AH197">
        <f t="shared" si="67"/>
        <v>5</v>
      </c>
      <c r="AI197" t="str">
        <f>VLOOKUP(B197, Currency!A:B, 2, FALSE)</f>
        <v>INR</v>
      </c>
      <c r="AJ197">
        <f t="shared" si="60"/>
        <v>4</v>
      </c>
      <c r="AK197">
        <f t="shared" si="68"/>
        <v>5</v>
      </c>
      <c r="AL197" t="str">
        <f t="shared" si="69"/>
        <v>May</v>
      </c>
      <c r="AM197">
        <f t="shared" si="70"/>
        <v>2023</v>
      </c>
      <c r="AN197" t="str">
        <f t="shared" si="61"/>
        <v>30SHREE ACID AND CHEMICALS</v>
      </c>
      <c r="AO197">
        <f>IF(COUNTIF($AN$2:AN197, AN197)=1, 1, 0)</f>
        <v>0</v>
      </c>
      <c r="AP197" t="str">
        <f t="shared" si="71"/>
        <v>&gt;3</v>
      </c>
      <c r="AQ197" t="str">
        <f t="shared" si="72"/>
        <v>&gt;3</v>
      </c>
      <c r="AR197" t="str">
        <f t="shared" si="73"/>
        <v>&lt;=3</v>
      </c>
    </row>
    <row r="198" spans="1:44" x14ac:dyDescent="0.3">
      <c r="A198" t="s">
        <v>33</v>
      </c>
      <c r="B198" t="str">
        <f>B2</f>
        <v>Ami Enterprises</v>
      </c>
      <c r="C198" t="s">
        <v>408</v>
      </c>
      <c r="D198">
        <v>3625</v>
      </c>
      <c r="E198">
        <v>23210521</v>
      </c>
      <c r="F198" t="s">
        <v>471</v>
      </c>
      <c r="G198" t="s">
        <v>472</v>
      </c>
      <c r="H198">
        <v>1100</v>
      </c>
      <c r="I198">
        <v>33.5</v>
      </c>
      <c r="J198">
        <v>36850</v>
      </c>
      <c r="K198" t="str">
        <f>IFERROR(IF(B198&lt;&gt;"", TEXT(VLOOKUP(B198, 'Expected Date'!A:B, 2, FALSE) + DATE(RIGHT(C198,2),MID(C198,4,2),LEFT(C198,2)), "dd/mm/yy"), ""), "")</f>
        <v>18/08/23</v>
      </c>
      <c r="L198" t="s">
        <v>68</v>
      </c>
      <c r="M198" t="s">
        <v>39</v>
      </c>
      <c r="N198" t="s">
        <v>342</v>
      </c>
      <c r="O198" t="s">
        <v>121</v>
      </c>
      <c r="P198">
        <v>23291091</v>
      </c>
      <c r="Q198" t="s">
        <v>471</v>
      </c>
      <c r="R198" t="s">
        <v>472</v>
      </c>
      <c r="S198">
        <v>1001</v>
      </c>
      <c r="T198">
        <v>33.5</v>
      </c>
      <c r="U198">
        <v>33533.5</v>
      </c>
      <c r="V198" t="str">
        <f t="shared" si="57"/>
        <v>Accepted</v>
      </c>
      <c r="W198">
        <f>IFERROR(VLOOKUP(N198, Payment_Terms!A:B, 2, FALSE), "Payment term not found!")</f>
        <v>30</v>
      </c>
      <c r="X198" t="str">
        <f>IFERROR(VLOOKUP(R198, Item_Category!A:B, 2, FALSE), "Uncategorized")</f>
        <v>Bags</v>
      </c>
      <c r="Y198" s="5">
        <f t="shared" si="56"/>
        <v>0.09</v>
      </c>
      <c r="Z198">
        <f t="shared" si="62"/>
        <v>2</v>
      </c>
      <c r="AA198">
        <f t="shared" si="63"/>
        <v>-8</v>
      </c>
      <c r="AB198">
        <f t="shared" si="64"/>
        <v>5</v>
      </c>
      <c r="AC198" s="10">
        <f t="shared" si="65"/>
        <v>2</v>
      </c>
      <c r="AD198" s="5">
        <f t="shared" si="58"/>
        <v>1</v>
      </c>
      <c r="AE198" s="5">
        <f t="shared" si="59"/>
        <v>1</v>
      </c>
      <c r="AF198" s="5">
        <f t="shared" si="66"/>
        <v>0</v>
      </c>
      <c r="AG198">
        <f>IF(B198&lt;&gt;"", COUNTIFS($B$2:B198, B198), "")</f>
        <v>19</v>
      </c>
      <c r="AH198">
        <f t="shared" si="67"/>
        <v>5</v>
      </c>
      <c r="AI198" t="str">
        <f>VLOOKUP(B198, Currency!A:B, 2, FALSE)</f>
        <v>INR</v>
      </c>
      <c r="AJ198">
        <f t="shared" si="60"/>
        <v>5</v>
      </c>
      <c r="AK198">
        <f t="shared" si="68"/>
        <v>8</v>
      </c>
      <c r="AL198" t="str">
        <f t="shared" si="69"/>
        <v>August</v>
      </c>
      <c r="AM198">
        <f t="shared" si="70"/>
        <v>2023</v>
      </c>
      <c r="AN198" t="str">
        <f t="shared" si="61"/>
        <v>30Ami Enterprises</v>
      </c>
      <c r="AO198">
        <f>IF(COUNTIF($AN$2:AN198, AN198)=1, 1, 0)</f>
        <v>0</v>
      </c>
      <c r="AP198" t="str">
        <f t="shared" si="71"/>
        <v>&gt;3</v>
      </c>
      <c r="AQ198" t="str">
        <f t="shared" si="72"/>
        <v>&lt;=3</v>
      </c>
      <c r="AR198" t="str">
        <f t="shared" si="73"/>
        <v>&gt;3</v>
      </c>
    </row>
    <row r="199" spans="1:44" x14ac:dyDescent="0.3">
      <c r="A199" t="s">
        <v>33</v>
      </c>
      <c r="B199" t="s">
        <v>429</v>
      </c>
      <c r="C199" t="s">
        <v>198</v>
      </c>
      <c r="D199">
        <v>3458</v>
      </c>
      <c r="E199">
        <v>23210474</v>
      </c>
      <c r="F199" t="s">
        <v>430</v>
      </c>
      <c r="G199" t="s">
        <v>431</v>
      </c>
      <c r="H199">
        <v>10000</v>
      </c>
      <c r="I199">
        <v>8.1999999999999993</v>
      </c>
      <c r="J199">
        <v>82000</v>
      </c>
      <c r="K199" t="str">
        <f>IFERROR(IF(B199&lt;&gt;"", TEXT(VLOOKUP(B199, 'Expected Date'!A:B, 2, FALSE) + DATE(RIGHT(C199,2),MID(C199,4,2),LEFT(C199,2)), "dd/mm/yy"), ""), "")</f>
        <v>05/08/23</v>
      </c>
      <c r="L199" t="s">
        <v>38</v>
      </c>
      <c r="M199" t="s">
        <v>48</v>
      </c>
      <c r="N199" t="s">
        <v>299</v>
      </c>
      <c r="O199" t="s">
        <v>286</v>
      </c>
      <c r="P199">
        <v>23291305</v>
      </c>
      <c r="Q199" t="s">
        <v>430</v>
      </c>
      <c r="R199" t="s">
        <v>431</v>
      </c>
      <c r="S199">
        <v>2685</v>
      </c>
      <c r="T199">
        <v>8.1999999999999993</v>
      </c>
      <c r="U199">
        <v>22017</v>
      </c>
      <c r="V199" t="str">
        <f t="shared" si="57"/>
        <v>Accepted</v>
      </c>
      <c r="W199">
        <f>IFERROR(VLOOKUP(N199, Payment_Terms!A:B, 2, FALSE), "Payment term not found!")</f>
        <v>60</v>
      </c>
      <c r="X199" t="str">
        <f>IFERROR(VLOOKUP(R199, Item_Category!A:B, 2, FALSE), "Uncategorized")</f>
        <v>Lime</v>
      </c>
      <c r="Y199" s="5">
        <f t="shared" si="56"/>
        <v>0</v>
      </c>
      <c r="Z199">
        <f t="shared" si="62"/>
        <v>5</v>
      </c>
      <c r="AA199">
        <f t="shared" si="63"/>
        <v>26</v>
      </c>
      <c r="AB199">
        <f t="shared" si="64"/>
        <v>1</v>
      </c>
      <c r="AC199" s="10">
        <f t="shared" si="65"/>
        <v>31</v>
      </c>
      <c r="AD199" s="5">
        <f t="shared" si="58"/>
        <v>1</v>
      </c>
      <c r="AE199" s="5">
        <f t="shared" si="59"/>
        <v>1</v>
      </c>
      <c r="AF199" s="5">
        <f t="shared" si="66"/>
        <v>0</v>
      </c>
      <c r="AG199">
        <f>IF(B199&lt;&gt;"", COUNTIFS($B$2:B199, B199), "")</f>
        <v>5</v>
      </c>
      <c r="AH199">
        <f t="shared" si="67"/>
        <v>5</v>
      </c>
      <c r="AI199" t="str">
        <f>VLOOKUP(B199, Currency!A:B, 2, FALSE)</f>
        <v>INR</v>
      </c>
      <c r="AJ199">
        <f t="shared" si="60"/>
        <v>4</v>
      </c>
      <c r="AK199">
        <f t="shared" si="68"/>
        <v>7</v>
      </c>
      <c r="AL199" t="str">
        <f t="shared" si="69"/>
        <v>July</v>
      </c>
      <c r="AM199">
        <f t="shared" si="70"/>
        <v>2023</v>
      </c>
      <c r="AN199" t="str">
        <f t="shared" si="61"/>
        <v>60HELIK ENTERPRISE</v>
      </c>
      <c r="AO199">
        <f>IF(COUNTIF($AN$2:AN199, AN199)=1, 1, 0)</f>
        <v>0</v>
      </c>
      <c r="AP199" t="str">
        <f t="shared" si="71"/>
        <v>&gt;3</v>
      </c>
      <c r="AQ199" t="str">
        <f t="shared" si="72"/>
        <v>&gt;3</v>
      </c>
      <c r="AR199" t="str">
        <f t="shared" si="73"/>
        <v>&lt;=3</v>
      </c>
    </row>
    <row r="200" spans="1:44" x14ac:dyDescent="0.3">
      <c r="A200" t="s">
        <v>33</v>
      </c>
      <c r="B200" t="s">
        <v>386</v>
      </c>
      <c r="C200" t="s">
        <v>154</v>
      </c>
      <c r="D200">
        <v>4576</v>
      </c>
      <c r="E200">
        <v>23210691</v>
      </c>
      <c r="F200" t="s">
        <v>510</v>
      </c>
      <c r="G200" t="s">
        <v>511</v>
      </c>
      <c r="H200">
        <v>40</v>
      </c>
      <c r="I200">
        <v>450</v>
      </c>
      <c r="J200">
        <v>18000</v>
      </c>
      <c r="K200" t="str">
        <f>IFERROR(IF(B200&lt;&gt;"", TEXT(VLOOKUP(B200, 'Expected Date'!A:B, 2, FALSE) + DATE(RIGHT(C200,2),MID(C200,4,2),LEFT(C200,2)), "dd/mm/yy"), ""), "")</f>
        <v>25/09/23</v>
      </c>
      <c r="L200" t="s">
        <v>38</v>
      </c>
      <c r="M200" t="s">
        <v>48</v>
      </c>
      <c r="N200" t="s">
        <v>342</v>
      </c>
      <c r="O200" t="s">
        <v>512</v>
      </c>
      <c r="P200">
        <v>23291516</v>
      </c>
      <c r="Q200" t="s">
        <v>510</v>
      </c>
      <c r="R200" t="s">
        <v>511</v>
      </c>
      <c r="S200">
        <v>40</v>
      </c>
      <c r="T200">
        <v>450</v>
      </c>
      <c r="U200">
        <v>18000</v>
      </c>
      <c r="V200" t="str">
        <f t="shared" si="57"/>
        <v>Accepted</v>
      </c>
      <c r="W200">
        <f>IFERROR(VLOOKUP(N200, Payment_Terms!A:B, 2, FALSE), "Payment term not found!")</f>
        <v>30</v>
      </c>
      <c r="X200" t="str">
        <f>IFERROR(VLOOKUP(R200, Item_Category!A:B, 2, FALSE), "Uncategorized")</f>
        <v>Ply sheets</v>
      </c>
      <c r="Y200" s="5">
        <f t="shared" si="56"/>
        <v>0</v>
      </c>
      <c r="Z200">
        <f t="shared" si="62"/>
        <v>5</v>
      </c>
      <c r="AA200">
        <f t="shared" si="63"/>
        <v>-1</v>
      </c>
      <c r="AB200">
        <f t="shared" si="64"/>
        <v>5</v>
      </c>
      <c r="AC200" s="10">
        <f t="shared" si="65"/>
        <v>4</v>
      </c>
      <c r="AD200" s="5">
        <f t="shared" si="58"/>
        <v>1</v>
      </c>
      <c r="AE200" s="5">
        <f t="shared" si="59"/>
        <v>1</v>
      </c>
      <c r="AF200" s="5">
        <f t="shared" si="66"/>
        <v>0</v>
      </c>
      <c r="AG200">
        <f>IF(B200&lt;&gt;"", COUNTIFS($B$2:B200, B200), "")</f>
        <v>14</v>
      </c>
      <c r="AH200">
        <f t="shared" si="67"/>
        <v>5</v>
      </c>
      <c r="AI200" t="str">
        <f>VLOOKUP(B200, Currency!A:B, 2, FALSE)</f>
        <v>INR</v>
      </c>
      <c r="AJ200">
        <f t="shared" si="60"/>
        <v>5</v>
      </c>
      <c r="AK200">
        <f t="shared" si="68"/>
        <v>9</v>
      </c>
      <c r="AL200" t="str">
        <f t="shared" si="69"/>
        <v>September</v>
      </c>
      <c r="AM200">
        <f t="shared" si="70"/>
        <v>2023</v>
      </c>
      <c r="AN200" t="str">
        <f t="shared" si="61"/>
        <v>30Shree Shyam Enterprises</v>
      </c>
      <c r="AO200">
        <f>IF(COUNTIF($AN$2:AN200, AN200)=1, 1, 0)</f>
        <v>0</v>
      </c>
      <c r="AP200" t="str">
        <f t="shared" si="71"/>
        <v>&gt;3</v>
      </c>
      <c r="AQ200" t="str">
        <f t="shared" si="72"/>
        <v>&gt;3</v>
      </c>
      <c r="AR200" t="str">
        <f t="shared" si="73"/>
        <v>&gt;3</v>
      </c>
    </row>
    <row r="201" spans="1:44" x14ac:dyDescent="0.3">
      <c r="A201" t="s">
        <v>33</v>
      </c>
      <c r="B201" t="s">
        <v>366</v>
      </c>
      <c r="C201" t="s">
        <v>65</v>
      </c>
      <c r="D201">
        <v>1459</v>
      </c>
      <c r="E201">
        <v>23210065</v>
      </c>
      <c r="F201" t="s">
        <v>392</v>
      </c>
      <c r="G201" t="s">
        <v>393</v>
      </c>
      <c r="H201">
        <v>60</v>
      </c>
      <c r="I201">
        <v>11000</v>
      </c>
      <c r="J201">
        <v>660000</v>
      </c>
      <c r="K201" t="str">
        <f>IFERROR(IF(B201&lt;&gt;"", TEXT(VLOOKUP(B201, 'Expected Date'!A:B, 2, FALSE) + DATE(RIGHT(C201,2),MID(C201,4,2),LEFT(C201,2)), "dd/mm/yy"), ""), "")</f>
        <v>21/04/23</v>
      </c>
      <c r="L201" t="s">
        <v>38</v>
      </c>
      <c r="M201" t="s">
        <v>48</v>
      </c>
      <c r="N201" t="s">
        <v>370</v>
      </c>
      <c r="O201" t="s">
        <v>439</v>
      </c>
      <c r="P201">
        <v>23290101</v>
      </c>
      <c r="Q201" t="s">
        <v>392</v>
      </c>
      <c r="R201" t="s">
        <v>393</v>
      </c>
      <c r="S201">
        <v>30.14</v>
      </c>
      <c r="T201">
        <v>11000</v>
      </c>
      <c r="U201">
        <v>331540</v>
      </c>
      <c r="V201" t="str">
        <f t="shared" si="57"/>
        <v>Accepted</v>
      </c>
      <c r="W201">
        <f>IFERROR(VLOOKUP(N201, Payment_Terms!A:B, 2, FALSE), "Payment term not found!")</f>
        <v>15</v>
      </c>
      <c r="X201" t="str">
        <f>IFERROR(VLOOKUP(R201, Item_Category!A:B, 2, FALSE), "Uncategorized")</f>
        <v>Coal materials</v>
      </c>
      <c r="Y201" s="5">
        <f t="shared" si="56"/>
        <v>0</v>
      </c>
      <c r="Z201">
        <f t="shared" si="62"/>
        <v>5</v>
      </c>
      <c r="AA201">
        <f t="shared" si="63"/>
        <v>-1</v>
      </c>
      <c r="AB201">
        <f t="shared" si="64"/>
        <v>5</v>
      </c>
      <c r="AC201" s="10">
        <f t="shared" si="65"/>
        <v>1</v>
      </c>
      <c r="AD201" s="5">
        <f t="shared" si="58"/>
        <v>1</v>
      </c>
      <c r="AE201" s="5">
        <f t="shared" si="59"/>
        <v>1</v>
      </c>
      <c r="AF201" s="5">
        <f t="shared" si="66"/>
        <v>0</v>
      </c>
      <c r="AG201">
        <f>IF(B201&lt;&gt;"", COUNTIFS($B$2:B201, B201), "")</f>
        <v>36</v>
      </c>
      <c r="AH201">
        <f t="shared" si="67"/>
        <v>5</v>
      </c>
      <c r="AI201" t="str">
        <f>VLOOKUP(B201, Currency!A:B, 2, FALSE)</f>
        <v>INR</v>
      </c>
      <c r="AJ201">
        <f t="shared" si="60"/>
        <v>5</v>
      </c>
      <c r="AK201">
        <f t="shared" si="68"/>
        <v>4</v>
      </c>
      <c r="AL201" t="str">
        <f t="shared" si="69"/>
        <v>April</v>
      </c>
      <c r="AM201">
        <f t="shared" si="70"/>
        <v>2023</v>
      </c>
      <c r="AN201" t="str">
        <f t="shared" si="61"/>
        <v>15SKYWIN ENTERPRISE</v>
      </c>
      <c r="AO201">
        <f>IF(COUNTIF($AN$2:AN201, AN201)=1, 1, 0)</f>
        <v>0</v>
      </c>
      <c r="AP201" t="str">
        <f t="shared" si="71"/>
        <v>&gt;3</v>
      </c>
      <c r="AQ201" t="str">
        <f t="shared" si="72"/>
        <v>&gt;3</v>
      </c>
      <c r="AR201" t="str">
        <f t="shared" si="73"/>
        <v>&gt;3</v>
      </c>
    </row>
    <row r="202" spans="1:44" x14ac:dyDescent="0.3">
      <c r="A202" t="s">
        <v>33</v>
      </c>
      <c r="B202" t="s">
        <v>366</v>
      </c>
      <c r="C202" t="s">
        <v>65</v>
      </c>
      <c r="D202">
        <v>1459</v>
      </c>
      <c r="E202">
        <v>23210065</v>
      </c>
      <c r="F202" t="s">
        <v>392</v>
      </c>
      <c r="G202" t="s">
        <v>393</v>
      </c>
      <c r="H202">
        <v>60</v>
      </c>
      <c r="I202">
        <v>11000</v>
      </c>
      <c r="J202">
        <v>660000</v>
      </c>
      <c r="K202" t="str">
        <f>IFERROR(IF(B202&lt;&gt;"", TEXT(VLOOKUP(B202, 'Expected Date'!A:B, 2, FALSE) + DATE(RIGHT(C202,2),MID(C202,4,2),LEFT(C202,2)), "dd/mm/yy"), ""), "")</f>
        <v>21/04/23</v>
      </c>
      <c r="L202" t="s">
        <v>38</v>
      </c>
      <c r="M202" t="s">
        <v>48</v>
      </c>
      <c r="N202" t="s">
        <v>370</v>
      </c>
      <c r="O202" t="s">
        <v>419</v>
      </c>
      <c r="P202">
        <v>23290102</v>
      </c>
      <c r="Q202" t="s">
        <v>392</v>
      </c>
      <c r="R202" t="s">
        <v>393</v>
      </c>
      <c r="S202">
        <v>26.175000000000001</v>
      </c>
      <c r="T202">
        <v>11000</v>
      </c>
      <c r="U202">
        <v>287925</v>
      </c>
      <c r="V202" t="str">
        <f t="shared" si="57"/>
        <v>Accepted</v>
      </c>
      <c r="W202">
        <f>IFERROR(VLOOKUP(N202, Payment_Terms!A:B, 2, FALSE), "Payment term not found!")</f>
        <v>15</v>
      </c>
      <c r="X202" t="str">
        <f>IFERROR(VLOOKUP(R202, Item_Category!A:B, 2, FALSE), "Uncategorized")</f>
        <v>Coal materials</v>
      </c>
      <c r="Y202" s="5">
        <f t="shared" si="56"/>
        <v>0</v>
      </c>
      <c r="Z202">
        <f t="shared" si="62"/>
        <v>5</v>
      </c>
      <c r="AA202">
        <f t="shared" si="63"/>
        <v>1</v>
      </c>
      <c r="AB202">
        <f t="shared" si="64"/>
        <v>5</v>
      </c>
      <c r="AC202" s="10">
        <f t="shared" si="65"/>
        <v>3</v>
      </c>
      <c r="AD202" s="5">
        <f t="shared" si="58"/>
        <v>1</v>
      </c>
      <c r="AE202" s="5">
        <f t="shared" si="59"/>
        <v>1</v>
      </c>
      <c r="AF202" s="5">
        <f t="shared" si="66"/>
        <v>0</v>
      </c>
      <c r="AG202">
        <f>IF(B202&lt;&gt;"", COUNTIFS($B$2:B202, B202), "")</f>
        <v>37</v>
      </c>
      <c r="AH202">
        <f t="shared" si="67"/>
        <v>5</v>
      </c>
      <c r="AI202" t="str">
        <f>VLOOKUP(B202, Currency!A:B, 2, FALSE)</f>
        <v>INR</v>
      </c>
      <c r="AJ202">
        <f t="shared" si="60"/>
        <v>5</v>
      </c>
      <c r="AK202">
        <f t="shared" si="68"/>
        <v>4</v>
      </c>
      <c r="AL202" t="str">
        <f t="shared" si="69"/>
        <v>April</v>
      </c>
      <c r="AM202">
        <f t="shared" si="70"/>
        <v>2023</v>
      </c>
      <c r="AN202" t="str">
        <f t="shared" si="61"/>
        <v>15SKYWIN ENTERPRISE</v>
      </c>
      <c r="AO202">
        <f>IF(COUNTIF($AN$2:AN202, AN202)=1, 1, 0)</f>
        <v>0</v>
      </c>
      <c r="AP202" t="str">
        <f t="shared" si="71"/>
        <v>&gt;3</v>
      </c>
      <c r="AQ202" t="str">
        <f t="shared" si="72"/>
        <v>&gt;3</v>
      </c>
      <c r="AR202" t="str">
        <f t="shared" si="73"/>
        <v>&gt;3</v>
      </c>
    </row>
    <row r="203" spans="1:44" x14ac:dyDescent="0.3">
      <c r="A203" t="s">
        <v>33</v>
      </c>
      <c r="B203" t="s">
        <v>366</v>
      </c>
      <c r="C203" t="s">
        <v>65</v>
      </c>
      <c r="D203">
        <v>1459</v>
      </c>
      <c r="E203">
        <v>23210065</v>
      </c>
      <c r="F203" t="s">
        <v>392</v>
      </c>
      <c r="G203" t="s">
        <v>393</v>
      </c>
      <c r="H203">
        <v>60</v>
      </c>
      <c r="I203">
        <v>11000</v>
      </c>
      <c r="J203">
        <v>660000</v>
      </c>
      <c r="K203" t="str">
        <f>IFERROR(IF(B203&lt;&gt;"", TEXT(VLOOKUP(B203, 'Expected Date'!A:B, 2, FALSE) + DATE(RIGHT(C203,2),MID(C203,4,2),LEFT(C203,2)), "dd/mm/yy"), ""), "")</f>
        <v>21/04/23</v>
      </c>
      <c r="L203" t="s">
        <v>38</v>
      </c>
      <c r="M203" t="s">
        <v>48</v>
      </c>
      <c r="N203" t="s">
        <v>370</v>
      </c>
      <c r="O203" t="s">
        <v>210</v>
      </c>
      <c r="P203">
        <v>23290249</v>
      </c>
      <c r="Q203" t="s">
        <v>392</v>
      </c>
      <c r="R203" t="s">
        <v>393</v>
      </c>
      <c r="S203">
        <v>3.6850000000000001</v>
      </c>
      <c r="T203">
        <v>11000</v>
      </c>
      <c r="U203">
        <v>40535</v>
      </c>
      <c r="V203" t="str">
        <f t="shared" si="57"/>
        <v>Accepted</v>
      </c>
      <c r="W203">
        <f>IFERROR(VLOOKUP(N203, Payment_Terms!A:B, 2, FALSE), "Payment term not found!")</f>
        <v>15</v>
      </c>
      <c r="X203" t="str">
        <f>IFERROR(VLOOKUP(R203, Item_Category!A:B, 2, FALSE), "Uncategorized")</f>
        <v>Coal materials</v>
      </c>
      <c r="Y203" s="5">
        <f t="shared" si="56"/>
        <v>0</v>
      </c>
      <c r="Z203">
        <f t="shared" si="62"/>
        <v>5</v>
      </c>
      <c r="AA203">
        <f t="shared" si="63"/>
        <v>22</v>
      </c>
      <c r="AB203">
        <f t="shared" si="64"/>
        <v>1</v>
      </c>
      <c r="AC203" s="10">
        <f t="shared" si="65"/>
        <v>24</v>
      </c>
      <c r="AD203" s="5">
        <f t="shared" si="58"/>
        <v>1</v>
      </c>
      <c r="AE203" s="5">
        <f t="shared" si="59"/>
        <v>1</v>
      </c>
      <c r="AF203" s="5">
        <f t="shared" si="66"/>
        <v>0</v>
      </c>
      <c r="AG203">
        <f>IF(B203&lt;&gt;"", COUNTIFS($B$2:B203, B203), "")</f>
        <v>38</v>
      </c>
      <c r="AH203">
        <f t="shared" si="67"/>
        <v>5</v>
      </c>
      <c r="AI203" t="str">
        <f>VLOOKUP(B203, Currency!A:B, 2, FALSE)</f>
        <v>INR</v>
      </c>
      <c r="AJ203">
        <f t="shared" si="60"/>
        <v>4</v>
      </c>
      <c r="AK203">
        <f t="shared" si="68"/>
        <v>4</v>
      </c>
      <c r="AL203" t="str">
        <f t="shared" si="69"/>
        <v>April</v>
      </c>
      <c r="AM203">
        <f t="shared" si="70"/>
        <v>2023</v>
      </c>
      <c r="AN203" t="str">
        <f t="shared" si="61"/>
        <v>15SKYWIN ENTERPRISE</v>
      </c>
      <c r="AO203">
        <f>IF(COUNTIF($AN$2:AN203, AN203)=1, 1, 0)</f>
        <v>0</v>
      </c>
      <c r="AP203" t="str">
        <f t="shared" si="71"/>
        <v>&gt;3</v>
      </c>
      <c r="AQ203" t="str">
        <f t="shared" si="72"/>
        <v>&gt;3</v>
      </c>
      <c r="AR203" t="str">
        <f t="shared" si="73"/>
        <v>&lt;=3</v>
      </c>
    </row>
    <row r="204" spans="1:44" x14ac:dyDescent="0.3">
      <c r="A204" t="s">
        <v>33</v>
      </c>
      <c r="B204" t="s">
        <v>513</v>
      </c>
      <c r="C204" t="s">
        <v>141</v>
      </c>
      <c r="D204">
        <v>1706</v>
      </c>
      <c r="E204">
        <v>23210132</v>
      </c>
      <c r="F204" t="s">
        <v>514</v>
      </c>
      <c r="G204" t="s">
        <v>515</v>
      </c>
      <c r="H204">
        <v>10000</v>
      </c>
      <c r="I204">
        <v>20</v>
      </c>
      <c r="J204">
        <v>200000</v>
      </c>
      <c r="K204" t="str">
        <f>IFERROR(IF(B204&lt;&gt;"", TEXT(VLOOKUP(B204, 'Expected Date'!A:B, 2, FALSE) + DATE(RIGHT(C204,2),MID(C204,4,2),LEFT(C204,2)), "dd/mm/yy"), ""), "")</f>
        <v>10/05/23</v>
      </c>
      <c r="L204" t="s">
        <v>38</v>
      </c>
      <c r="M204" t="s">
        <v>48</v>
      </c>
      <c r="N204" t="s">
        <v>342</v>
      </c>
      <c r="O204" t="s">
        <v>211</v>
      </c>
      <c r="P204">
        <v>23290253</v>
      </c>
      <c r="Q204" t="s">
        <v>514</v>
      </c>
      <c r="R204" t="s">
        <v>515</v>
      </c>
      <c r="S204">
        <v>10200</v>
      </c>
      <c r="T204">
        <v>20</v>
      </c>
      <c r="U204">
        <v>204000</v>
      </c>
      <c r="V204" t="str">
        <f t="shared" si="57"/>
        <v>Accepted</v>
      </c>
      <c r="W204">
        <f>IFERROR(VLOOKUP(N204, Payment_Terms!A:B, 2, FALSE), "Payment term not found!")</f>
        <v>30</v>
      </c>
      <c r="X204" t="str">
        <f>IFERROR(VLOOKUP(R204, Item_Category!A:B, 2, FALSE), "Uncategorized")</f>
        <v xml:space="preserve">Caustic Soda </v>
      </c>
      <c r="Y204" s="5">
        <f t="shared" si="56"/>
        <v>0</v>
      </c>
      <c r="Z204">
        <f t="shared" si="62"/>
        <v>5</v>
      </c>
      <c r="AA204">
        <f t="shared" si="63"/>
        <v>4</v>
      </c>
      <c r="AB204">
        <f t="shared" si="64"/>
        <v>4</v>
      </c>
      <c r="AC204" s="10">
        <f t="shared" si="65"/>
        <v>6</v>
      </c>
      <c r="AD204" s="5">
        <f t="shared" si="58"/>
        <v>1</v>
      </c>
      <c r="AE204" s="5">
        <f t="shared" si="59"/>
        <v>1</v>
      </c>
      <c r="AF204" s="5">
        <f t="shared" si="66"/>
        <v>0</v>
      </c>
      <c r="AG204">
        <f>IF(B204&lt;&gt;"", COUNTIFS($B$2:B204, B204), "")</f>
        <v>1</v>
      </c>
      <c r="AH204">
        <f t="shared" si="67"/>
        <v>5</v>
      </c>
      <c r="AI204" t="str">
        <f>VLOOKUP(B204, Currency!A:B, 2, FALSE)</f>
        <v>INR</v>
      </c>
      <c r="AJ204">
        <f t="shared" si="60"/>
        <v>5</v>
      </c>
      <c r="AK204">
        <f t="shared" si="68"/>
        <v>5</v>
      </c>
      <c r="AL204" t="str">
        <f t="shared" si="69"/>
        <v>May</v>
      </c>
      <c r="AM204">
        <f t="shared" si="70"/>
        <v>2023</v>
      </c>
      <c r="AN204" t="str">
        <f t="shared" si="61"/>
        <v>30J.K.Marketing</v>
      </c>
      <c r="AO204">
        <f>IF(COUNTIF($AN$2:AN204, AN204)=1, 1, 0)</f>
        <v>1</v>
      </c>
      <c r="AP204" t="str">
        <f t="shared" si="71"/>
        <v>&gt;3</v>
      </c>
      <c r="AQ204" t="str">
        <f t="shared" si="72"/>
        <v>&gt;3</v>
      </c>
      <c r="AR204" t="str">
        <f t="shared" si="73"/>
        <v>&gt;3</v>
      </c>
    </row>
    <row r="205" spans="1:44" x14ac:dyDescent="0.3">
      <c r="A205" t="s">
        <v>33</v>
      </c>
      <c r="B205" t="s">
        <v>385</v>
      </c>
      <c r="C205" t="s">
        <v>70</v>
      </c>
      <c r="D205">
        <v>1522</v>
      </c>
      <c r="E205">
        <v>23210078</v>
      </c>
      <c r="F205" t="s">
        <v>372</v>
      </c>
      <c r="G205" t="s">
        <v>373</v>
      </c>
      <c r="H205">
        <v>50</v>
      </c>
      <c r="I205">
        <v>250</v>
      </c>
      <c r="J205">
        <v>12500</v>
      </c>
      <c r="K205" t="str">
        <f>IFERROR(IF(B205&lt;&gt;"", TEXT(VLOOKUP(B205, 'Expected Date'!A:B, 2, FALSE) + DATE(RIGHT(C205,2),MID(C205,4,2),LEFT(C205,2)), "dd/mm/yy"), ""), "")</f>
        <v>04/05/23</v>
      </c>
      <c r="L205" t="s">
        <v>68</v>
      </c>
      <c r="M205" t="s">
        <v>48</v>
      </c>
      <c r="N205" t="s">
        <v>342</v>
      </c>
      <c r="O205" t="s">
        <v>50</v>
      </c>
      <c r="P205">
        <v>23290741</v>
      </c>
      <c r="Q205" t="s">
        <v>372</v>
      </c>
      <c r="R205" t="s">
        <v>373</v>
      </c>
      <c r="S205">
        <v>8.31</v>
      </c>
      <c r="T205">
        <v>250</v>
      </c>
      <c r="U205">
        <v>2077.5</v>
      </c>
      <c r="V205" t="str">
        <f t="shared" si="57"/>
        <v>Accepted</v>
      </c>
      <c r="W205">
        <f>IFERROR(VLOOKUP(N205, Payment_Terms!A:B, 2, FALSE), "Payment term not found!")</f>
        <v>30</v>
      </c>
      <c r="X205" t="str">
        <f>IFERROR(VLOOKUP(R205, Item_Category!A:B, 2, FALSE), "Uncategorized")</f>
        <v>HCL</v>
      </c>
      <c r="Y205" s="5">
        <f t="shared" si="56"/>
        <v>0.43</v>
      </c>
      <c r="Z205">
        <f t="shared" si="62"/>
        <v>1</v>
      </c>
      <c r="AA205">
        <f t="shared" si="63"/>
        <v>68</v>
      </c>
      <c r="AB205">
        <f t="shared" si="64"/>
        <v>1</v>
      </c>
      <c r="AC205" s="10">
        <f t="shared" si="65"/>
        <v>78</v>
      </c>
      <c r="AD205" s="5">
        <f t="shared" si="58"/>
        <v>1</v>
      </c>
      <c r="AE205" s="5">
        <f t="shared" si="59"/>
        <v>1</v>
      </c>
      <c r="AF205" s="5">
        <f t="shared" si="66"/>
        <v>0</v>
      </c>
      <c r="AG205">
        <f>IF(B205&lt;&gt;"", COUNTIFS($B$2:B205, B205), "")</f>
        <v>3</v>
      </c>
      <c r="AH205">
        <f t="shared" si="67"/>
        <v>5</v>
      </c>
      <c r="AI205" t="str">
        <f>VLOOKUP(B205, Currency!A:B, 2, FALSE)</f>
        <v>INR</v>
      </c>
      <c r="AJ205">
        <f t="shared" si="60"/>
        <v>3</v>
      </c>
      <c r="AK205">
        <f t="shared" si="68"/>
        <v>4</v>
      </c>
      <c r="AL205" t="str">
        <f t="shared" si="69"/>
        <v>April</v>
      </c>
      <c r="AM205">
        <f t="shared" si="70"/>
        <v>2023</v>
      </c>
      <c r="AN205" t="str">
        <f t="shared" si="61"/>
        <v>30Duttchem Enterprise</v>
      </c>
      <c r="AO205">
        <f>IF(COUNTIF($AN$2:AN205, AN205)=1, 1, 0)</f>
        <v>0</v>
      </c>
      <c r="AP205" t="str">
        <f t="shared" si="71"/>
        <v>&gt;3</v>
      </c>
      <c r="AQ205" t="str">
        <f t="shared" si="72"/>
        <v>&lt;=3</v>
      </c>
      <c r="AR205" t="str">
        <f t="shared" si="73"/>
        <v>&lt;=3</v>
      </c>
    </row>
    <row r="206" spans="1:44" x14ac:dyDescent="0.3">
      <c r="A206" t="str">
        <f>A22</f>
        <v>Woodpulp</v>
      </c>
      <c r="B206" t="s">
        <v>96</v>
      </c>
      <c r="C206" t="s">
        <v>97</v>
      </c>
      <c r="D206">
        <v>1235</v>
      </c>
      <c r="E206">
        <v>23220004</v>
      </c>
      <c r="F206" t="s">
        <v>443</v>
      </c>
      <c r="G206" t="s">
        <v>99</v>
      </c>
      <c r="H206">
        <v>52</v>
      </c>
      <c r="I206">
        <v>820</v>
      </c>
      <c r="J206">
        <v>3458104</v>
      </c>
      <c r="K206" t="str">
        <f>IFERROR(IF(B206&lt;&gt;"", TEXT(VLOOKUP(B206, 'Expected Date'!A:B, 2, FALSE) + DATE(RIGHT(C206,2),MID(C206,4,2),LEFT(C206,2)), "dd/mm/yy"), ""), "")</f>
        <v>10/06/23</v>
      </c>
      <c r="L206" t="s">
        <v>38</v>
      </c>
      <c r="M206" t="str">
        <f>M73</f>
        <v>MT</v>
      </c>
      <c r="N206" t="s">
        <v>102</v>
      </c>
      <c r="O206" t="s">
        <v>493</v>
      </c>
      <c r="P206">
        <v>23291309</v>
      </c>
      <c r="Q206" t="s">
        <v>443</v>
      </c>
      <c r="R206" t="s">
        <v>444</v>
      </c>
      <c r="S206">
        <v>52.685000000000002</v>
      </c>
      <c r="T206">
        <v>820</v>
      </c>
      <c r="U206">
        <v>3551179.74</v>
      </c>
      <c r="V206" t="str">
        <f t="shared" si="57"/>
        <v>Accepted</v>
      </c>
      <c r="W206">
        <f>IFERROR(VLOOKUP(N206, Payment_Terms!A:B, 2, FALSE), "Payment term not found!")</f>
        <v>60</v>
      </c>
      <c r="X206" t="str">
        <f>IFERROR(VLOOKUP(R206, Item_Category!A:B, 2, FALSE), "Uncategorized")</f>
        <v>Wood pulp</v>
      </c>
      <c r="Y206" s="5">
        <f t="shared" si="56"/>
        <v>0</v>
      </c>
      <c r="Z206">
        <f t="shared" si="62"/>
        <v>5</v>
      </c>
      <c r="AA206">
        <f t="shared" si="63"/>
        <v>85</v>
      </c>
      <c r="AB206">
        <f t="shared" si="64"/>
        <v>1</v>
      </c>
      <c r="AC206" s="10">
        <f t="shared" si="65"/>
        <v>145</v>
      </c>
      <c r="AD206" s="5">
        <f t="shared" si="58"/>
        <v>1</v>
      </c>
      <c r="AE206" s="5">
        <f t="shared" si="59"/>
        <v>1</v>
      </c>
      <c r="AF206" s="5">
        <f t="shared" si="66"/>
        <v>0</v>
      </c>
      <c r="AG206">
        <f>IF(B206&lt;&gt;"", COUNTIFS($B$2:B206, B206), "")</f>
        <v>6</v>
      </c>
      <c r="AH206">
        <f t="shared" si="67"/>
        <v>5</v>
      </c>
      <c r="AI206" t="str">
        <f>VLOOKUP(B206, Currency!A:B, 2, FALSE)</f>
        <v>USD</v>
      </c>
      <c r="AJ206">
        <f t="shared" si="60"/>
        <v>4</v>
      </c>
      <c r="AK206">
        <f t="shared" si="68"/>
        <v>4</v>
      </c>
      <c r="AL206" t="str">
        <f t="shared" si="69"/>
        <v>April</v>
      </c>
      <c r="AM206">
        <f t="shared" si="70"/>
        <v>2023</v>
      </c>
      <c r="AN206" t="str">
        <f t="shared" si="61"/>
        <v>60G P Cellulose GMBH</v>
      </c>
      <c r="AO206">
        <f>IF(COUNTIF($AN$2:AN206, AN206)=1, 1, 0)</f>
        <v>0</v>
      </c>
      <c r="AP206" t="str">
        <f t="shared" si="71"/>
        <v>&gt;3</v>
      </c>
      <c r="AQ206" t="str">
        <f t="shared" si="72"/>
        <v>&gt;3</v>
      </c>
      <c r="AR206" t="str">
        <f t="shared" si="73"/>
        <v>&lt;=3</v>
      </c>
    </row>
    <row r="207" spans="1:44" x14ac:dyDescent="0.3">
      <c r="A207" t="str">
        <f>A192</f>
        <v>Woodpulp</v>
      </c>
      <c r="B207" t="s">
        <v>140</v>
      </c>
      <c r="C207" t="s">
        <v>198</v>
      </c>
      <c r="D207">
        <v>3454</v>
      </c>
      <c r="E207">
        <v>23220053</v>
      </c>
      <c r="F207" t="s">
        <v>359</v>
      </c>
      <c r="G207" t="s">
        <v>360</v>
      </c>
      <c r="H207">
        <v>100</v>
      </c>
      <c r="I207">
        <v>830</v>
      </c>
      <c r="J207">
        <v>6739600</v>
      </c>
      <c r="K207" t="str">
        <f>IFERROR(IF(B207&lt;&gt;"", TEXT(VLOOKUP(B207, 'Expected Date'!A:B, 2, FALSE) + DATE(RIGHT(C207,2),MID(C207,4,2),LEFT(C207,2)), "dd/mm/yy"), ""), "")</f>
        <v>14/09/23</v>
      </c>
      <c r="L207" t="s">
        <v>68</v>
      </c>
      <c r="M207" t="str">
        <f>M73</f>
        <v>MT</v>
      </c>
      <c r="N207" t="s">
        <v>245</v>
      </c>
      <c r="O207" t="s">
        <v>52</v>
      </c>
      <c r="P207">
        <v>23291103</v>
      </c>
      <c r="Q207" t="s">
        <v>359</v>
      </c>
      <c r="R207" t="s">
        <v>360</v>
      </c>
      <c r="S207">
        <v>98.004000000000005</v>
      </c>
      <c r="T207">
        <v>830</v>
      </c>
      <c r="U207">
        <v>6662017.9100000001</v>
      </c>
      <c r="V207" t="str">
        <f t="shared" si="57"/>
        <v>Accepted</v>
      </c>
      <c r="W207">
        <f>IFERROR(VLOOKUP(N207, Payment_Terms!A:B, 2, FALSE), "Payment term not found!")</f>
        <v>0</v>
      </c>
      <c r="X207" t="str">
        <f>IFERROR(VLOOKUP(R207, Item_Category!A:B, 2, FALSE), "Uncategorized")</f>
        <v>Wood pulp</v>
      </c>
      <c r="Y207" s="5">
        <f t="shared" si="56"/>
        <v>1.995999999999995E-2</v>
      </c>
      <c r="Z207">
        <f t="shared" si="62"/>
        <v>4</v>
      </c>
      <c r="AA207">
        <f t="shared" si="63"/>
        <v>-29</v>
      </c>
      <c r="AB207">
        <f t="shared" si="64"/>
        <v>5</v>
      </c>
      <c r="AC207" s="10">
        <f t="shared" si="65"/>
        <v>16</v>
      </c>
      <c r="AD207" s="5">
        <f t="shared" si="58"/>
        <v>1</v>
      </c>
      <c r="AE207" s="5">
        <f t="shared" si="59"/>
        <v>1</v>
      </c>
      <c r="AF207" s="5">
        <f t="shared" si="66"/>
        <v>0</v>
      </c>
      <c r="AG207">
        <f>IF(B207&lt;&gt;"", COUNTIFS($B$2:B207, B207), "")</f>
        <v>6</v>
      </c>
      <c r="AH207">
        <f t="shared" si="67"/>
        <v>5</v>
      </c>
      <c r="AI207" t="str">
        <f>VLOOKUP(B207, Currency!A:B, 2, FALSE)</f>
        <v>USD</v>
      </c>
      <c r="AJ207">
        <f t="shared" si="60"/>
        <v>5</v>
      </c>
      <c r="AK207">
        <f t="shared" si="68"/>
        <v>7</v>
      </c>
      <c r="AL207" t="str">
        <f t="shared" si="69"/>
        <v>July</v>
      </c>
      <c r="AM207">
        <f t="shared" si="70"/>
        <v>2023</v>
      </c>
      <c r="AN207" t="str">
        <f t="shared" si="61"/>
        <v>0Sappi Paper Holdings GMBH</v>
      </c>
      <c r="AO207">
        <f>IF(COUNTIF($AN$2:AN207, AN207)=1, 1, 0)</f>
        <v>1</v>
      </c>
      <c r="AP207" t="str">
        <f t="shared" si="71"/>
        <v>&gt;3</v>
      </c>
      <c r="AQ207" t="str">
        <f t="shared" si="72"/>
        <v>&gt;3</v>
      </c>
      <c r="AR207" t="str">
        <f t="shared" si="73"/>
        <v>&gt;3</v>
      </c>
    </row>
    <row r="208" spans="1:44" x14ac:dyDescent="0.3">
      <c r="A208" t="s">
        <v>33</v>
      </c>
      <c r="B208" t="s">
        <v>358</v>
      </c>
      <c r="C208" t="s">
        <v>229</v>
      </c>
      <c r="D208">
        <v>4731</v>
      </c>
      <c r="E208">
        <v>23220071</v>
      </c>
      <c r="F208" t="s">
        <v>389</v>
      </c>
      <c r="G208" t="s">
        <v>390</v>
      </c>
      <c r="H208">
        <v>30</v>
      </c>
      <c r="I208">
        <v>91510</v>
      </c>
      <c r="J208">
        <v>2745300</v>
      </c>
      <c r="K208" t="str">
        <f>IFERROR(IF(B208&lt;&gt;"", TEXT(VLOOKUP(B208, 'Expected Date'!A:B, 2, FALSE) + DATE(RIGHT(C208,2),MID(C208,4,2),LEFT(C208,2)), "dd/mm/yy"), ""), "")</f>
        <v>02/10/23</v>
      </c>
      <c r="L208" t="s">
        <v>68</v>
      </c>
      <c r="M208" t="s">
        <v>48</v>
      </c>
      <c r="N208" t="s">
        <v>361</v>
      </c>
      <c r="O208" t="s">
        <v>230</v>
      </c>
      <c r="P208">
        <v>23291583</v>
      </c>
      <c r="Q208" t="s">
        <v>389</v>
      </c>
      <c r="R208" t="s">
        <v>390</v>
      </c>
      <c r="S208">
        <v>26.94</v>
      </c>
      <c r="T208">
        <v>91510</v>
      </c>
      <c r="U208">
        <v>2465279.4</v>
      </c>
      <c r="V208" t="str">
        <f t="shared" si="57"/>
        <v>Accepted</v>
      </c>
      <c r="W208">
        <f>IFERROR(VLOOKUP(N208, Payment_Terms!A:B, 2, FALSE), "Payment term not found!")</f>
        <v>0</v>
      </c>
      <c r="X208" t="str">
        <f>IFERROR(VLOOKUP(R208, Item_Category!A:B, 2, FALSE), "Uncategorized")</f>
        <v>Wood pulp</v>
      </c>
      <c r="Y208" s="5">
        <f t="shared" si="56"/>
        <v>0.10199999999999995</v>
      </c>
      <c r="Z208">
        <f t="shared" si="62"/>
        <v>1</v>
      </c>
      <c r="AA208">
        <f t="shared" si="63"/>
        <v>1</v>
      </c>
      <c r="AB208">
        <f t="shared" si="64"/>
        <v>5</v>
      </c>
      <c r="AC208" s="10">
        <f t="shared" si="65"/>
        <v>3</v>
      </c>
      <c r="AD208" s="5">
        <f t="shared" si="58"/>
        <v>1</v>
      </c>
      <c r="AE208" s="5">
        <f t="shared" si="59"/>
        <v>1</v>
      </c>
      <c r="AF208" s="5">
        <f t="shared" si="66"/>
        <v>0</v>
      </c>
      <c r="AG208">
        <f>IF(B208&lt;&gt;"", COUNTIFS($B$2:B208, B208), "")</f>
        <v>2</v>
      </c>
      <c r="AH208">
        <f t="shared" si="67"/>
        <v>5</v>
      </c>
      <c r="AI208" t="str">
        <f>VLOOKUP(B208, Currency!A:B, 2, FALSE)</f>
        <v>INR</v>
      </c>
      <c r="AJ208">
        <f t="shared" si="60"/>
        <v>4</v>
      </c>
      <c r="AK208">
        <f t="shared" si="68"/>
        <v>9</v>
      </c>
      <c r="AL208" t="str">
        <f t="shared" si="69"/>
        <v>September</v>
      </c>
      <c r="AM208">
        <f t="shared" si="70"/>
        <v>2023</v>
      </c>
      <c r="AN208" t="str">
        <f t="shared" si="61"/>
        <v>0Sigachi Industries Limited</v>
      </c>
      <c r="AO208">
        <f>IF(COUNTIF($AN$2:AN208, AN208)=1, 1, 0)</f>
        <v>0</v>
      </c>
      <c r="AP208" t="str">
        <f t="shared" si="71"/>
        <v>&gt;3</v>
      </c>
      <c r="AQ208" t="str">
        <f t="shared" si="72"/>
        <v>&lt;=3</v>
      </c>
      <c r="AR208" t="str">
        <f t="shared" si="73"/>
        <v>&gt;3</v>
      </c>
    </row>
    <row r="209" spans="1:44" x14ac:dyDescent="0.3">
      <c r="A209" t="s">
        <v>33</v>
      </c>
      <c r="B209" t="s">
        <v>366</v>
      </c>
      <c r="C209" t="s">
        <v>477</v>
      </c>
      <c r="D209">
        <v>1551</v>
      </c>
      <c r="E209">
        <v>23210088</v>
      </c>
      <c r="F209" t="s">
        <v>392</v>
      </c>
      <c r="G209" t="s">
        <v>393</v>
      </c>
      <c r="H209">
        <v>50</v>
      </c>
      <c r="I209">
        <v>11000</v>
      </c>
      <c r="J209">
        <v>550000</v>
      </c>
      <c r="K209" t="str">
        <f>IFERROR(IF(B209&lt;&gt;"", TEXT(VLOOKUP(B209, 'Expected Date'!A:B, 2, FALSE) + DATE(RIGHT(C209,2),MID(C209,4,2),LEFT(C209,2)), "dd/mm/yy"), ""), "")</f>
        <v>28/04/23</v>
      </c>
      <c r="L209" t="s">
        <v>38</v>
      </c>
      <c r="M209" t="s">
        <v>48</v>
      </c>
      <c r="N209" t="s">
        <v>370</v>
      </c>
      <c r="O209" t="s">
        <v>210</v>
      </c>
      <c r="P209">
        <v>23290249</v>
      </c>
      <c r="Q209" t="s">
        <v>392</v>
      </c>
      <c r="R209" t="s">
        <v>393</v>
      </c>
      <c r="S209">
        <v>28.164999999999999</v>
      </c>
      <c r="T209">
        <v>11000</v>
      </c>
      <c r="U209">
        <v>309815</v>
      </c>
      <c r="V209" t="str">
        <f t="shared" si="57"/>
        <v>Accepted</v>
      </c>
      <c r="W209">
        <f>IFERROR(VLOOKUP(N209, Payment_Terms!A:B, 2, FALSE), "Payment term not found!")</f>
        <v>15</v>
      </c>
      <c r="X209" t="str">
        <f>IFERROR(VLOOKUP(R209, Item_Category!A:B, 2, FALSE), "Uncategorized")</f>
        <v>Coal materials</v>
      </c>
      <c r="Y209" s="5">
        <f t="shared" si="56"/>
        <v>0</v>
      </c>
      <c r="Z209">
        <f t="shared" si="62"/>
        <v>5</v>
      </c>
      <c r="AA209">
        <f t="shared" si="63"/>
        <v>15</v>
      </c>
      <c r="AB209">
        <f t="shared" si="64"/>
        <v>1</v>
      </c>
      <c r="AC209" s="10">
        <f t="shared" si="65"/>
        <v>17</v>
      </c>
      <c r="AD209" s="5">
        <f t="shared" si="58"/>
        <v>1</v>
      </c>
      <c r="AE209" s="5">
        <f t="shared" si="59"/>
        <v>1</v>
      </c>
      <c r="AF209" s="5">
        <f t="shared" si="66"/>
        <v>0</v>
      </c>
      <c r="AG209">
        <f>IF(B209&lt;&gt;"", COUNTIFS($B$2:B209, B209), "")</f>
        <v>39</v>
      </c>
      <c r="AH209">
        <f t="shared" si="67"/>
        <v>5</v>
      </c>
      <c r="AI209" t="str">
        <f>VLOOKUP(B209, Currency!A:B, 2, FALSE)</f>
        <v>INR</v>
      </c>
      <c r="AJ209">
        <f t="shared" si="60"/>
        <v>4</v>
      </c>
      <c r="AK209">
        <f t="shared" si="68"/>
        <v>4</v>
      </c>
      <c r="AL209" t="str">
        <f t="shared" si="69"/>
        <v>April</v>
      </c>
      <c r="AM209">
        <f t="shared" si="70"/>
        <v>2023</v>
      </c>
      <c r="AN209" t="str">
        <f t="shared" si="61"/>
        <v>15SKYWIN ENTERPRISE</v>
      </c>
      <c r="AO209">
        <f>IF(COUNTIF($AN$2:AN209, AN209)=1, 1, 0)</f>
        <v>0</v>
      </c>
      <c r="AP209" t="str">
        <f t="shared" si="71"/>
        <v>&gt;3</v>
      </c>
      <c r="AQ209" t="str">
        <f t="shared" si="72"/>
        <v>&gt;3</v>
      </c>
      <c r="AR209" t="str">
        <f t="shared" si="73"/>
        <v>&lt;=3</v>
      </c>
    </row>
    <row r="210" spans="1:44" x14ac:dyDescent="0.3">
      <c r="A210" t="s">
        <v>111</v>
      </c>
      <c r="B210" t="s">
        <v>296</v>
      </c>
      <c r="C210" t="s">
        <v>201</v>
      </c>
      <c r="D210">
        <v>2776</v>
      </c>
      <c r="E210">
        <v>23210351</v>
      </c>
      <c r="F210" t="s">
        <v>445</v>
      </c>
      <c r="G210" t="s">
        <v>446</v>
      </c>
      <c r="H210">
        <v>4000</v>
      </c>
      <c r="I210">
        <v>205</v>
      </c>
      <c r="J210">
        <v>820000</v>
      </c>
      <c r="K210" t="str">
        <f>IFERROR(IF(B210&lt;&gt;"", TEXT(VLOOKUP(B210, 'Expected Date'!A:B, 2, FALSE) + DATE(RIGHT(C210,2),MID(C210,4,2),LEFT(C210,2)), "dd/mm/yy"), ""), "")</f>
        <v>16/07/23</v>
      </c>
      <c r="L210" t="s">
        <v>68</v>
      </c>
      <c r="M210" t="s">
        <v>48</v>
      </c>
      <c r="N210" t="s">
        <v>299</v>
      </c>
      <c r="O210" t="s">
        <v>162</v>
      </c>
      <c r="P210">
        <v>23290646</v>
      </c>
      <c r="Q210" t="s">
        <v>445</v>
      </c>
      <c r="R210" t="s">
        <v>446</v>
      </c>
      <c r="S210">
        <v>3000</v>
      </c>
      <c r="T210">
        <v>205</v>
      </c>
      <c r="U210">
        <v>615000</v>
      </c>
      <c r="V210" t="str">
        <f t="shared" si="57"/>
        <v>Accepted</v>
      </c>
      <c r="W210">
        <f>IFERROR(VLOOKUP(N210, Payment_Terms!A:B, 2, FALSE), "Payment term not found!")</f>
        <v>60</v>
      </c>
      <c r="X210" t="str">
        <f>IFERROR(VLOOKUP(R210, Item_Category!A:B, 2, FALSE), "Uncategorized")</f>
        <v>SSG - Potato</v>
      </c>
      <c r="Y210" s="5">
        <f t="shared" si="56"/>
        <v>0.25</v>
      </c>
      <c r="Z210">
        <f t="shared" si="62"/>
        <v>1</v>
      </c>
      <c r="AA210">
        <f t="shared" si="63"/>
        <v>-17</v>
      </c>
      <c r="AB210">
        <f t="shared" si="64"/>
        <v>5</v>
      </c>
      <c r="AC210" s="10">
        <f t="shared" si="65"/>
        <v>2</v>
      </c>
      <c r="AD210" s="5">
        <f t="shared" si="58"/>
        <v>1</v>
      </c>
      <c r="AE210" s="5">
        <f t="shared" si="59"/>
        <v>1</v>
      </c>
      <c r="AF210" s="5">
        <f t="shared" si="66"/>
        <v>0</v>
      </c>
      <c r="AG210">
        <f>IF(B210&lt;&gt;"", COUNTIFS($B$2:B210, B210), "")</f>
        <v>7</v>
      </c>
      <c r="AH210">
        <f t="shared" si="67"/>
        <v>5</v>
      </c>
      <c r="AI210" t="str">
        <f>VLOOKUP(B210, Currency!A:B, 2, FALSE)</f>
        <v>INR</v>
      </c>
      <c r="AJ210">
        <f t="shared" si="60"/>
        <v>4</v>
      </c>
      <c r="AK210">
        <f t="shared" si="68"/>
        <v>7</v>
      </c>
      <c r="AL210" t="str">
        <f t="shared" si="69"/>
        <v>July</v>
      </c>
      <c r="AM210">
        <f t="shared" si="70"/>
        <v>2023</v>
      </c>
      <c r="AN210" t="str">
        <f t="shared" si="61"/>
        <v>60Ascot Pharmachem Pvt Ltd</v>
      </c>
      <c r="AO210">
        <f>IF(COUNTIF($AN$2:AN210, AN210)=1, 1, 0)</f>
        <v>1</v>
      </c>
      <c r="AP210" t="str">
        <f t="shared" si="71"/>
        <v>&gt;3</v>
      </c>
      <c r="AQ210" t="str">
        <f t="shared" si="72"/>
        <v>&lt;=3</v>
      </c>
      <c r="AR210" t="str">
        <f t="shared" si="73"/>
        <v>&gt;3</v>
      </c>
    </row>
    <row r="211" spans="1:44" x14ac:dyDescent="0.3">
      <c r="A211" t="s">
        <v>33</v>
      </c>
      <c r="B211" t="s">
        <v>386</v>
      </c>
      <c r="C211" t="s">
        <v>238</v>
      </c>
      <c r="D211">
        <v>1760</v>
      </c>
      <c r="E211">
        <v>23210140</v>
      </c>
      <c r="F211" t="s">
        <v>410</v>
      </c>
      <c r="G211" t="s">
        <v>411</v>
      </c>
      <c r="H211">
        <v>510</v>
      </c>
      <c r="I211">
        <v>129</v>
      </c>
      <c r="J211">
        <v>65790</v>
      </c>
      <c r="K211" t="str">
        <f>IFERROR(IF(B211&lt;&gt;"", TEXT(VLOOKUP(B211, 'Expected Date'!A:B, 2, FALSE) + DATE(RIGHT(C211,2),MID(C211,4,2),LEFT(C211,2)), "dd/mm/yy"), ""), "")</f>
        <v>09/05/23</v>
      </c>
      <c r="L211" t="s">
        <v>38</v>
      </c>
      <c r="M211" t="s">
        <v>48</v>
      </c>
      <c r="N211" t="s">
        <v>342</v>
      </c>
      <c r="O211" t="s">
        <v>145</v>
      </c>
      <c r="P211">
        <v>23290232</v>
      </c>
      <c r="Q211" t="s">
        <v>410</v>
      </c>
      <c r="R211" t="s">
        <v>411</v>
      </c>
      <c r="S211">
        <v>510</v>
      </c>
      <c r="T211">
        <v>129</v>
      </c>
      <c r="U211">
        <v>65790</v>
      </c>
      <c r="V211" t="str">
        <f t="shared" si="57"/>
        <v>Accepted</v>
      </c>
      <c r="W211">
        <f>IFERROR(VLOOKUP(N211, Payment_Terms!A:B, 2, FALSE), "Payment term not found!")</f>
        <v>30</v>
      </c>
      <c r="X211" t="str">
        <f>IFERROR(VLOOKUP(R211, Item_Category!A:B, 2, FALSE), "Uncategorized")</f>
        <v>Wrapping 23</v>
      </c>
      <c r="Y211" s="5">
        <f t="shared" si="56"/>
        <v>0</v>
      </c>
      <c r="Z211">
        <f t="shared" si="62"/>
        <v>5</v>
      </c>
      <c r="AA211">
        <f t="shared" si="63"/>
        <v>-2</v>
      </c>
      <c r="AB211">
        <f t="shared" si="64"/>
        <v>5</v>
      </c>
      <c r="AC211" s="10">
        <f t="shared" si="65"/>
        <v>3</v>
      </c>
      <c r="AD211" s="5">
        <f t="shared" si="58"/>
        <v>1</v>
      </c>
      <c r="AE211" s="5">
        <f t="shared" si="59"/>
        <v>1</v>
      </c>
      <c r="AF211" s="5">
        <f t="shared" si="66"/>
        <v>0</v>
      </c>
      <c r="AG211">
        <f>IF(B211&lt;&gt;"", COUNTIFS($B$2:B211, B211), "")</f>
        <v>15</v>
      </c>
      <c r="AH211">
        <f t="shared" si="67"/>
        <v>5</v>
      </c>
      <c r="AI211" t="str">
        <f>VLOOKUP(B211, Currency!A:B, 2, FALSE)</f>
        <v>INR</v>
      </c>
      <c r="AJ211">
        <f t="shared" si="60"/>
        <v>5</v>
      </c>
      <c r="AK211">
        <f t="shared" si="68"/>
        <v>5</v>
      </c>
      <c r="AL211" t="str">
        <f t="shared" si="69"/>
        <v>May</v>
      </c>
      <c r="AM211">
        <f t="shared" si="70"/>
        <v>2023</v>
      </c>
      <c r="AN211" t="str">
        <f t="shared" si="61"/>
        <v>30Shree Shyam Enterprises</v>
      </c>
      <c r="AO211">
        <f>IF(COUNTIF($AN$2:AN211, AN211)=1, 1, 0)</f>
        <v>0</v>
      </c>
      <c r="AP211" t="str">
        <f t="shared" si="71"/>
        <v>&gt;3</v>
      </c>
      <c r="AQ211" t="str">
        <f t="shared" si="72"/>
        <v>&gt;3</v>
      </c>
      <c r="AR211" t="str">
        <f t="shared" si="73"/>
        <v>&gt;3</v>
      </c>
    </row>
    <row r="212" spans="1:44" x14ac:dyDescent="0.3">
      <c r="A212" t="s">
        <v>33</v>
      </c>
      <c r="B212" t="s">
        <v>382</v>
      </c>
      <c r="C212" t="s">
        <v>141</v>
      </c>
      <c r="D212">
        <v>1705</v>
      </c>
      <c r="E212">
        <v>23210131</v>
      </c>
      <c r="F212" t="s">
        <v>383</v>
      </c>
      <c r="G212" t="s">
        <v>384</v>
      </c>
      <c r="H212">
        <v>250</v>
      </c>
      <c r="I212">
        <v>96</v>
      </c>
      <c r="J212">
        <v>24000</v>
      </c>
      <c r="K212" t="str">
        <f>IFERROR(IF(B212&lt;&gt;"", TEXT(VLOOKUP(B212, 'Expected Date'!A:B, 2, FALSE) + DATE(RIGHT(C212,2),MID(C212,4,2),LEFT(C212,2)), "dd/mm/yy"), ""), "")</f>
        <v>18/05/23</v>
      </c>
      <c r="L212" t="s">
        <v>38</v>
      </c>
      <c r="M212" t="s">
        <v>48</v>
      </c>
      <c r="N212" t="s">
        <v>342</v>
      </c>
      <c r="O212" t="s">
        <v>146</v>
      </c>
      <c r="P212">
        <v>23290235</v>
      </c>
      <c r="Q212" t="s">
        <v>383</v>
      </c>
      <c r="R212" t="s">
        <v>384</v>
      </c>
      <c r="S212">
        <v>250</v>
      </c>
      <c r="T212">
        <v>96</v>
      </c>
      <c r="U212">
        <v>24000</v>
      </c>
      <c r="V212" t="str">
        <f t="shared" si="57"/>
        <v>Accepted</v>
      </c>
      <c r="W212">
        <f>IFERROR(VLOOKUP(N212, Payment_Terms!A:B, 2, FALSE), "Payment term not found!")</f>
        <v>30</v>
      </c>
      <c r="X212" t="str">
        <f>IFERROR(VLOOKUP(R212, Item_Category!A:B, 2, FALSE), "Uncategorized")</f>
        <v>Gas</v>
      </c>
      <c r="Y212" s="5">
        <f t="shared" si="56"/>
        <v>0</v>
      </c>
      <c r="Z212">
        <f t="shared" si="62"/>
        <v>5</v>
      </c>
      <c r="AA212">
        <f t="shared" si="63"/>
        <v>-9</v>
      </c>
      <c r="AB212">
        <f t="shared" si="64"/>
        <v>5</v>
      </c>
      <c r="AC212" s="10">
        <f t="shared" si="65"/>
        <v>1</v>
      </c>
      <c r="AD212" s="5">
        <f t="shared" si="58"/>
        <v>1</v>
      </c>
      <c r="AE212" s="5">
        <f t="shared" si="59"/>
        <v>1</v>
      </c>
      <c r="AF212" s="5">
        <f t="shared" si="66"/>
        <v>0</v>
      </c>
      <c r="AG212">
        <f>IF(B212&lt;&gt;"", COUNTIFS($B$2:B212, B212), "")</f>
        <v>14</v>
      </c>
      <c r="AH212">
        <f t="shared" si="67"/>
        <v>5</v>
      </c>
      <c r="AI212" t="str">
        <f>VLOOKUP(B212, Currency!A:B, 2, FALSE)</f>
        <v>INR</v>
      </c>
      <c r="AJ212">
        <f t="shared" si="60"/>
        <v>5</v>
      </c>
      <c r="AK212">
        <f t="shared" si="68"/>
        <v>5</v>
      </c>
      <c r="AL212" t="str">
        <f t="shared" si="69"/>
        <v>May</v>
      </c>
      <c r="AM212">
        <f t="shared" si="70"/>
        <v>2023</v>
      </c>
      <c r="AN212" t="str">
        <f t="shared" si="61"/>
        <v>30Aerochem Laboratories</v>
      </c>
      <c r="AO212">
        <f>IF(COUNTIF($AN$2:AN212, AN212)=1, 1, 0)</f>
        <v>0</v>
      </c>
      <c r="AP212" t="str">
        <f t="shared" si="71"/>
        <v>&gt;3</v>
      </c>
      <c r="AQ212" t="str">
        <f t="shared" si="72"/>
        <v>&gt;3</v>
      </c>
      <c r="AR212" t="str">
        <f t="shared" si="73"/>
        <v>&gt;3</v>
      </c>
    </row>
    <row r="213" spans="1:44" x14ac:dyDescent="0.3">
      <c r="A213" t="s">
        <v>33</v>
      </c>
      <c r="B213" t="s">
        <v>353</v>
      </c>
      <c r="C213" t="s">
        <v>269</v>
      </c>
      <c r="D213">
        <v>2139</v>
      </c>
      <c r="E213">
        <v>23210186</v>
      </c>
      <c r="F213" t="s">
        <v>355</v>
      </c>
      <c r="G213" t="s">
        <v>356</v>
      </c>
      <c r="H213">
        <v>40000</v>
      </c>
      <c r="I213">
        <v>1.1000000000000001</v>
      </c>
      <c r="J213">
        <v>44000</v>
      </c>
      <c r="K213" t="str">
        <f>IFERROR(IF(B213&lt;&gt;"", TEXT(VLOOKUP(B213, 'Expected Date'!A:B, 2, FALSE) + DATE(RIGHT(C213,2),MID(C213,4,2),LEFT(C213,2)), "dd/mm/yy"), ""), "")</f>
        <v>17/05/23</v>
      </c>
      <c r="L213" t="s">
        <v>68</v>
      </c>
      <c r="M213" t="s">
        <v>48</v>
      </c>
      <c r="N213" t="s">
        <v>342</v>
      </c>
      <c r="O213" t="s">
        <v>224</v>
      </c>
      <c r="P213">
        <v>23290432</v>
      </c>
      <c r="Q213" t="s">
        <v>355</v>
      </c>
      <c r="R213" t="s">
        <v>356</v>
      </c>
      <c r="S213">
        <v>9000</v>
      </c>
      <c r="T213">
        <v>1.1000000000000001</v>
      </c>
      <c r="U213">
        <v>9900</v>
      </c>
      <c r="V213" t="str">
        <f t="shared" si="57"/>
        <v>Accepted</v>
      </c>
      <c r="W213">
        <f>IFERROR(VLOOKUP(N213, Payment_Terms!A:B, 2, FALSE), "Payment term not found!")</f>
        <v>30</v>
      </c>
      <c r="X213" t="str">
        <f>IFERROR(VLOOKUP(R213, Item_Category!A:B, 2, FALSE), "Uncategorized")</f>
        <v>Sticker</v>
      </c>
      <c r="Y213" s="5">
        <f t="shared" si="56"/>
        <v>0.27500000000000002</v>
      </c>
      <c r="Z213">
        <f t="shared" si="62"/>
        <v>1</v>
      </c>
      <c r="AA213">
        <f t="shared" si="63"/>
        <v>1</v>
      </c>
      <c r="AB213">
        <f t="shared" si="64"/>
        <v>5</v>
      </c>
      <c r="AC213" s="10">
        <f t="shared" si="65"/>
        <v>3</v>
      </c>
      <c r="AD213" s="5">
        <f t="shared" si="58"/>
        <v>1</v>
      </c>
      <c r="AE213" s="5">
        <f t="shared" si="59"/>
        <v>1</v>
      </c>
      <c r="AF213" s="5">
        <f t="shared" si="66"/>
        <v>0</v>
      </c>
      <c r="AG213">
        <f>IF(B213&lt;&gt;"", COUNTIFS($B$2:B213, B213), "")</f>
        <v>5</v>
      </c>
      <c r="AH213">
        <f t="shared" si="67"/>
        <v>5</v>
      </c>
      <c r="AI213" t="str">
        <f>VLOOKUP(B213, Currency!A:B, 2, FALSE)</f>
        <v>INR</v>
      </c>
      <c r="AJ213">
        <f t="shared" si="60"/>
        <v>4</v>
      </c>
      <c r="AK213">
        <f t="shared" si="68"/>
        <v>5</v>
      </c>
      <c r="AL213" t="str">
        <f t="shared" si="69"/>
        <v>May</v>
      </c>
      <c r="AM213">
        <f t="shared" si="70"/>
        <v>2023</v>
      </c>
      <c r="AN213" t="str">
        <f t="shared" si="61"/>
        <v>30Akar Multi Form</v>
      </c>
      <c r="AO213">
        <f>IF(COUNTIF($AN$2:AN213, AN213)=1, 1, 0)</f>
        <v>0</v>
      </c>
      <c r="AP213" t="str">
        <f t="shared" si="71"/>
        <v>&gt;3</v>
      </c>
      <c r="AQ213" t="str">
        <f t="shared" si="72"/>
        <v>&lt;=3</v>
      </c>
      <c r="AR213" t="str">
        <f t="shared" si="73"/>
        <v>&gt;3</v>
      </c>
    </row>
    <row r="214" spans="1:44" x14ac:dyDescent="0.3">
      <c r="A214" t="s">
        <v>33</v>
      </c>
      <c r="B214" t="s">
        <v>382</v>
      </c>
      <c r="C214" t="s">
        <v>88</v>
      </c>
      <c r="D214">
        <v>2809</v>
      </c>
      <c r="E214">
        <v>23210361</v>
      </c>
      <c r="F214" t="s">
        <v>383</v>
      </c>
      <c r="G214" t="s">
        <v>384</v>
      </c>
      <c r="H214">
        <v>250</v>
      </c>
      <c r="I214">
        <v>96</v>
      </c>
      <c r="J214">
        <v>24000</v>
      </c>
      <c r="K214" t="str">
        <f>IFERROR(IF(B214&lt;&gt;"", TEXT(VLOOKUP(B214, 'Expected Date'!A:B, 2, FALSE) + DATE(RIGHT(C214,2),MID(C214,4,2),LEFT(C214,2)), "dd/mm/yy"), ""), "")</f>
        <v>14/07/23</v>
      </c>
      <c r="L214" t="s">
        <v>38</v>
      </c>
      <c r="M214" t="s">
        <v>48</v>
      </c>
      <c r="N214" t="s">
        <v>342</v>
      </c>
      <c r="O214" t="s">
        <v>89</v>
      </c>
      <c r="P214">
        <v>23290665</v>
      </c>
      <c r="Q214" t="s">
        <v>383</v>
      </c>
      <c r="R214" t="s">
        <v>384</v>
      </c>
      <c r="S214">
        <v>250</v>
      </c>
      <c r="T214">
        <v>96</v>
      </c>
      <c r="U214">
        <v>24000</v>
      </c>
      <c r="V214" t="str">
        <f t="shared" si="57"/>
        <v>Accepted</v>
      </c>
      <c r="W214">
        <f>IFERROR(VLOOKUP(N214, Payment_Terms!A:B, 2, FALSE), "Payment term not found!")</f>
        <v>30</v>
      </c>
      <c r="X214" t="str">
        <f>IFERROR(VLOOKUP(R214, Item_Category!A:B, 2, FALSE), "Uncategorized")</f>
        <v>Gas</v>
      </c>
      <c r="Y214" s="5">
        <f t="shared" si="56"/>
        <v>0</v>
      </c>
      <c r="Z214">
        <f t="shared" si="62"/>
        <v>5</v>
      </c>
      <c r="AA214">
        <f t="shared" si="63"/>
        <v>-9</v>
      </c>
      <c r="AB214">
        <f t="shared" si="64"/>
        <v>5</v>
      </c>
      <c r="AC214" s="10">
        <f t="shared" si="65"/>
        <v>1</v>
      </c>
      <c r="AD214" s="5">
        <f t="shared" si="58"/>
        <v>1</v>
      </c>
      <c r="AE214" s="5">
        <f t="shared" si="59"/>
        <v>1</v>
      </c>
      <c r="AF214" s="5">
        <f t="shared" si="66"/>
        <v>0</v>
      </c>
      <c r="AG214">
        <f>IF(B214&lt;&gt;"", COUNTIFS($B$2:B214, B214), "")</f>
        <v>15</v>
      </c>
      <c r="AH214">
        <f t="shared" si="67"/>
        <v>5</v>
      </c>
      <c r="AI214" t="str">
        <f>VLOOKUP(B214, Currency!A:B, 2, FALSE)</f>
        <v>INR</v>
      </c>
      <c r="AJ214">
        <f t="shared" si="60"/>
        <v>5</v>
      </c>
      <c r="AK214">
        <f t="shared" si="68"/>
        <v>7</v>
      </c>
      <c r="AL214" t="str">
        <f t="shared" si="69"/>
        <v>July</v>
      </c>
      <c r="AM214">
        <f t="shared" si="70"/>
        <v>2023</v>
      </c>
      <c r="AN214" t="str">
        <f t="shared" si="61"/>
        <v>30Aerochem Laboratories</v>
      </c>
      <c r="AO214">
        <f>IF(COUNTIF($AN$2:AN214, AN214)=1, 1, 0)</f>
        <v>0</v>
      </c>
      <c r="AP214" t="str">
        <f t="shared" si="71"/>
        <v>&gt;3</v>
      </c>
      <c r="AQ214" t="str">
        <f t="shared" si="72"/>
        <v>&gt;3</v>
      </c>
      <c r="AR214" t="str">
        <f t="shared" si="73"/>
        <v>&gt;3</v>
      </c>
    </row>
    <row r="215" spans="1:44" x14ac:dyDescent="0.3">
      <c r="A215" t="s">
        <v>33</v>
      </c>
      <c r="B215" t="s">
        <v>386</v>
      </c>
      <c r="C215" t="s">
        <v>71</v>
      </c>
      <c r="D215">
        <v>2815</v>
      </c>
      <c r="E215">
        <v>23210364</v>
      </c>
      <c r="F215" t="s">
        <v>437</v>
      </c>
      <c r="G215" t="s">
        <v>438</v>
      </c>
      <c r="H215">
        <v>10000</v>
      </c>
      <c r="I215">
        <v>9.0440000000000005</v>
      </c>
      <c r="J215">
        <v>90440</v>
      </c>
      <c r="K215" t="str">
        <f>IFERROR(IF(B215&lt;&gt;"", TEXT(VLOOKUP(B215, 'Expected Date'!A:B, 2, FALSE) + DATE(RIGHT(C215,2),MID(C215,4,2),LEFT(C215,2)), "dd/mm/yy"), ""), "")</f>
        <v>27/06/23</v>
      </c>
      <c r="L215" t="s">
        <v>38</v>
      </c>
      <c r="M215" t="s">
        <v>48</v>
      </c>
      <c r="N215" t="s">
        <v>342</v>
      </c>
      <c r="O215" t="s">
        <v>71</v>
      </c>
      <c r="P215">
        <v>23290666</v>
      </c>
      <c r="Q215" t="s">
        <v>437</v>
      </c>
      <c r="R215" t="s">
        <v>438</v>
      </c>
      <c r="S215">
        <v>14308</v>
      </c>
      <c r="T215">
        <v>9.0440000000000005</v>
      </c>
      <c r="U215">
        <v>129401.55</v>
      </c>
      <c r="V215" t="str">
        <f t="shared" si="57"/>
        <v>Accepted</v>
      </c>
      <c r="W215">
        <f>IFERROR(VLOOKUP(N215, Payment_Terms!A:B, 2, FALSE), "Payment term not found!")</f>
        <v>30</v>
      </c>
      <c r="X215" t="str">
        <f>IFERROR(VLOOKUP(R215, Item_Category!A:B, 2, FALSE), "Uncategorized")</f>
        <v>Liner</v>
      </c>
      <c r="Y215" s="5">
        <f t="shared" si="56"/>
        <v>0</v>
      </c>
      <c r="Z215">
        <f t="shared" si="62"/>
        <v>5</v>
      </c>
      <c r="AA215">
        <f t="shared" si="63"/>
        <v>-5</v>
      </c>
      <c r="AB215">
        <f t="shared" si="64"/>
        <v>5</v>
      </c>
      <c r="AC215" s="10">
        <f t="shared" si="65"/>
        <v>0</v>
      </c>
      <c r="AD215" s="5">
        <f t="shared" si="58"/>
        <v>1</v>
      </c>
      <c r="AE215" s="5">
        <f t="shared" si="59"/>
        <v>1</v>
      </c>
      <c r="AF215" s="5">
        <f t="shared" si="66"/>
        <v>0</v>
      </c>
      <c r="AG215">
        <f>IF(B215&lt;&gt;"", COUNTIFS($B$2:B215, B215), "")</f>
        <v>16</v>
      </c>
      <c r="AH215">
        <f t="shared" si="67"/>
        <v>5</v>
      </c>
      <c r="AI215" t="str">
        <f>VLOOKUP(B215, Currency!A:B, 2, FALSE)</f>
        <v>INR</v>
      </c>
      <c r="AJ215">
        <f t="shared" si="60"/>
        <v>5</v>
      </c>
      <c r="AK215">
        <f t="shared" si="68"/>
        <v>6</v>
      </c>
      <c r="AL215" t="str">
        <f t="shared" si="69"/>
        <v>June</v>
      </c>
      <c r="AM215">
        <f t="shared" si="70"/>
        <v>2023</v>
      </c>
      <c r="AN215" t="str">
        <f t="shared" si="61"/>
        <v>30Shree Shyam Enterprises</v>
      </c>
      <c r="AO215">
        <f>IF(COUNTIF($AN$2:AN215, AN215)=1, 1, 0)</f>
        <v>0</v>
      </c>
      <c r="AP215" t="str">
        <f t="shared" si="71"/>
        <v>&gt;3</v>
      </c>
      <c r="AQ215" t="str">
        <f t="shared" si="72"/>
        <v>&gt;3</v>
      </c>
      <c r="AR215" t="str">
        <f t="shared" si="73"/>
        <v>&gt;3</v>
      </c>
    </row>
    <row r="216" spans="1:44" x14ac:dyDescent="0.3">
      <c r="A216" t="s">
        <v>33</v>
      </c>
      <c r="B216" t="s">
        <v>386</v>
      </c>
      <c r="C216" t="s">
        <v>178</v>
      </c>
      <c r="D216">
        <v>4141</v>
      </c>
      <c r="E216">
        <v>23210604</v>
      </c>
      <c r="F216" t="s">
        <v>387</v>
      </c>
      <c r="G216" t="s">
        <v>388</v>
      </c>
      <c r="H216">
        <v>100</v>
      </c>
      <c r="I216">
        <v>85</v>
      </c>
      <c r="J216">
        <v>8500</v>
      </c>
      <c r="K216" t="str">
        <f>IFERROR(IF(B216&lt;&gt;"", TEXT(VLOOKUP(B216, 'Expected Date'!A:B, 2, FALSE) + DATE(RIGHT(C216,2),MID(C216,4,2),LEFT(C216,2)), "dd/mm/yy"), ""), "")</f>
        <v>06/09/23</v>
      </c>
      <c r="L216" t="s">
        <v>38</v>
      </c>
      <c r="M216" t="s">
        <v>48</v>
      </c>
      <c r="N216" t="s">
        <v>342</v>
      </c>
      <c r="O216" t="s">
        <v>496</v>
      </c>
      <c r="P216">
        <v>23291303</v>
      </c>
      <c r="Q216" t="s">
        <v>387</v>
      </c>
      <c r="R216" t="s">
        <v>388</v>
      </c>
      <c r="S216">
        <v>100</v>
      </c>
      <c r="T216">
        <v>85</v>
      </c>
      <c r="U216">
        <v>8500</v>
      </c>
      <c r="V216" t="str">
        <f t="shared" si="57"/>
        <v>Accepted</v>
      </c>
      <c r="W216">
        <f>IFERROR(VLOOKUP(N216, Payment_Terms!A:B, 2, FALSE), "Payment term not found!")</f>
        <v>30</v>
      </c>
      <c r="X216" t="str">
        <f>IFERROR(VLOOKUP(R216, Item_Category!A:B, 2, FALSE), "Uncategorized")</f>
        <v>Clips</v>
      </c>
      <c r="Y216" s="5">
        <f t="shared" si="56"/>
        <v>0</v>
      </c>
      <c r="Z216">
        <f t="shared" si="62"/>
        <v>5</v>
      </c>
      <c r="AA216">
        <f t="shared" si="63"/>
        <v>-4</v>
      </c>
      <c r="AB216">
        <f t="shared" si="64"/>
        <v>5</v>
      </c>
      <c r="AC216" s="10">
        <f t="shared" si="65"/>
        <v>1</v>
      </c>
      <c r="AD216" s="5">
        <f t="shared" si="58"/>
        <v>1</v>
      </c>
      <c r="AE216" s="5">
        <f t="shared" si="59"/>
        <v>1</v>
      </c>
      <c r="AF216" s="5">
        <f t="shared" si="66"/>
        <v>0</v>
      </c>
      <c r="AG216">
        <f>IF(B216&lt;&gt;"", COUNTIFS($B$2:B216, B216), "")</f>
        <v>17</v>
      </c>
      <c r="AH216">
        <f t="shared" si="67"/>
        <v>5</v>
      </c>
      <c r="AI216" t="str">
        <f>VLOOKUP(B216, Currency!A:B, 2, FALSE)</f>
        <v>INR</v>
      </c>
      <c r="AJ216">
        <f t="shared" si="60"/>
        <v>5</v>
      </c>
      <c r="AK216">
        <f t="shared" si="68"/>
        <v>9</v>
      </c>
      <c r="AL216" t="str">
        <f t="shared" si="69"/>
        <v>September</v>
      </c>
      <c r="AM216">
        <f t="shared" si="70"/>
        <v>2023</v>
      </c>
      <c r="AN216" t="str">
        <f t="shared" si="61"/>
        <v>30Shree Shyam Enterprises</v>
      </c>
      <c r="AO216">
        <f>IF(COUNTIF($AN$2:AN216, AN216)=1, 1, 0)</f>
        <v>0</v>
      </c>
      <c r="AP216" t="str">
        <f t="shared" si="71"/>
        <v>&gt;3</v>
      </c>
      <c r="AQ216" t="str">
        <f t="shared" si="72"/>
        <v>&gt;3</v>
      </c>
      <c r="AR216" t="str">
        <f t="shared" si="73"/>
        <v>&gt;3</v>
      </c>
    </row>
    <row r="217" spans="1:44" x14ac:dyDescent="0.3">
      <c r="A217" t="s">
        <v>33</v>
      </c>
      <c r="B217" t="s">
        <v>386</v>
      </c>
      <c r="C217" t="s">
        <v>178</v>
      </c>
      <c r="D217">
        <v>4141</v>
      </c>
      <c r="E217">
        <v>23210604</v>
      </c>
      <c r="F217" t="s">
        <v>450</v>
      </c>
      <c r="G217" t="s">
        <v>451</v>
      </c>
      <c r="H217">
        <v>300</v>
      </c>
      <c r="I217">
        <v>35</v>
      </c>
      <c r="J217">
        <v>10500</v>
      </c>
      <c r="K217" t="str">
        <f>IFERROR(IF(B217&lt;&gt;"", TEXT(VLOOKUP(B217, 'Expected Date'!A:B, 2, FALSE) + DATE(RIGHT(C217,2),MID(C217,4,2),LEFT(C217,2)), "dd/mm/yy"), ""), "")</f>
        <v>06/09/23</v>
      </c>
      <c r="L217" t="s">
        <v>38</v>
      </c>
      <c r="M217" t="s">
        <v>48</v>
      </c>
      <c r="N217" t="s">
        <v>342</v>
      </c>
      <c r="O217" t="s">
        <v>496</v>
      </c>
      <c r="P217">
        <v>23291303</v>
      </c>
      <c r="Q217" t="s">
        <v>450</v>
      </c>
      <c r="R217" t="s">
        <v>451</v>
      </c>
      <c r="S217">
        <v>300</v>
      </c>
      <c r="T217">
        <v>35</v>
      </c>
      <c r="U217">
        <v>10500</v>
      </c>
      <c r="V217" t="str">
        <f t="shared" si="57"/>
        <v>Accepted</v>
      </c>
      <c r="W217">
        <f>IFERROR(VLOOKUP(N217, Payment_Terms!A:B, 2, FALSE), "Payment term not found!")</f>
        <v>30</v>
      </c>
      <c r="X217" t="str">
        <f>IFERROR(VLOOKUP(R217, Item_Category!A:B, 2, FALSE), "Uncategorized")</f>
        <v>PP thread</v>
      </c>
      <c r="Y217" s="5">
        <f t="shared" si="56"/>
        <v>0</v>
      </c>
      <c r="Z217">
        <f t="shared" si="62"/>
        <v>5</v>
      </c>
      <c r="AA217">
        <f t="shared" si="63"/>
        <v>-4</v>
      </c>
      <c r="AB217">
        <f t="shared" si="64"/>
        <v>5</v>
      </c>
      <c r="AC217" s="10">
        <f t="shared" si="65"/>
        <v>1</v>
      </c>
      <c r="AD217" s="5">
        <f t="shared" si="58"/>
        <v>1</v>
      </c>
      <c r="AE217" s="5">
        <f t="shared" si="59"/>
        <v>1</v>
      </c>
      <c r="AF217" s="5">
        <f t="shared" si="66"/>
        <v>0</v>
      </c>
      <c r="AG217">
        <f>IF(B217&lt;&gt;"", COUNTIFS($B$2:B217, B217), "")</f>
        <v>18</v>
      </c>
      <c r="AH217">
        <f t="shared" si="67"/>
        <v>5</v>
      </c>
      <c r="AI217" t="str">
        <f>VLOOKUP(B217, Currency!A:B, 2, FALSE)</f>
        <v>INR</v>
      </c>
      <c r="AJ217">
        <f t="shared" si="60"/>
        <v>5</v>
      </c>
      <c r="AK217">
        <f t="shared" si="68"/>
        <v>9</v>
      </c>
      <c r="AL217" t="str">
        <f t="shared" si="69"/>
        <v>September</v>
      </c>
      <c r="AM217">
        <f t="shared" si="70"/>
        <v>2023</v>
      </c>
      <c r="AN217" t="str">
        <f t="shared" si="61"/>
        <v>30Shree Shyam Enterprises</v>
      </c>
      <c r="AO217">
        <f>IF(COUNTIF($AN$2:AN217, AN217)=1, 1, 0)</f>
        <v>0</v>
      </c>
      <c r="AP217" t="str">
        <f t="shared" si="71"/>
        <v>&gt;3</v>
      </c>
      <c r="AQ217" t="str">
        <f t="shared" si="72"/>
        <v>&gt;3</v>
      </c>
      <c r="AR217" t="str">
        <f t="shared" si="73"/>
        <v>&gt;3</v>
      </c>
    </row>
    <row r="218" spans="1:44" x14ac:dyDescent="0.3">
      <c r="A218" t="s">
        <v>33</v>
      </c>
      <c r="B218" t="s">
        <v>366</v>
      </c>
      <c r="C218" t="s">
        <v>178</v>
      </c>
      <c r="D218">
        <v>4154</v>
      </c>
      <c r="E218">
        <v>23210608</v>
      </c>
      <c r="F218" t="s">
        <v>392</v>
      </c>
      <c r="G218" t="s">
        <v>393</v>
      </c>
      <c r="H218">
        <v>100</v>
      </c>
      <c r="I218">
        <v>9850</v>
      </c>
      <c r="J218">
        <v>985000</v>
      </c>
      <c r="K218" t="str">
        <f>IFERROR(IF(B218&lt;&gt;"", TEXT(VLOOKUP(B218, 'Expected Date'!A:B, 2, FALSE) + DATE(RIGHT(C218,2),MID(C218,4,2),LEFT(C218,2)), "dd/mm/yy"), ""), "")</f>
        <v>03/09/23</v>
      </c>
      <c r="L218" t="s">
        <v>38</v>
      </c>
      <c r="M218" t="s">
        <v>48</v>
      </c>
      <c r="N218" t="s">
        <v>370</v>
      </c>
      <c r="O218" t="s">
        <v>178</v>
      </c>
      <c r="P218">
        <v>23291306</v>
      </c>
      <c r="Q218" t="s">
        <v>392</v>
      </c>
      <c r="R218" t="s">
        <v>393</v>
      </c>
      <c r="S218">
        <v>15.94</v>
      </c>
      <c r="T218">
        <v>9850</v>
      </c>
      <c r="U218">
        <v>157009</v>
      </c>
      <c r="V218" t="str">
        <f t="shared" si="57"/>
        <v>Accepted</v>
      </c>
      <c r="W218">
        <f>IFERROR(VLOOKUP(N218, Payment_Terms!A:B, 2, FALSE), "Payment term not found!")</f>
        <v>15</v>
      </c>
      <c r="X218" t="str">
        <f>IFERROR(VLOOKUP(R218, Item_Category!A:B, 2, FALSE), "Uncategorized")</f>
        <v>Coal materials</v>
      </c>
      <c r="Y218" s="5">
        <f t="shared" si="56"/>
        <v>0</v>
      </c>
      <c r="Z218">
        <f t="shared" si="62"/>
        <v>5</v>
      </c>
      <c r="AA218">
        <f t="shared" si="63"/>
        <v>-2</v>
      </c>
      <c r="AB218">
        <f t="shared" si="64"/>
        <v>5</v>
      </c>
      <c r="AC218" s="10">
        <f t="shared" si="65"/>
        <v>0</v>
      </c>
      <c r="AD218" s="5">
        <f t="shared" si="58"/>
        <v>1</v>
      </c>
      <c r="AE218" s="5">
        <f t="shared" si="59"/>
        <v>1</v>
      </c>
      <c r="AF218" s="5">
        <f t="shared" si="66"/>
        <v>0</v>
      </c>
      <c r="AG218">
        <f>IF(B218&lt;&gt;"", COUNTIFS($B$2:B218, B218), "")</f>
        <v>40</v>
      </c>
      <c r="AH218">
        <f t="shared" si="67"/>
        <v>5</v>
      </c>
      <c r="AI218" t="str">
        <f>VLOOKUP(B218, Currency!A:B, 2, FALSE)</f>
        <v>INR</v>
      </c>
      <c r="AJ218">
        <f t="shared" si="60"/>
        <v>5</v>
      </c>
      <c r="AK218">
        <f t="shared" si="68"/>
        <v>9</v>
      </c>
      <c r="AL218" t="str">
        <f t="shared" si="69"/>
        <v>September</v>
      </c>
      <c r="AM218">
        <f t="shared" si="70"/>
        <v>2023</v>
      </c>
      <c r="AN218" t="str">
        <f t="shared" si="61"/>
        <v>15SKYWIN ENTERPRISE</v>
      </c>
      <c r="AO218">
        <f>IF(COUNTIF($AN$2:AN218, AN218)=1, 1, 0)</f>
        <v>0</v>
      </c>
      <c r="AP218" t="str">
        <f t="shared" si="71"/>
        <v>&gt;3</v>
      </c>
      <c r="AQ218" t="str">
        <f t="shared" si="72"/>
        <v>&gt;3</v>
      </c>
      <c r="AR218" t="str">
        <f t="shared" si="73"/>
        <v>&gt;3</v>
      </c>
    </row>
    <row r="219" spans="1:44" x14ac:dyDescent="0.3">
      <c r="A219" t="s">
        <v>33</v>
      </c>
      <c r="B219" t="s">
        <v>366</v>
      </c>
      <c r="C219" t="s">
        <v>178</v>
      </c>
      <c r="D219">
        <v>4154</v>
      </c>
      <c r="E219">
        <v>23210608</v>
      </c>
      <c r="F219" t="s">
        <v>392</v>
      </c>
      <c r="G219" t="s">
        <v>393</v>
      </c>
      <c r="H219">
        <v>100</v>
      </c>
      <c r="I219">
        <v>9850</v>
      </c>
      <c r="J219">
        <v>985000</v>
      </c>
      <c r="K219" t="str">
        <f>IFERROR(IF(B219&lt;&gt;"", TEXT(VLOOKUP(B219, 'Expected Date'!A:B, 2, FALSE) + DATE(RIGHT(C219,2),MID(C219,4,2),LEFT(C219,2)), "dd/mm/yy"), ""), "")</f>
        <v>03/09/23</v>
      </c>
      <c r="L219" t="s">
        <v>38</v>
      </c>
      <c r="M219" t="s">
        <v>48</v>
      </c>
      <c r="N219" t="s">
        <v>370</v>
      </c>
      <c r="O219" t="s">
        <v>493</v>
      </c>
      <c r="P219">
        <v>23291307</v>
      </c>
      <c r="Q219" t="s">
        <v>392</v>
      </c>
      <c r="R219" t="s">
        <v>393</v>
      </c>
      <c r="S219">
        <v>28.11</v>
      </c>
      <c r="T219">
        <v>9850</v>
      </c>
      <c r="U219">
        <v>276883.5</v>
      </c>
      <c r="V219" t="str">
        <f t="shared" si="57"/>
        <v>Accepted</v>
      </c>
      <c r="W219">
        <f>IFERROR(VLOOKUP(N219, Payment_Terms!A:B, 2, FALSE), "Payment term not found!")</f>
        <v>15</v>
      </c>
      <c r="X219" t="str">
        <f>IFERROR(VLOOKUP(R219, Item_Category!A:B, 2, FALSE), "Uncategorized")</f>
        <v>Coal materials</v>
      </c>
      <c r="Y219" s="5">
        <f t="shared" si="56"/>
        <v>0</v>
      </c>
      <c r="Z219">
        <f t="shared" si="62"/>
        <v>5</v>
      </c>
      <c r="AA219">
        <f t="shared" si="63"/>
        <v>0</v>
      </c>
      <c r="AB219">
        <f t="shared" si="64"/>
        <v>5</v>
      </c>
      <c r="AC219" s="10">
        <f t="shared" si="65"/>
        <v>2</v>
      </c>
      <c r="AD219" s="5">
        <f t="shared" si="58"/>
        <v>1</v>
      </c>
      <c r="AE219" s="5">
        <f t="shared" si="59"/>
        <v>1</v>
      </c>
      <c r="AF219" s="5">
        <f t="shared" si="66"/>
        <v>0</v>
      </c>
      <c r="AG219">
        <f>IF(B219&lt;&gt;"", COUNTIFS($B$2:B219, B219), "")</f>
        <v>41</v>
      </c>
      <c r="AH219">
        <f t="shared" si="67"/>
        <v>5</v>
      </c>
      <c r="AI219" t="str">
        <f>VLOOKUP(B219, Currency!A:B, 2, FALSE)</f>
        <v>INR</v>
      </c>
      <c r="AJ219">
        <f t="shared" si="60"/>
        <v>5</v>
      </c>
      <c r="AK219">
        <f t="shared" si="68"/>
        <v>9</v>
      </c>
      <c r="AL219" t="str">
        <f t="shared" si="69"/>
        <v>September</v>
      </c>
      <c r="AM219">
        <f t="shared" si="70"/>
        <v>2023</v>
      </c>
      <c r="AN219" t="str">
        <f t="shared" si="61"/>
        <v>15SKYWIN ENTERPRISE</v>
      </c>
      <c r="AO219">
        <f>IF(COUNTIF($AN$2:AN219, AN219)=1, 1, 0)</f>
        <v>0</v>
      </c>
      <c r="AP219" t="str">
        <f t="shared" si="71"/>
        <v>&gt;3</v>
      </c>
      <c r="AQ219" t="str">
        <f t="shared" si="72"/>
        <v>&gt;3</v>
      </c>
      <c r="AR219" t="str">
        <f t="shared" si="73"/>
        <v>&gt;3</v>
      </c>
    </row>
    <row r="220" spans="1:44" x14ac:dyDescent="0.3">
      <c r="A220" t="s">
        <v>33</v>
      </c>
      <c r="B220" t="s">
        <v>366</v>
      </c>
      <c r="C220" t="s">
        <v>178</v>
      </c>
      <c r="D220">
        <v>4154</v>
      </c>
      <c r="E220">
        <v>23210608</v>
      </c>
      <c r="F220" t="s">
        <v>392</v>
      </c>
      <c r="G220" t="s">
        <v>393</v>
      </c>
      <c r="H220">
        <v>100</v>
      </c>
      <c r="I220">
        <v>9850</v>
      </c>
      <c r="J220">
        <v>985000</v>
      </c>
      <c r="K220" t="str">
        <f>IFERROR(IF(B220&lt;&gt;"", TEXT(VLOOKUP(B220, 'Expected Date'!A:B, 2, FALSE) + DATE(RIGHT(C220,2),MID(C220,4,2),LEFT(C220,2)), "dd/mm/yy"), ""), "")</f>
        <v>03/09/23</v>
      </c>
      <c r="L220" t="s">
        <v>38</v>
      </c>
      <c r="M220" t="s">
        <v>48</v>
      </c>
      <c r="N220" t="s">
        <v>370</v>
      </c>
      <c r="O220" t="s">
        <v>281</v>
      </c>
      <c r="P220">
        <v>23291331</v>
      </c>
      <c r="Q220" t="s">
        <v>392</v>
      </c>
      <c r="R220" t="s">
        <v>393</v>
      </c>
      <c r="S220">
        <v>29.47</v>
      </c>
      <c r="T220">
        <v>9850</v>
      </c>
      <c r="U220">
        <v>290279.5</v>
      </c>
      <c r="V220" t="str">
        <f t="shared" si="57"/>
        <v>Accepted</v>
      </c>
      <c r="W220">
        <f>IFERROR(VLOOKUP(N220, Payment_Terms!A:B, 2, FALSE), "Payment term not found!")</f>
        <v>15</v>
      </c>
      <c r="X220" t="str">
        <f>IFERROR(VLOOKUP(R220, Item_Category!A:B, 2, FALSE), "Uncategorized")</f>
        <v>Coal materials</v>
      </c>
      <c r="Y220" s="5">
        <f t="shared" si="56"/>
        <v>0</v>
      </c>
      <c r="Z220">
        <f t="shared" si="62"/>
        <v>5</v>
      </c>
      <c r="AA220">
        <f t="shared" si="63"/>
        <v>2</v>
      </c>
      <c r="AB220">
        <f t="shared" si="64"/>
        <v>5</v>
      </c>
      <c r="AC220" s="10">
        <f t="shared" si="65"/>
        <v>4</v>
      </c>
      <c r="AD220" s="5">
        <f t="shared" si="58"/>
        <v>1</v>
      </c>
      <c r="AE220" s="5">
        <f t="shared" si="59"/>
        <v>1</v>
      </c>
      <c r="AF220" s="5">
        <f t="shared" si="66"/>
        <v>0</v>
      </c>
      <c r="AG220">
        <f>IF(B220&lt;&gt;"", COUNTIFS($B$2:B220, B220), "")</f>
        <v>42</v>
      </c>
      <c r="AH220">
        <f t="shared" si="67"/>
        <v>5</v>
      </c>
      <c r="AI220" t="str">
        <f>VLOOKUP(B220, Currency!A:B, 2, FALSE)</f>
        <v>INR</v>
      </c>
      <c r="AJ220">
        <f t="shared" si="60"/>
        <v>5</v>
      </c>
      <c r="AK220">
        <f t="shared" si="68"/>
        <v>9</v>
      </c>
      <c r="AL220" t="str">
        <f t="shared" si="69"/>
        <v>September</v>
      </c>
      <c r="AM220">
        <f t="shared" si="70"/>
        <v>2023</v>
      </c>
      <c r="AN220" t="str">
        <f t="shared" si="61"/>
        <v>15SKYWIN ENTERPRISE</v>
      </c>
      <c r="AO220">
        <f>IF(COUNTIF($AN$2:AN220, AN220)=1, 1, 0)</f>
        <v>0</v>
      </c>
      <c r="AP220" t="str">
        <f t="shared" si="71"/>
        <v>&gt;3</v>
      </c>
      <c r="AQ220" t="str">
        <f t="shared" si="72"/>
        <v>&gt;3</v>
      </c>
      <c r="AR220" t="str">
        <f t="shared" si="73"/>
        <v>&gt;3</v>
      </c>
    </row>
    <row r="221" spans="1:44" x14ac:dyDescent="0.3">
      <c r="A221" t="s">
        <v>33</v>
      </c>
      <c r="B221" t="str">
        <f>B2</f>
        <v>Ami Enterprises</v>
      </c>
      <c r="C221" t="s">
        <v>178</v>
      </c>
      <c r="D221">
        <v>4159</v>
      </c>
      <c r="E221">
        <v>23210609</v>
      </c>
      <c r="F221" t="s">
        <v>517</v>
      </c>
      <c r="G221" t="s">
        <v>518</v>
      </c>
      <c r="H221">
        <v>510</v>
      </c>
      <c r="I221">
        <v>33.5</v>
      </c>
      <c r="J221">
        <v>17085</v>
      </c>
      <c r="K221" t="str">
        <f>IFERROR(IF(B221&lt;&gt;"", TEXT(VLOOKUP(B221, 'Expected Date'!A:B, 2, FALSE) + DATE(RIGHT(C221,2),MID(C221,4,2),LEFT(C221,2)), "dd/mm/yy"), ""), "")</f>
        <v>11/09/23</v>
      </c>
      <c r="L221" t="s">
        <v>68</v>
      </c>
      <c r="M221" t="s">
        <v>39</v>
      </c>
      <c r="N221" t="s">
        <v>318</v>
      </c>
      <c r="O221" t="s">
        <v>284</v>
      </c>
      <c r="P221">
        <v>23291335</v>
      </c>
      <c r="Q221" t="s">
        <v>517</v>
      </c>
      <c r="R221" t="s">
        <v>518</v>
      </c>
      <c r="S221">
        <v>509</v>
      </c>
      <c r="T221">
        <v>33.5</v>
      </c>
      <c r="U221">
        <v>17051.5</v>
      </c>
      <c r="V221" t="str">
        <f t="shared" si="57"/>
        <v>Accepted</v>
      </c>
      <c r="W221">
        <f>IFERROR(VLOOKUP(N221, Payment_Terms!A:B, 2, FALSE), "Payment term not found!")</f>
        <v>30</v>
      </c>
      <c r="X221" t="str">
        <f>IFERROR(VLOOKUP(R221, Item_Category!A:B, 2, FALSE), "Uncategorized")</f>
        <v>Bags</v>
      </c>
      <c r="Y221" s="5">
        <f t="shared" si="56"/>
        <v>1.9607843137254902E-3</v>
      </c>
      <c r="Z221">
        <f t="shared" si="62"/>
        <v>4</v>
      </c>
      <c r="AA221">
        <f t="shared" si="63"/>
        <v>-7</v>
      </c>
      <c r="AB221">
        <f t="shared" si="64"/>
        <v>5</v>
      </c>
      <c r="AC221" s="10">
        <f t="shared" si="65"/>
        <v>3</v>
      </c>
      <c r="AD221" s="5">
        <f t="shared" si="58"/>
        <v>1</v>
      </c>
      <c r="AE221" s="5">
        <f t="shared" si="59"/>
        <v>1</v>
      </c>
      <c r="AF221" s="5">
        <f t="shared" si="66"/>
        <v>0</v>
      </c>
      <c r="AG221">
        <f>IF(B221&lt;&gt;"", COUNTIFS($B$2:B221, B221), "")</f>
        <v>20</v>
      </c>
      <c r="AH221">
        <f t="shared" si="67"/>
        <v>5</v>
      </c>
      <c r="AI221" t="str">
        <f>VLOOKUP(B221, Currency!A:B, 2, FALSE)</f>
        <v>INR</v>
      </c>
      <c r="AJ221">
        <f t="shared" si="60"/>
        <v>5</v>
      </c>
      <c r="AK221">
        <f t="shared" si="68"/>
        <v>9</v>
      </c>
      <c r="AL221" t="str">
        <f t="shared" si="69"/>
        <v>September</v>
      </c>
      <c r="AM221">
        <f t="shared" si="70"/>
        <v>2023</v>
      </c>
      <c r="AN221" t="str">
        <f t="shared" si="61"/>
        <v>30Ami Enterprises</v>
      </c>
      <c r="AO221">
        <f>IF(COUNTIF($AN$2:AN221, AN221)=1, 1, 0)</f>
        <v>0</v>
      </c>
      <c r="AP221" t="str">
        <f t="shared" si="71"/>
        <v>&gt;3</v>
      </c>
      <c r="AQ221" t="str">
        <f t="shared" si="72"/>
        <v>&gt;3</v>
      </c>
      <c r="AR221" t="str">
        <f t="shared" si="73"/>
        <v>&gt;3</v>
      </c>
    </row>
    <row r="222" spans="1:44" x14ac:dyDescent="0.3">
      <c r="A222" t="s">
        <v>33</v>
      </c>
      <c r="B222" t="s">
        <v>382</v>
      </c>
      <c r="C222" t="s">
        <v>293</v>
      </c>
      <c r="D222">
        <v>3894</v>
      </c>
      <c r="E222">
        <v>23210563</v>
      </c>
      <c r="F222" t="s">
        <v>412</v>
      </c>
      <c r="G222" t="s">
        <v>413</v>
      </c>
      <c r="H222">
        <v>1000</v>
      </c>
      <c r="I222">
        <v>18</v>
      </c>
      <c r="J222">
        <v>18000</v>
      </c>
      <c r="K222" t="str">
        <f>IFERROR(IF(B222&lt;&gt;"", TEXT(VLOOKUP(B222, 'Expected Date'!A:B, 2, FALSE) + DATE(RIGHT(C222,2),MID(C222,4,2),LEFT(C222,2)), "dd/mm/yy"), ""), "")</f>
        <v>01/09/23</v>
      </c>
      <c r="L222" t="s">
        <v>38</v>
      </c>
      <c r="M222" t="s">
        <v>48</v>
      </c>
      <c r="N222" t="s">
        <v>342</v>
      </c>
      <c r="O222" t="s">
        <v>293</v>
      </c>
      <c r="P222">
        <v>23291205</v>
      </c>
      <c r="Q222" t="s">
        <v>412</v>
      </c>
      <c r="R222" t="s">
        <v>413</v>
      </c>
      <c r="S222">
        <v>1000</v>
      </c>
      <c r="T222">
        <v>18</v>
      </c>
      <c r="U222">
        <v>18000</v>
      </c>
      <c r="V222" t="str">
        <f t="shared" si="57"/>
        <v>Accepted</v>
      </c>
      <c r="W222">
        <f>IFERROR(VLOOKUP(N222, Payment_Terms!A:B, 2, FALSE), "Payment term not found!")</f>
        <v>30</v>
      </c>
      <c r="X222" t="str">
        <f>IFERROR(VLOOKUP(R222, Item_Category!A:B, 2, FALSE), "Uncategorized")</f>
        <v>NON FERRIC ALUM</v>
      </c>
      <c r="Y222" s="5">
        <f t="shared" si="56"/>
        <v>0</v>
      </c>
      <c r="Z222">
        <f t="shared" si="62"/>
        <v>5</v>
      </c>
      <c r="AA222">
        <f t="shared" si="63"/>
        <v>-10</v>
      </c>
      <c r="AB222">
        <f t="shared" si="64"/>
        <v>5</v>
      </c>
      <c r="AC222" s="10">
        <f t="shared" si="65"/>
        <v>0</v>
      </c>
      <c r="AD222" s="5">
        <f t="shared" si="58"/>
        <v>1</v>
      </c>
      <c r="AE222" s="5">
        <f t="shared" si="59"/>
        <v>1</v>
      </c>
      <c r="AF222" s="5">
        <f t="shared" si="66"/>
        <v>0</v>
      </c>
      <c r="AG222">
        <f>IF(B222&lt;&gt;"", COUNTIFS($B$2:B222, B222), "")</f>
        <v>16</v>
      </c>
      <c r="AH222">
        <f t="shared" si="67"/>
        <v>5</v>
      </c>
      <c r="AI222" t="str">
        <f>VLOOKUP(B222, Currency!A:B, 2, FALSE)</f>
        <v>INR</v>
      </c>
      <c r="AJ222">
        <f t="shared" si="60"/>
        <v>5</v>
      </c>
      <c r="AK222">
        <f t="shared" si="68"/>
        <v>8</v>
      </c>
      <c r="AL222" t="str">
        <f t="shared" si="69"/>
        <v>August</v>
      </c>
      <c r="AM222">
        <f t="shared" si="70"/>
        <v>2023</v>
      </c>
      <c r="AN222" t="str">
        <f t="shared" si="61"/>
        <v>30Aerochem Laboratories</v>
      </c>
      <c r="AO222">
        <f>IF(COUNTIF($AN$2:AN222, AN222)=1, 1, 0)</f>
        <v>0</v>
      </c>
      <c r="AP222" t="str">
        <f t="shared" si="71"/>
        <v>&gt;3</v>
      </c>
      <c r="AQ222" t="str">
        <f t="shared" si="72"/>
        <v>&gt;3</v>
      </c>
      <c r="AR222" t="str">
        <f t="shared" si="73"/>
        <v>&gt;3</v>
      </c>
    </row>
    <row r="223" spans="1:44" x14ac:dyDescent="0.3">
      <c r="A223" t="s">
        <v>33</v>
      </c>
      <c r="B223" t="s">
        <v>122</v>
      </c>
      <c r="C223" t="s">
        <v>192</v>
      </c>
      <c r="D223">
        <v>3695</v>
      </c>
      <c r="E223">
        <v>23210540</v>
      </c>
      <c r="F223" t="s">
        <v>405</v>
      </c>
      <c r="G223" t="s">
        <v>406</v>
      </c>
      <c r="H223">
        <v>600</v>
      </c>
      <c r="I223">
        <v>930</v>
      </c>
      <c r="J223">
        <v>558000</v>
      </c>
      <c r="K223" t="str">
        <f>IFERROR(IF(B223&lt;&gt;"", TEXT(VLOOKUP(B223, 'Expected Date'!A:B, 2, FALSE) + DATE(RIGHT(C223,2),MID(C223,4,2),LEFT(C223,2)), "dd/mm/yy"), ""), "")</f>
        <v>29/08/23</v>
      </c>
      <c r="L223" t="s">
        <v>38</v>
      </c>
      <c r="M223" t="s">
        <v>39</v>
      </c>
      <c r="N223" t="s">
        <v>364</v>
      </c>
      <c r="O223" t="s">
        <v>246</v>
      </c>
      <c r="P223">
        <v>23291398</v>
      </c>
      <c r="Q223" t="s">
        <v>405</v>
      </c>
      <c r="R223" t="s">
        <v>406</v>
      </c>
      <c r="S223">
        <v>30</v>
      </c>
      <c r="T223">
        <v>930</v>
      </c>
      <c r="U223">
        <v>27900</v>
      </c>
      <c r="V223" t="str">
        <f t="shared" si="57"/>
        <v>Accepted</v>
      </c>
      <c r="W223">
        <f>IFERROR(VLOOKUP(N223, Payment_Terms!A:B, 2, FALSE), "Payment term not found!")</f>
        <v>30</v>
      </c>
      <c r="X223" t="str">
        <f>IFERROR(VLOOKUP(R223, Item_Category!A:B, 2, FALSE), "Uncategorized")</f>
        <v>Pallets</v>
      </c>
      <c r="Y223" s="5">
        <f t="shared" si="56"/>
        <v>0</v>
      </c>
      <c r="Z223">
        <f t="shared" si="62"/>
        <v>5</v>
      </c>
      <c r="AA223">
        <f t="shared" si="63"/>
        <v>14</v>
      </c>
      <c r="AB223">
        <f t="shared" si="64"/>
        <v>1</v>
      </c>
      <c r="AC223" s="10">
        <f t="shared" si="65"/>
        <v>29</v>
      </c>
      <c r="AD223" s="5">
        <f t="shared" si="58"/>
        <v>1</v>
      </c>
      <c r="AE223" s="5">
        <f t="shared" si="59"/>
        <v>1</v>
      </c>
      <c r="AF223" s="5">
        <f t="shared" si="66"/>
        <v>0</v>
      </c>
      <c r="AG223">
        <f>IF(B223&lt;&gt;"", COUNTIFS($B$2:B223, B223), "")</f>
        <v>21</v>
      </c>
      <c r="AH223">
        <f t="shared" si="67"/>
        <v>5</v>
      </c>
      <c r="AI223" t="str">
        <f>VLOOKUP(B223, Currency!A:B, 2, FALSE)</f>
        <v>INR</v>
      </c>
      <c r="AJ223">
        <f t="shared" si="60"/>
        <v>4</v>
      </c>
      <c r="AK223">
        <f t="shared" si="68"/>
        <v>8</v>
      </c>
      <c r="AL223" t="str">
        <f t="shared" si="69"/>
        <v>August</v>
      </c>
      <c r="AM223">
        <f t="shared" si="70"/>
        <v>2023</v>
      </c>
      <c r="AN223" t="str">
        <f t="shared" si="61"/>
        <v>30Plastocon Industries Pvt Ltd</v>
      </c>
      <c r="AO223">
        <f>IF(COUNTIF($AN$2:AN223, AN223)=1, 1, 0)</f>
        <v>0</v>
      </c>
      <c r="AP223" t="str">
        <f t="shared" si="71"/>
        <v>&gt;3</v>
      </c>
      <c r="AQ223" t="str">
        <f t="shared" si="72"/>
        <v>&gt;3</v>
      </c>
      <c r="AR223" t="str">
        <f t="shared" si="73"/>
        <v>&lt;=3</v>
      </c>
    </row>
    <row r="224" spans="1:44" x14ac:dyDescent="0.3">
      <c r="A224" t="s">
        <v>33</v>
      </c>
      <c r="B224" t="s">
        <v>371</v>
      </c>
      <c r="C224" t="s">
        <v>519</v>
      </c>
      <c r="D224">
        <v>4743</v>
      </c>
      <c r="E224">
        <v>23210719</v>
      </c>
      <c r="F224" t="s">
        <v>372</v>
      </c>
      <c r="G224" t="s">
        <v>373</v>
      </c>
      <c r="H224">
        <v>20</v>
      </c>
      <c r="I224">
        <v>1100</v>
      </c>
      <c r="J224">
        <v>22000</v>
      </c>
      <c r="K224" t="str">
        <f>IFERROR(IF(B224&lt;&gt;"", TEXT(VLOOKUP(B224, 'Expected Date'!A:B, 2, FALSE) + DATE(RIGHT(C224,2),MID(C224,4,2),LEFT(C224,2)), "dd/mm/yy"), ""), "")</f>
        <v>04/10/23</v>
      </c>
      <c r="L224" t="s">
        <v>68</v>
      </c>
      <c r="M224" t="s">
        <v>48</v>
      </c>
      <c r="N224" t="s">
        <v>342</v>
      </c>
      <c r="O224" t="s">
        <v>230</v>
      </c>
      <c r="P224">
        <v>23291579</v>
      </c>
      <c r="Q224" t="s">
        <v>372</v>
      </c>
      <c r="R224" t="s">
        <v>373</v>
      </c>
      <c r="S224">
        <v>9.6300000000000008</v>
      </c>
      <c r="T224">
        <v>1100</v>
      </c>
      <c r="U224">
        <v>10593</v>
      </c>
      <c r="V224" t="str">
        <f t="shared" si="57"/>
        <v>Accepted</v>
      </c>
      <c r="W224">
        <f>IFERROR(VLOOKUP(N224, Payment_Terms!A:B, 2, FALSE), "Payment term not found!")</f>
        <v>30</v>
      </c>
      <c r="X224" t="str">
        <f>IFERROR(VLOOKUP(R224, Item_Category!A:B, 2, FALSE), "Uncategorized")</f>
        <v>HCL</v>
      </c>
      <c r="Y224" s="5">
        <f t="shared" si="56"/>
        <v>1.6499999999999914E-2</v>
      </c>
      <c r="Z224">
        <f t="shared" si="62"/>
        <v>4</v>
      </c>
      <c r="AA224">
        <f t="shared" si="63"/>
        <v>-1</v>
      </c>
      <c r="AB224">
        <f t="shared" si="64"/>
        <v>5</v>
      </c>
      <c r="AC224" s="10">
        <f t="shared" si="65"/>
        <v>4</v>
      </c>
      <c r="AD224" s="5">
        <f t="shared" si="58"/>
        <v>1</v>
      </c>
      <c r="AE224" s="5">
        <f t="shared" si="59"/>
        <v>1</v>
      </c>
      <c r="AF224" s="5">
        <f t="shared" si="66"/>
        <v>0</v>
      </c>
      <c r="AG224">
        <f>IF(B224&lt;&gt;"", COUNTIFS($B$2:B224, B224), "")</f>
        <v>11</v>
      </c>
      <c r="AH224">
        <f t="shared" si="67"/>
        <v>5</v>
      </c>
      <c r="AI224" t="str">
        <f>VLOOKUP(B224, Currency!A:B, 2, FALSE)</f>
        <v>INR</v>
      </c>
      <c r="AJ224">
        <f t="shared" si="60"/>
        <v>5</v>
      </c>
      <c r="AK224">
        <f t="shared" si="68"/>
        <v>9</v>
      </c>
      <c r="AL224" t="str">
        <f t="shared" si="69"/>
        <v>September</v>
      </c>
      <c r="AM224">
        <f t="shared" si="70"/>
        <v>2023</v>
      </c>
      <c r="AN224" t="str">
        <f t="shared" si="61"/>
        <v>30SHREE ACID AND CHEMICALS</v>
      </c>
      <c r="AO224">
        <f>IF(COUNTIF($AN$2:AN224, AN224)=1, 1, 0)</f>
        <v>0</v>
      </c>
      <c r="AP224" t="str">
        <f t="shared" si="71"/>
        <v>&gt;3</v>
      </c>
      <c r="AQ224" t="str">
        <f t="shared" si="72"/>
        <v>&gt;3</v>
      </c>
      <c r="AR224" t="str">
        <f t="shared" si="73"/>
        <v>&gt;3</v>
      </c>
    </row>
    <row r="225" spans="1:44" x14ac:dyDescent="0.3">
      <c r="A225" t="s">
        <v>33</v>
      </c>
      <c r="B225" t="s">
        <v>122</v>
      </c>
      <c r="C225" t="s">
        <v>324</v>
      </c>
      <c r="D225">
        <v>2545</v>
      </c>
      <c r="E225">
        <v>23210316</v>
      </c>
      <c r="F225" t="s">
        <v>362</v>
      </c>
      <c r="G225" t="s">
        <v>363</v>
      </c>
      <c r="H225">
        <v>400</v>
      </c>
      <c r="I225">
        <v>1900</v>
      </c>
      <c r="J225">
        <v>760000</v>
      </c>
      <c r="K225" t="str">
        <f>IFERROR(IF(B225&lt;&gt;"", TEXT(VLOOKUP(B225, 'Expected Date'!A:B, 2, FALSE) + DATE(RIGHT(C225,2),MID(C225,4,2),LEFT(C225,2)), "dd/mm/yy"), ""), "")</f>
        <v>05/07/23</v>
      </c>
      <c r="L225" t="s">
        <v>38</v>
      </c>
      <c r="M225" t="s">
        <v>39</v>
      </c>
      <c r="N225" t="s">
        <v>364</v>
      </c>
      <c r="O225" t="s">
        <v>230</v>
      </c>
      <c r="P225">
        <v>23291580</v>
      </c>
      <c r="Q225" t="s">
        <v>362</v>
      </c>
      <c r="R225" t="s">
        <v>363</v>
      </c>
      <c r="S225">
        <v>20</v>
      </c>
      <c r="T225">
        <v>1900</v>
      </c>
      <c r="U225">
        <v>38000</v>
      </c>
      <c r="V225" t="str">
        <f t="shared" si="57"/>
        <v>Accepted</v>
      </c>
      <c r="W225">
        <f>IFERROR(VLOOKUP(N225, Payment_Terms!A:B, 2, FALSE), "Payment term not found!")</f>
        <v>30</v>
      </c>
      <c r="X225" t="str">
        <f>IFERROR(VLOOKUP(R225, Item_Category!A:B, 2, FALSE), "Uncategorized")</f>
        <v>Pallets</v>
      </c>
      <c r="Y225" s="5">
        <f t="shared" si="56"/>
        <v>0</v>
      </c>
      <c r="Z225">
        <f t="shared" si="62"/>
        <v>5</v>
      </c>
      <c r="AA225">
        <f t="shared" si="63"/>
        <v>90</v>
      </c>
      <c r="AB225">
        <f t="shared" si="64"/>
        <v>1</v>
      </c>
      <c r="AC225" s="10">
        <f t="shared" si="65"/>
        <v>105</v>
      </c>
      <c r="AD225" s="5">
        <f t="shared" si="58"/>
        <v>1</v>
      </c>
      <c r="AE225" s="5">
        <f t="shared" si="59"/>
        <v>1</v>
      </c>
      <c r="AF225" s="5">
        <f t="shared" si="66"/>
        <v>0</v>
      </c>
      <c r="AG225">
        <f>IF(B225&lt;&gt;"", COUNTIFS($B$2:B225, B225), "")</f>
        <v>22</v>
      </c>
      <c r="AH225">
        <f t="shared" si="67"/>
        <v>5</v>
      </c>
      <c r="AI225" t="str">
        <f>VLOOKUP(B225, Currency!A:B, 2, FALSE)</f>
        <v>INR</v>
      </c>
      <c r="AJ225">
        <f t="shared" si="60"/>
        <v>4</v>
      </c>
      <c r="AK225">
        <f t="shared" si="68"/>
        <v>6</v>
      </c>
      <c r="AL225" t="str">
        <f t="shared" si="69"/>
        <v>June</v>
      </c>
      <c r="AM225">
        <f t="shared" si="70"/>
        <v>2023</v>
      </c>
      <c r="AN225" t="str">
        <f t="shared" si="61"/>
        <v>30Plastocon Industries Pvt Ltd</v>
      </c>
      <c r="AO225">
        <f>IF(COUNTIF($AN$2:AN225, AN225)=1, 1, 0)</f>
        <v>0</v>
      </c>
      <c r="AP225" t="str">
        <f t="shared" si="71"/>
        <v>&gt;3</v>
      </c>
      <c r="AQ225" t="str">
        <f t="shared" si="72"/>
        <v>&gt;3</v>
      </c>
      <c r="AR225" t="str">
        <f t="shared" si="73"/>
        <v>&lt;=3</v>
      </c>
    </row>
    <row r="226" spans="1:44" x14ac:dyDescent="0.3">
      <c r="A226" t="s">
        <v>33</v>
      </c>
      <c r="B226" t="s">
        <v>122</v>
      </c>
      <c r="C226" t="s">
        <v>281</v>
      </c>
      <c r="D226">
        <v>4184</v>
      </c>
      <c r="E226">
        <v>23210616</v>
      </c>
      <c r="F226" t="s">
        <v>405</v>
      </c>
      <c r="G226" t="s">
        <v>406</v>
      </c>
      <c r="H226">
        <v>600</v>
      </c>
      <c r="I226">
        <v>930</v>
      </c>
      <c r="J226">
        <v>558000</v>
      </c>
      <c r="K226" t="str">
        <f>IFERROR(IF(B226&lt;&gt;"", TEXT(VLOOKUP(B226, 'Expected Date'!A:B, 2, FALSE) + DATE(RIGHT(C226,2),MID(C226,4,2),LEFT(C226,2)), "dd/mm/yy"), ""), "")</f>
        <v>20/09/23</v>
      </c>
      <c r="L226" t="s">
        <v>38</v>
      </c>
      <c r="M226" t="s">
        <v>39</v>
      </c>
      <c r="N226" t="s">
        <v>364</v>
      </c>
      <c r="O226" t="s">
        <v>246</v>
      </c>
      <c r="P226">
        <v>23291398</v>
      </c>
      <c r="Q226" t="s">
        <v>405</v>
      </c>
      <c r="R226" t="s">
        <v>406</v>
      </c>
      <c r="S226">
        <v>50</v>
      </c>
      <c r="T226">
        <v>930</v>
      </c>
      <c r="U226">
        <v>46500</v>
      </c>
      <c r="V226" t="str">
        <f t="shared" si="57"/>
        <v>Accepted</v>
      </c>
      <c r="W226">
        <f>IFERROR(VLOOKUP(N226, Payment_Terms!A:B, 2, FALSE), "Payment term not found!")</f>
        <v>30</v>
      </c>
      <c r="X226" t="str">
        <f>IFERROR(VLOOKUP(R226, Item_Category!A:B, 2, FALSE), "Uncategorized")</f>
        <v>Pallets</v>
      </c>
      <c r="Y226" s="5">
        <f t="shared" si="56"/>
        <v>0</v>
      </c>
      <c r="Z226">
        <f t="shared" si="62"/>
        <v>5</v>
      </c>
      <c r="AA226">
        <f t="shared" si="63"/>
        <v>-8</v>
      </c>
      <c r="AB226">
        <f t="shared" si="64"/>
        <v>5</v>
      </c>
      <c r="AC226" s="10">
        <f t="shared" si="65"/>
        <v>7</v>
      </c>
      <c r="AD226" s="5">
        <f t="shared" si="58"/>
        <v>1</v>
      </c>
      <c r="AE226" s="5">
        <f t="shared" si="59"/>
        <v>1</v>
      </c>
      <c r="AF226" s="5">
        <f t="shared" si="66"/>
        <v>0</v>
      </c>
      <c r="AG226">
        <f>IF(B226&lt;&gt;"", COUNTIFS($B$2:B226, B226), "")</f>
        <v>23</v>
      </c>
      <c r="AH226">
        <f t="shared" si="67"/>
        <v>5</v>
      </c>
      <c r="AI226" t="str">
        <f>VLOOKUP(B226, Currency!A:B, 2, FALSE)</f>
        <v>INR</v>
      </c>
      <c r="AJ226">
        <f t="shared" si="60"/>
        <v>5</v>
      </c>
      <c r="AK226">
        <f t="shared" si="68"/>
        <v>9</v>
      </c>
      <c r="AL226" t="str">
        <f t="shared" si="69"/>
        <v>September</v>
      </c>
      <c r="AM226">
        <f t="shared" si="70"/>
        <v>2023</v>
      </c>
      <c r="AN226" t="str">
        <f t="shared" si="61"/>
        <v>30Plastocon Industries Pvt Ltd</v>
      </c>
      <c r="AO226">
        <f>IF(COUNTIF($AN$2:AN226, AN226)=1, 1, 0)</f>
        <v>0</v>
      </c>
      <c r="AP226" t="str">
        <f t="shared" si="71"/>
        <v>&gt;3</v>
      </c>
      <c r="AQ226" t="str">
        <f t="shared" si="72"/>
        <v>&gt;3</v>
      </c>
      <c r="AR226" t="str">
        <f t="shared" si="73"/>
        <v>&gt;3</v>
      </c>
    </row>
    <row r="227" spans="1:44" x14ac:dyDescent="0.3">
      <c r="A227" t="s">
        <v>33</v>
      </c>
      <c r="B227" t="s">
        <v>386</v>
      </c>
      <c r="C227" t="s">
        <v>154</v>
      </c>
      <c r="D227">
        <v>4527</v>
      </c>
      <c r="E227">
        <v>23210681</v>
      </c>
      <c r="F227" t="s">
        <v>510</v>
      </c>
      <c r="G227" t="s">
        <v>511</v>
      </c>
      <c r="H227">
        <v>60</v>
      </c>
      <c r="I227">
        <v>450</v>
      </c>
      <c r="J227">
        <v>27000</v>
      </c>
      <c r="K227" t="str">
        <f>IFERROR(IF(B227&lt;&gt;"", TEXT(VLOOKUP(B227, 'Expected Date'!A:B, 2, FALSE) + DATE(RIGHT(C227,2),MID(C227,4,2),LEFT(C227,2)), "dd/mm/yy"), ""), "")</f>
        <v>25/09/23</v>
      </c>
      <c r="L227" t="s">
        <v>38</v>
      </c>
      <c r="M227" t="s">
        <v>48</v>
      </c>
      <c r="N227" t="s">
        <v>342</v>
      </c>
      <c r="O227" t="s">
        <v>512</v>
      </c>
      <c r="P227">
        <v>23291516</v>
      </c>
      <c r="Q227" t="s">
        <v>510</v>
      </c>
      <c r="R227" t="s">
        <v>511</v>
      </c>
      <c r="S227">
        <v>60</v>
      </c>
      <c r="T227">
        <v>450</v>
      </c>
      <c r="U227">
        <v>27000</v>
      </c>
      <c r="V227" t="str">
        <f t="shared" si="57"/>
        <v>Accepted</v>
      </c>
      <c r="W227">
        <f>IFERROR(VLOOKUP(N227, Payment_Terms!A:B, 2, FALSE), "Payment term not found!")</f>
        <v>30</v>
      </c>
      <c r="X227" t="str">
        <f>IFERROR(VLOOKUP(R227, Item_Category!A:B, 2, FALSE), "Uncategorized")</f>
        <v>Ply sheets</v>
      </c>
      <c r="Y227" s="5">
        <f t="shared" si="56"/>
        <v>0</v>
      </c>
      <c r="Z227">
        <f t="shared" si="62"/>
        <v>5</v>
      </c>
      <c r="AA227">
        <f t="shared" si="63"/>
        <v>-1</v>
      </c>
      <c r="AB227">
        <f t="shared" si="64"/>
        <v>5</v>
      </c>
      <c r="AC227" s="10">
        <f t="shared" si="65"/>
        <v>4</v>
      </c>
      <c r="AD227" s="5">
        <f t="shared" si="58"/>
        <v>1</v>
      </c>
      <c r="AE227" s="5">
        <f t="shared" si="59"/>
        <v>1</v>
      </c>
      <c r="AF227" s="5">
        <f t="shared" si="66"/>
        <v>0</v>
      </c>
      <c r="AG227">
        <f>IF(B227&lt;&gt;"", COUNTIFS($B$2:B227, B227), "")</f>
        <v>19</v>
      </c>
      <c r="AH227">
        <f t="shared" si="67"/>
        <v>5</v>
      </c>
      <c r="AI227" t="str">
        <f>VLOOKUP(B227, Currency!A:B, 2, FALSE)</f>
        <v>INR</v>
      </c>
      <c r="AJ227">
        <f t="shared" si="60"/>
        <v>5</v>
      </c>
      <c r="AK227">
        <f t="shared" si="68"/>
        <v>9</v>
      </c>
      <c r="AL227" t="str">
        <f t="shared" si="69"/>
        <v>September</v>
      </c>
      <c r="AM227">
        <f t="shared" si="70"/>
        <v>2023</v>
      </c>
      <c r="AN227" t="str">
        <f t="shared" si="61"/>
        <v>30Shree Shyam Enterprises</v>
      </c>
      <c r="AO227">
        <f>IF(COUNTIF($AN$2:AN227, AN227)=1, 1, 0)</f>
        <v>0</v>
      </c>
      <c r="AP227" t="str">
        <f t="shared" si="71"/>
        <v>&gt;3</v>
      </c>
      <c r="AQ227" t="str">
        <f t="shared" si="72"/>
        <v>&gt;3</v>
      </c>
      <c r="AR227" t="str">
        <f t="shared" si="73"/>
        <v>&gt;3</v>
      </c>
    </row>
    <row r="228" spans="1:44" x14ac:dyDescent="0.3">
      <c r="A228" t="s">
        <v>111</v>
      </c>
      <c r="B228" t="s">
        <v>309</v>
      </c>
      <c r="C228" t="s">
        <v>224</v>
      </c>
      <c r="D228">
        <v>1931</v>
      </c>
      <c r="E228">
        <v>23220021</v>
      </c>
      <c r="F228" t="s">
        <v>375</v>
      </c>
      <c r="G228" t="s">
        <v>311</v>
      </c>
      <c r="H228">
        <v>2000</v>
      </c>
      <c r="I228">
        <v>310</v>
      </c>
      <c r="J228">
        <v>620000</v>
      </c>
      <c r="K228" t="str">
        <f>IFERROR(IF(B228&lt;&gt;"", TEXT(VLOOKUP(B228, 'Expected Date'!A:B, 2, FALSE) + DATE(RIGHT(C228,2),MID(C228,4,2),LEFT(C228,2)), "dd/mm/yy"), ""), "")</f>
        <v>28/05/23</v>
      </c>
      <c r="L228" t="s">
        <v>38</v>
      </c>
      <c r="M228" t="s">
        <v>48</v>
      </c>
      <c r="N228" t="s">
        <v>377</v>
      </c>
      <c r="O228" t="s">
        <v>138</v>
      </c>
      <c r="P228">
        <v>23290630</v>
      </c>
      <c r="Q228" t="s">
        <v>375</v>
      </c>
      <c r="R228" t="s">
        <v>376</v>
      </c>
      <c r="S228">
        <v>2000</v>
      </c>
      <c r="T228">
        <v>310</v>
      </c>
      <c r="U228">
        <v>620000</v>
      </c>
      <c r="V228" t="str">
        <f t="shared" si="57"/>
        <v>Accepted</v>
      </c>
      <c r="W228">
        <f>IFERROR(VLOOKUP(N228, Payment_Terms!A:B, 2, FALSE), "Payment term not found!")</f>
        <v>30</v>
      </c>
      <c r="X228" t="str">
        <f>IFERROR(VLOOKUP(R228, Item_Category!A:B, 2, FALSE), "Uncategorized")</f>
        <v>CROSSCARMELLOSE SODIUM</v>
      </c>
      <c r="Y228" s="5">
        <f t="shared" si="56"/>
        <v>0</v>
      </c>
      <c r="Z228">
        <f t="shared" si="62"/>
        <v>5</v>
      </c>
      <c r="AA228">
        <f t="shared" si="63"/>
        <v>0</v>
      </c>
      <c r="AB228">
        <f t="shared" si="64"/>
        <v>5</v>
      </c>
      <c r="AC228" s="10">
        <f t="shared" si="65"/>
        <v>10</v>
      </c>
      <c r="AD228" s="5">
        <f t="shared" si="58"/>
        <v>1</v>
      </c>
      <c r="AE228" s="5">
        <f t="shared" si="59"/>
        <v>0.64</v>
      </c>
      <c r="AF228" s="5">
        <f t="shared" si="66"/>
        <v>0.36</v>
      </c>
      <c r="AG228">
        <f>IF(B228&lt;&gt;"", COUNTIFS($B$2:B228, B228), "")</f>
        <v>4</v>
      </c>
      <c r="AH228">
        <f t="shared" si="67"/>
        <v>1</v>
      </c>
      <c r="AI228" t="str">
        <f>VLOOKUP(B228, Currency!A:B, 2, FALSE)</f>
        <v>INR</v>
      </c>
      <c r="AJ228">
        <f t="shared" si="60"/>
        <v>4</v>
      </c>
      <c r="AK228">
        <f t="shared" si="68"/>
        <v>5</v>
      </c>
      <c r="AL228" t="str">
        <f t="shared" si="69"/>
        <v>May</v>
      </c>
      <c r="AM228">
        <f t="shared" si="70"/>
        <v>2023</v>
      </c>
      <c r="AN228" t="str">
        <f t="shared" si="61"/>
        <v>30Prachin Chemicals_Vendor</v>
      </c>
      <c r="AO228">
        <f>IF(COUNTIF($AN$2:AN228, AN228)=1, 1, 0)</f>
        <v>0</v>
      </c>
      <c r="AP228" t="str">
        <f t="shared" si="71"/>
        <v>&lt;=3</v>
      </c>
      <c r="AQ228" t="str">
        <f t="shared" si="72"/>
        <v>&gt;3</v>
      </c>
      <c r="AR228" t="str">
        <f t="shared" si="73"/>
        <v>&gt;3</v>
      </c>
    </row>
    <row r="229" spans="1:44" x14ac:dyDescent="0.3">
      <c r="A229" t="s">
        <v>33</v>
      </c>
      <c r="B229" t="s">
        <v>429</v>
      </c>
      <c r="C229" t="s">
        <v>60</v>
      </c>
      <c r="D229">
        <v>2598</v>
      </c>
      <c r="E229">
        <v>23210324</v>
      </c>
      <c r="F229" t="s">
        <v>430</v>
      </c>
      <c r="G229" t="s">
        <v>431</v>
      </c>
      <c r="H229">
        <v>2500</v>
      </c>
      <c r="I229">
        <v>8.1999999999999993</v>
      </c>
      <c r="J229">
        <v>20500</v>
      </c>
      <c r="K229" t="str">
        <f>IFERROR(IF(B229&lt;&gt;"", TEXT(VLOOKUP(B229, 'Expected Date'!A:B, 2, FALSE) + DATE(RIGHT(C229,2),MID(C229,4,2),LEFT(C229,2)), "dd/mm/yy"), ""), "")</f>
        <v>01/07/23</v>
      </c>
      <c r="L229" t="s">
        <v>38</v>
      </c>
      <c r="M229" t="s">
        <v>48</v>
      </c>
      <c r="N229" t="s">
        <v>299</v>
      </c>
      <c r="O229" t="s">
        <v>139</v>
      </c>
      <c r="P229">
        <v>23290636</v>
      </c>
      <c r="Q229" t="s">
        <v>430</v>
      </c>
      <c r="R229" t="s">
        <v>431</v>
      </c>
      <c r="S229">
        <v>2500</v>
      </c>
      <c r="T229">
        <v>8.1999999999999993</v>
      </c>
      <c r="U229">
        <v>20500</v>
      </c>
      <c r="V229" t="str">
        <f t="shared" si="57"/>
        <v>Accepted</v>
      </c>
      <c r="W229">
        <f>IFERROR(VLOOKUP(N229, Payment_Terms!A:B, 2, FALSE), "Payment term not found!")</f>
        <v>60</v>
      </c>
      <c r="X229" t="str">
        <f>IFERROR(VLOOKUP(R229, Item_Category!A:B, 2, FALSE), "Uncategorized")</f>
        <v>Lime</v>
      </c>
      <c r="Y229" s="5">
        <f t="shared" si="56"/>
        <v>0</v>
      </c>
      <c r="Z229">
        <f t="shared" si="62"/>
        <v>5</v>
      </c>
      <c r="AA229">
        <f t="shared" si="63"/>
        <v>-3</v>
      </c>
      <c r="AB229">
        <f t="shared" si="64"/>
        <v>5</v>
      </c>
      <c r="AC229" s="10">
        <f t="shared" si="65"/>
        <v>2</v>
      </c>
      <c r="AD229" s="5">
        <f t="shared" si="58"/>
        <v>1</v>
      </c>
      <c r="AE229" s="5">
        <f t="shared" si="59"/>
        <v>1</v>
      </c>
      <c r="AF229" s="5">
        <f t="shared" si="66"/>
        <v>0</v>
      </c>
      <c r="AG229">
        <f>IF(B229&lt;&gt;"", COUNTIFS($B$2:B229, B229), "")</f>
        <v>6</v>
      </c>
      <c r="AH229">
        <f t="shared" si="67"/>
        <v>5</v>
      </c>
      <c r="AI229" t="str">
        <f>VLOOKUP(B229, Currency!A:B, 2, FALSE)</f>
        <v>INR</v>
      </c>
      <c r="AJ229">
        <f t="shared" si="60"/>
        <v>5</v>
      </c>
      <c r="AK229">
        <f t="shared" si="68"/>
        <v>6</v>
      </c>
      <c r="AL229" t="str">
        <f t="shared" si="69"/>
        <v>June</v>
      </c>
      <c r="AM229">
        <f t="shared" si="70"/>
        <v>2023</v>
      </c>
      <c r="AN229" t="str">
        <f t="shared" si="61"/>
        <v>60HELIK ENTERPRISE</v>
      </c>
      <c r="AO229">
        <f>IF(COUNTIF($AN$2:AN229, AN229)=1, 1, 0)</f>
        <v>0</v>
      </c>
      <c r="AP229" t="str">
        <f t="shared" si="71"/>
        <v>&gt;3</v>
      </c>
      <c r="AQ229" t="str">
        <f t="shared" si="72"/>
        <v>&gt;3</v>
      </c>
      <c r="AR229" t="str">
        <f t="shared" si="73"/>
        <v>&gt;3</v>
      </c>
    </row>
    <row r="230" spans="1:44" x14ac:dyDescent="0.3">
      <c r="A230" t="s">
        <v>33</v>
      </c>
      <c r="B230" t="s">
        <v>520</v>
      </c>
      <c r="C230" t="s">
        <v>365</v>
      </c>
      <c r="D230">
        <v>3488</v>
      </c>
      <c r="E230">
        <v>23210481</v>
      </c>
      <c r="F230" t="s">
        <v>387</v>
      </c>
      <c r="G230" t="s">
        <v>388</v>
      </c>
      <c r="H230">
        <v>50</v>
      </c>
      <c r="I230">
        <v>95</v>
      </c>
      <c r="J230">
        <v>4750</v>
      </c>
      <c r="K230" t="str">
        <f>IFERROR(IF(B230&lt;&gt;"", TEXT(VLOOKUP(B230, 'Expected Date'!A:B, 2, FALSE) + DATE(RIGHT(C230,2),MID(C230,4,2),LEFT(C230,2)), "dd/mm/yy"), ""), "")</f>
        <v>31/07/23</v>
      </c>
      <c r="L230" t="s">
        <v>38</v>
      </c>
      <c r="M230" t="s">
        <v>48</v>
      </c>
      <c r="N230" t="s">
        <v>342</v>
      </c>
      <c r="O230" t="s">
        <v>198</v>
      </c>
      <c r="P230">
        <v>23290999</v>
      </c>
      <c r="Q230" t="s">
        <v>387</v>
      </c>
      <c r="R230" t="s">
        <v>388</v>
      </c>
      <c r="S230">
        <v>50</v>
      </c>
      <c r="T230">
        <v>95</v>
      </c>
      <c r="U230">
        <v>4750</v>
      </c>
      <c r="V230" t="str">
        <f t="shared" si="57"/>
        <v>Accepted</v>
      </c>
      <c r="W230">
        <f>IFERROR(VLOOKUP(N230, Payment_Terms!A:B, 2, FALSE), "Payment term not found!")</f>
        <v>30</v>
      </c>
      <c r="X230" t="str">
        <f>IFERROR(VLOOKUP(R230, Item_Category!A:B, 2, FALSE), "Uncategorized")</f>
        <v>Clips</v>
      </c>
      <c r="Y230" s="5">
        <f t="shared" si="56"/>
        <v>0</v>
      </c>
      <c r="Z230">
        <f t="shared" si="62"/>
        <v>5</v>
      </c>
      <c r="AA230">
        <f t="shared" si="63"/>
        <v>0</v>
      </c>
      <c r="AB230">
        <f t="shared" si="64"/>
        <v>5</v>
      </c>
      <c r="AC230" s="10">
        <f t="shared" si="65"/>
        <v>2</v>
      </c>
      <c r="AD230" s="5">
        <f t="shared" si="58"/>
        <v>1</v>
      </c>
      <c r="AE230" s="5">
        <f t="shared" si="59"/>
        <v>1</v>
      </c>
      <c r="AF230" s="5">
        <f t="shared" si="66"/>
        <v>0</v>
      </c>
      <c r="AG230">
        <f>IF(B230&lt;&gt;"", COUNTIFS($B$2:B230, B230), "")</f>
        <v>1</v>
      </c>
      <c r="AH230">
        <f t="shared" si="67"/>
        <v>5</v>
      </c>
      <c r="AI230" t="str">
        <f>VLOOKUP(B230, Currency!A:B, 2, FALSE)</f>
        <v>INR</v>
      </c>
      <c r="AJ230">
        <f t="shared" si="60"/>
        <v>5</v>
      </c>
      <c r="AK230">
        <f t="shared" si="68"/>
        <v>7</v>
      </c>
      <c r="AL230" t="str">
        <f t="shared" si="69"/>
        <v>July</v>
      </c>
      <c r="AM230">
        <f t="shared" si="70"/>
        <v>2023</v>
      </c>
      <c r="AN230" t="str">
        <f t="shared" si="61"/>
        <v>30Hari Krishna Stationery</v>
      </c>
      <c r="AO230">
        <f>IF(COUNTIF($AN$2:AN230, AN230)=1, 1, 0)</f>
        <v>1</v>
      </c>
      <c r="AP230" t="str">
        <f t="shared" si="71"/>
        <v>&gt;3</v>
      </c>
      <c r="AQ230" t="str">
        <f t="shared" si="72"/>
        <v>&gt;3</v>
      </c>
      <c r="AR230" t="str">
        <f t="shared" si="73"/>
        <v>&gt;3</v>
      </c>
    </row>
    <row r="231" spans="1:44" x14ac:dyDescent="0.3">
      <c r="A231" t="s">
        <v>33</v>
      </c>
      <c r="B231" t="s">
        <v>395</v>
      </c>
      <c r="C231" t="s">
        <v>120</v>
      </c>
      <c r="D231">
        <v>3445</v>
      </c>
      <c r="E231">
        <v>23210471</v>
      </c>
      <c r="F231" t="s">
        <v>392</v>
      </c>
      <c r="G231" t="s">
        <v>393</v>
      </c>
      <c r="H231">
        <v>200</v>
      </c>
      <c r="I231">
        <v>10500</v>
      </c>
      <c r="J231">
        <v>2100000</v>
      </c>
      <c r="K231" t="str">
        <f>IFERROR(IF(B231&lt;&gt;"", TEXT(VLOOKUP(B231, 'Expected Date'!A:B, 2, FALSE) + DATE(RIGHT(C231,2),MID(C231,4,2),LEFT(C231,2)), "dd/mm/yy"), ""), "")</f>
        <v>25/07/23</v>
      </c>
      <c r="L231" t="s">
        <v>68</v>
      </c>
      <c r="M231" t="s">
        <v>48</v>
      </c>
      <c r="N231" t="s">
        <v>370</v>
      </c>
      <c r="O231" t="s">
        <v>476</v>
      </c>
      <c r="P231">
        <v>23291125</v>
      </c>
      <c r="Q231" t="s">
        <v>392</v>
      </c>
      <c r="R231" t="s">
        <v>393</v>
      </c>
      <c r="S231">
        <v>24.92</v>
      </c>
      <c r="T231">
        <v>10500</v>
      </c>
      <c r="U231">
        <v>261660</v>
      </c>
      <c r="V231" t="str">
        <f t="shared" si="57"/>
        <v>Accepted</v>
      </c>
      <c r="W231">
        <f>IFERROR(VLOOKUP(N231, Payment_Terms!A:B, 2, FALSE), "Payment term not found!")</f>
        <v>15</v>
      </c>
      <c r="X231" t="str">
        <f>IFERROR(VLOOKUP(R231, Item_Category!A:B, 2, FALSE), "Uncategorized")</f>
        <v>Coal materials</v>
      </c>
      <c r="Y231" s="5">
        <f t="shared" si="56"/>
        <v>4.2950000000000016E-2</v>
      </c>
      <c r="Z231">
        <f t="shared" si="62"/>
        <v>3</v>
      </c>
      <c r="AA231">
        <f t="shared" si="63"/>
        <v>21</v>
      </c>
      <c r="AB231">
        <f t="shared" si="64"/>
        <v>1</v>
      </c>
      <c r="AC231" s="10">
        <f t="shared" si="65"/>
        <v>26</v>
      </c>
      <c r="AD231" s="5">
        <f t="shared" si="58"/>
        <v>1</v>
      </c>
      <c r="AE231" s="5">
        <f t="shared" si="59"/>
        <v>1</v>
      </c>
      <c r="AF231" s="5">
        <f t="shared" si="66"/>
        <v>0</v>
      </c>
      <c r="AG231">
        <f>IF(B231&lt;&gt;"", COUNTIFS($B$2:B231, B231), "")</f>
        <v>20</v>
      </c>
      <c r="AH231">
        <f t="shared" si="67"/>
        <v>5</v>
      </c>
      <c r="AI231" t="str">
        <f>VLOOKUP(B231, Currency!A:B, 2, FALSE)</f>
        <v>INR</v>
      </c>
      <c r="AJ231">
        <f t="shared" si="60"/>
        <v>4</v>
      </c>
      <c r="AK231">
        <f t="shared" si="68"/>
        <v>7</v>
      </c>
      <c r="AL231" t="str">
        <f t="shared" si="69"/>
        <v>July</v>
      </c>
      <c r="AM231">
        <f t="shared" si="70"/>
        <v>2023</v>
      </c>
      <c r="AN231" t="str">
        <f t="shared" si="61"/>
        <v>15Crystal coal corporation</v>
      </c>
      <c r="AO231">
        <f>IF(COUNTIF($AN$2:AN231, AN231)=1, 1, 0)</f>
        <v>0</v>
      </c>
      <c r="AP231" t="str">
        <f t="shared" si="71"/>
        <v>&gt;3</v>
      </c>
      <c r="AQ231" t="str">
        <f t="shared" si="72"/>
        <v>&lt;=3</v>
      </c>
      <c r="AR231" t="str">
        <f t="shared" si="73"/>
        <v>&lt;=3</v>
      </c>
    </row>
    <row r="232" spans="1:44" x14ac:dyDescent="0.3">
      <c r="A232" t="s">
        <v>33</v>
      </c>
      <c r="B232" t="s">
        <v>395</v>
      </c>
      <c r="C232" t="s">
        <v>120</v>
      </c>
      <c r="D232">
        <v>3445</v>
      </c>
      <c r="E232">
        <v>23210471</v>
      </c>
      <c r="F232" t="s">
        <v>392</v>
      </c>
      <c r="G232" t="s">
        <v>393</v>
      </c>
      <c r="H232">
        <v>200</v>
      </c>
      <c r="I232">
        <v>10500</v>
      </c>
      <c r="J232">
        <v>2100000</v>
      </c>
      <c r="K232" t="str">
        <f>IFERROR(IF(B232&lt;&gt;"", TEXT(VLOOKUP(B232, 'Expected Date'!A:B, 2, FALSE) + DATE(RIGHT(C232,2),MID(C232,4,2),LEFT(C232,2)), "dd/mm/yy"), ""), "")</f>
        <v>25/07/23</v>
      </c>
      <c r="L232" t="s">
        <v>68</v>
      </c>
      <c r="M232" t="s">
        <v>48</v>
      </c>
      <c r="N232" t="s">
        <v>370</v>
      </c>
      <c r="O232" t="s">
        <v>365</v>
      </c>
      <c r="P232">
        <v>23290976</v>
      </c>
      <c r="Q232" t="s">
        <v>392</v>
      </c>
      <c r="R232" t="s">
        <v>393</v>
      </c>
      <c r="S232">
        <v>27.54</v>
      </c>
      <c r="T232">
        <v>10500</v>
      </c>
      <c r="U232">
        <v>289170</v>
      </c>
      <c r="V232" t="str">
        <f t="shared" si="57"/>
        <v>Accepted</v>
      </c>
      <c r="W232">
        <f>IFERROR(VLOOKUP(N232, Payment_Terms!A:B, 2, FALSE), "Payment term not found!")</f>
        <v>15</v>
      </c>
      <c r="X232" t="str">
        <f>IFERROR(VLOOKUP(R232, Item_Category!A:B, 2, FALSE), "Uncategorized")</f>
        <v>Coal materials</v>
      </c>
      <c r="Y232" s="5">
        <f t="shared" si="56"/>
        <v>4.2950000000000016E-2</v>
      </c>
      <c r="Z232">
        <f t="shared" si="62"/>
        <v>3</v>
      </c>
      <c r="AA232">
        <f t="shared" si="63"/>
        <v>4</v>
      </c>
      <c r="AB232">
        <f t="shared" si="64"/>
        <v>4</v>
      </c>
      <c r="AC232" s="10">
        <f t="shared" si="65"/>
        <v>9</v>
      </c>
      <c r="AD232" s="5">
        <f t="shared" si="58"/>
        <v>1</v>
      </c>
      <c r="AE232" s="5">
        <f t="shared" si="59"/>
        <v>1</v>
      </c>
      <c r="AF232" s="5">
        <f t="shared" si="66"/>
        <v>0</v>
      </c>
      <c r="AG232">
        <f>IF(B232&lt;&gt;"", COUNTIFS($B$2:B232, B232), "")</f>
        <v>21</v>
      </c>
      <c r="AH232">
        <f t="shared" si="67"/>
        <v>5</v>
      </c>
      <c r="AI232" t="str">
        <f>VLOOKUP(B232, Currency!A:B, 2, FALSE)</f>
        <v>INR</v>
      </c>
      <c r="AJ232">
        <f t="shared" si="60"/>
        <v>5</v>
      </c>
      <c r="AK232">
        <f t="shared" si="68"/>
        <v>7</v>
      </c>
      <c r="AL232" t="str">
        <f t="shared" si="69"/>
        <v>July</v>
      </c>
      <c r="AM232">
        <f t="shared" si="70"/>
        <v>2023</v>
      </c>
      <c r="AN232" t="str">
        <f t="shared" si="61"/>
        <v>15Crystal coal corporation</v>
      </c>
      <c r="AO232">
        <f>IF(COUNTIF($AN$2:AN232, AN232)=1, 1, 0)</f>
        <v>0</v>
      </c>
      <c r="AP232" t="str">
        <f t="shared" si="71"/>
        <v>&gt;3</v>
      </c>
      <c r="AQ232" t="str">
        <f t="shared" si="72"/>
        <v>&lt;=3</v>
      </c>
      <c r="AR232" t="str">
        <f t="shared" si="73"/>
        <v>&gt;3</v>
      </c>
    </row>
    <row r="233" spans="1:44" x14ac:dyDescent="0.3">
      <c r="A233" t="s">
        <v>33</v>
      </c>
      <c r="B233" t="s">
        <v>395</v>
      </c>
      <c r="C233" t="s">
        <v>120</v>
      </c>
      <c r="D233">
        <v>3445</v>
      </c>
      <c r="E233">
        <v>23210471</v>
      </c>
      <c r="F233" t="s">
        <v>392</v>
      </c>
      <c r="G233" t="s">
        <v>393</v>
      </c>
      <c r="H233">
        <v>200</v>
      </c>
      <c r="I233">
        <v>10500</v>
      </c>
      <c r="J233">
        <v>2100000</v>
      </c>
      <c r="K233" t="str">
        <f>IFERROR(IF(B233&lt;&gt;"", TEXT(VLOOKUP(B233, 'Expected Date'!A:B, 2, FALSE) + DATE(RIGHT(C233,2),MID(C233,4,2),LEFT(C233,2)), "dd/mm/yy"), ""), "")</f>
        <v>25/07/23</v>
      </c>
      <c r="L233" t="s">
        <v>68</v>
      </c>
      <c r="M233" t="s">
        <v>48</v>
      </c>
      <c r="N233" t="s">
        <v>370</v>
      </c>
      <c r="O233" t="s">
        <v>365</v>
      </c>
      <c r="P233">
        <v>23290977</v>
      </c>
      <c r="Q233" t="s">
        <v>392</v>
      </c>
      <c r="R233" t="s">
        <v>393</v>
      </c>
      <c r="S233">
        <v>28.5</v>
      </c>
      <c r="T233">
        <v>10500</v>
      </c>
      <c r="U233">
        <v>299250</v>
      </c>
      <c r="V233" t="str">
        <f t="shared" si="57"/>
        <v>Accepted</v>
      </c>
      <c r="W233">
        <f>IFERROR(VLOOKUP(N233, Payment_Terms!A:B, 2, FALSE), "Payment term not found!")</f>
        <v>15</v>
      </c>
      <c r="X233" t="str">
        <f>IFERROR(VLOOKUP(R233, Item_Category!A:B, 2, FALSE), "Uncategorized")</f>
        <v>Coal materials</v>
      </c>
      <c r="Y233" s="5">
        <f t="shared" si="56"/>
        <v>4.2950000000000016E-2</v>
      </c>
      <c r="Z233">
        <f t="shared" si="62"/>
        <v>3</v>
      </c>
      <c r="AA233">
        <f t="shared" si="63"/>
        <v>4</v>
      </c>
      <c r="AB233">
        <f t="shared" si="64"/>
        <v>4</v>
      </c>
      <c r="AC233" s="10">
        <f t="shared" si="65"/>
        <v>9</v>
      </c>
      <c r="AD233" s="5">
        <f t="shared" si="58"/>
        <v>1</v>
      </c>
      <c r="AE233" s="5">
        <f t="shared" si="59"/>
        <v>1</v>
      </c>
      <c r="AF233" s="5">
        <f t="shared" si="66"/>
        <v>0</v>
      </c>
      <c r="AG233">
        <f>IF(B233&lt;&gt;"", COUNTIFS($B$2:B233, B233), "")</f>
        <v>22</v>
      </c>
      <c r="AH233">
        <f t="shared" si="67"/>
        <v>5</v>
      </c>
      <c r="AI233" t="str">
        <f>VLOOKUP(B233, Currency!A:B, 2, FALSE)</f>
        <v>INR</v>
      </c>
      <c r="AJ233">
        <f t="shared" si="60"/>
        <v>5</v>
      </c>
      <c r="AK233">
        <f t="shared" si="68"/>
        <v>7</v>
      </c>
      <c r="AL233" t="str">
        <f t="shared" si="69"/>
        <v>July</v>
      </c>
      <c r="AM233">
        <f t="shared" si="70"/>
        <v>2023</v>
      </c>
      <c r="AN233" t="str">
        <f t="shared" si="61"/>
        <v>15Crystal coal corporation</v>
      </c>
      <c r="AO233">
        <f>IF(COUNTIF($AN$2:AN233, AN233)=1, 1, 0)</f>
        <v>0</v>
      </c>
      <c r="AP233" t="str">
        <f t="shared" si="71"/>
        <v>&gt;3</v>
      </c>
      <c r="AQ233" t="str">
        <f t="shared" si="72"/>
        <v>&lt;=3</v>
      </c>
      <c r="AR233" t="str">
        <f t="shared" si="73"/>
        <v>&gt;3</v>
      </c>
    </row>
    <row r="234" spans="1:44" x14ac:dyDescent="0.3">
      <c r="A234" t="str">
        <f>A207</f>
        <v>Woodpulp</v>
      </c>
      <c r="B234" t="s">
        <v>140</v>
      </c>
      <c r="C234" t="s">
        <v>198</v>
      </c>
      <c r="D234">
        <v>3447</v>
      </c>
      <c r="E234">
        <v>23220051</v>
      </c>
      <c r="F234" t="s">
        <v>359</v>
      </c>
      <c r="G234" t="s">
        <v>360</v>
      </c>
      <c r="H234">
        <v>100</v>
      </c>
      <c r="I234">
        <v>830</v>
      </c>
      <c r="J234">
        <v>6739600</v>
      </c>
      <c r="K234" t="str">
        <f>IFERROR(IF(B234&lt;&gt;"", TEXT(VLOOKUP(B234, 'Expected Date'!A:B, 2, FALSE) + DATE(RIGHT(C234,2),MID(C234,4,2),LEFT(C234,2)), "dd/mm/yy"), ""), "")</f>
        <v>14/09/23</v>
      </c>
      <c r="L234" t="s">
        <v>68</v>
      </c>
      <c r="M234" t="str">
        <f>M73</f>
        <v>MT</v>
      </c>
      <c r="N234" t="s">
        <v>144</v>
      </c>
      <c r="O234" t="s">
        <v>365</v>
      </c>
      <c r="P234">
        <v>23290997</v>
      </c>
      <c r="Q234" t="s">
        <v>359</v>
      </c>
      <c r="R234" t="s">
        <v>360</v>
      </c>
      <c r="S234">
        <v>97.775000000000006</v>
      </c>
      <c r="T234">
        <v>830</v>
      </c>
      <c r="U234">
        <v>6589643.9000000004</v>
      </c>
      <c r="V234" t="str">
        <f t="shared" si="57"/>
        <v>Accepted</v>
      </c>
      <c r="W234">
        <f>IFERROR(VLOOKUP(N234, Payment_Terms!A:B, 2, FALSE), "Payment term not found!")</f>
        <v>30</v>
      </c>
      <c r="X234" t="str">
        <f>IFERROR(VLOOKUP(R234, Item_Category!A:B, 2, FALSE), "Uncategorized")</f>
        <v>Wood pulp</v>
      </c>
      <c r="Y234" s="5">
        <f t="shared" si="56"/>
        <v>2.2249999999999943E-2</v>
      </c>
      <c r="Z234">
        <f t="shared" si="62"/>
        <v>3</v>
      </c>
      <c r="AA234">
        <f t="shared" si="63"/>
        <v>-47</v>
      </c>
      <c r="AB234">
        <f t="shared" si="64"/>
        <v>5</v>
      </c>
      <c r="AC234" s="10">
        <f t="shared" si="65"/>
        <v>2</v>
      </c>
      <c r="AD234" s="5">
        <f t="shared" si="58"/>
        <v>1</v>
      </c>
      <c r="AE234" s="5">
        <f t="shared" si="59"/>
        <v>1</v>
      </c>
      <c r="AF234" s="5">
        <f t="shared" si="66"/>
        <v>0</v>
      </c>
      <c r="AG234">
        <f>IF(B234&lt;&gt;"", COUNTIFS($B$2:B234, B234), "")</f>
        <v>7</v>
      </c>
      <c r="AH234">
        <f t="shared" si="67"/>
        <v>5</v>
      </c>
      <c r="AI234" t="str">
        <f>VLOOKUP(B234, Currency!A:B, 2, FALSE)</f>
        <v>USD</v>
      </c>
      <c r="AJ234">
        <f t="shared" si="60"/>
        <v>5</v>
      </c>
      <c r="AK234">
        <f t="shared" si="68"/>
        <v>7</v>
      </c>
      <c r="AL234" t="str">
        <f t="shared" si="69"/>
        <v>July</v>
      </c>
      <c r="AM234">
        <f t="shared" si="70"/>
        <v>2023</v>
      </c>
      <c r="AN234" t="str">
        <f t="shared" si="61"/>
        <v>30Sappi Paper Holdings GMBH</v>
      </c>
      <c r="AO234">
        <f>IF(COUNTIF($AN$2:AN234, AN234)=1, 1, 0)</f>
        <v>0</v>
      </c>
      <c r="AP234" t="str">
        <f t="shared" si="71"/>
        <v>&gt;3</v>
      </c>
      <c r="AQ234" t="str">
        <f t="shared" si="72"/>
        <v>&lt;=3</v>
      </c>
      <c r="AR234" t="str">
        <f t="shared" si="73"/>
        <v>&gt;3</v>
      </c>
    </row>
    <row r="235" spans="1:44" x14ac:dyDescent="0.3">
      <c r="A235" t="str">
        <f>A234</f>
        <v>Woodpulp</v>
      </c>
      <c r="B235" t="s">
        <v>140</v>
      </c>
      <c r="C235" t="s">
        <v>71</v>
      </c>
      <c r="D235">
        <v>2730</v>
      </c>
      <c r="E235">
        <v>23220038</v>
      </c>
      <c r="F235" t="s">
        <v>359</v>
      </c>
      <c r="G235" t="s">
        <v>360</v>
      </c>
      <c r="H235">
        <v>125</v>
      </c>
      <c r="I235">
        <v>830</v>
      </c>
      <c r="J235">
        <v>8476375</v>
      </c>
      <c r="K235" t="str">
        <f>IFERROR(IF(B235&lt;&gt;"", TEXT(VLOOKUP(B235, 'Expected Date'!A:B, 2, FALSE) + DATE(RIGHT(C235,2),MID(C235,4,2),LEFT(C235,2)), "dd/mm/yy"), ""), "")</f>
        <v>06/08/23</v>
      </c>
      <c r="L235" t="s">
        <v>68</v>
      </c>
      <c r="M235" t="str">
        <f>M73</f>
        <v>MT</v>
      </c>
      <c r="N235" t="s">
        <v>144</v>
      </c>
      <c r="O235" t="s">
        <v>293</v>
      </c>
      <c r="P235">
        <v>23291204</v>
      </c>
      <c r="Q235" t="s">
        <v>359</v>
      </c>
      <c r="R235" t="s">
        <v>360</v>
      </c>
      <c r="S235">
        <v>122.255</v>
      </c>
      <c r="T235">
        <v>830</v>
      </c>
      <c r="U235">
        <v>8340969.6299999999</v>
      </c>
      <c r="V235" t="str">
        <f t="shared" si="57"/>
        <v>Accepted</v>
      </c>
      <c r="W235">
        <f>IFERROR(VLOOKUP(N235, Payment_Terms!A:B, 2, FALSE), "Payment term not found!")</f>
        <v>30</v>
      </c>
      <c r="X235" t="str">
        <f>IFERROR(VLOOKUP(R235, Item_Category!A:B, 2, FALSE), "Uncategorized")</f>
        <v>Wood pulp</v>
      </c>
      <c r="Y235" s="5">
        <f t="shared" ref="Y235:Y298" si="74">IFERROR(IF(AND(E235&lt;&gt;"", G235&lt;&gt;""), MAX(0, (H235-SUMIFS(S:S, E:E, E235, G:G, G235))/H235), ""), (H235-S235)/H235)</f>
        <v>2.1960000000000035E-2</v>
      </c>
      <c r="Z235">
        <f t="shared" si="62"/>
        <v>3</v>
      </c>
      <c r="AA235">
        <f t="shared" si="63"/>
        <v>16</v>
      </c>
      <c r="AB235">
        <f t="shared" si="64"/>
        <v>1</v>
      </c>
      <c r="AC235" s="10">
        <f t="shared" si="65"/>
        <v>61</v>
      </c>
      <c r="AD235" s="5">
        <f t="shared" si="58"/>
        <v>1</v>
      </c>
      <c r="AE235" s="5">
        <f t="shared" si="59"/>
        <v>1</v>
      </c>
      <c r="AF235" s="5">
        <f t="shared" si="66"/>
        <v>0</v>
      </c>
      <c r="AG235">
        <f>IF(B235&lt;&gt;"", COUNTIFS($B$2:B235, B235), "")</f>
        <v>8</v>
      </c>
      <c r="AH235">
        <f t="shared" si="67"/>
        <v>5</v>
      </c>
      <c r="AI235" t="str">
        <f>VLOOKUP(B235, Currency!A:B, 2, FALSE)</f>
        <v>USD</v>
      </c>
      <c r="AJ235">
        <f t="shared" si="60"/>
        <v>4</v>
      </c>
      <c r="AK235">
        <f t="shared" si="68"/>
        <v>6</v>
      </c>
      <c r="AL235" t="str">
        <f t="shared" si="69"/>
        <v>June</v>
      </c>
      <c r="AM235">
        <f t="shared" si="70"/>
        <v>2023</v>
      </c>
      <c r="AN235" t="str">
        <f t="shared" si="61"/>
        <v>30Sappi Paper Holdings GMBH</v>
      </c>
      <c r="AO235">
        <f>IF(COUNTIF($AN$2:AN235, AN235)=1, 1, 0)</f>
        <v>0</v>
      </c>
      <c r="AP235" t="str">
        <f t="shared" si="71"/>
        <v>&gt;3</v>
      </c>
      <c r="AQ235" t="str">
        <f t="shared" si="72"/>
        <v>&lt;=3</v>
      </c>
      <c r="AR235" t="str">
        <f t="shared" si="73"/>
        <v>&lt;=3</v>
      </c>
    </row>
    <row r="236" spans="1:44" x14ac:dyDescent="0.3">
      <c r="A236" t="s">
        <v>33</v>
      </c>
      <c r="B236" t="s">
        <v>371</v>
      </c>
      <c r="C236" t="s">
        <v>416</v>
      </c>
      <c r="D236">
        <v>2120</v>
      </c>
      <c r="E236">
        <v>23210182</v>
      </c>
      <c r="F236" t="s">
        <v>372</v>
      </c>
      <c r="G236" t="s">
        <v>373</v>
      </c>
      <c r="H236">
        <v>50</v>
      </c>
      <c r="I236">
        <v>150</v>
      </c>
      <c r="J236">
        <v>7500</v>
      </c>
      <c r="K236" t="str">
        <f>IFERROR(IF(B236&lt;&gt;"", TEXT(VLOOKUP(B236, 'Expected Date'!A:B, 2, FALSE) + DATE(RIGHT(C236,2),MID(C236,4,2),LEFT(C236,2)), "dd/mm/yy"), ""), "")</f>
        <v>25/05/23</v>
      </c>
      <c r="L236" t="s">
        <v>68</v>
      </c>
      <c r="M236" t="s">
        <v>48</v>
      </c>
      <c r="N236" t="s">
        <v>342</v>
      </c>
      <c r="O236" t="s">
        <v>201</v>
      </c>
      <c r="P236">
        <v>23290654</v>
      </c>
      <c r="Q236" t="s">
        <v>372</v>
      </c>
      <c r="R236" t="s">
        <v>373</v>
      </c>
      <c r="S236">
        <v>9.98</v>
      </c>
      <c r="T236">
        <v>150</v>
      </c>
      <c r="U236">
        <v>1497</v>
      </c>
      <c r="V236" t="str">
        <f t="shared" si="57"/>
        <v>Accepted</v>
      </c>
      <c r="W236">
        <f>IFERROR(VLOOKUP(N236, Payment_Terms!A:B, 2, FALSE), "Payment term not found!")</f>
        <v>30</v>
      </c>
      <c r="X236" t="str">
        <f>IFERROR(VLOOKUP(R236, Item_Category!A:B, 2, FALSE), "Uncategorized")</f>
        <v>HCL</v>
      </c>
      <c r="Y236" s="5">
        <f t="shared" si="74"/>
        <v>6.3999999999998633E-3</v>
      </c>
      <c r="Z236">
        <f t="shared" si="62"/>
        <v>4</v>
      </c>
      <c r="AA236">
        <f t="shared" si="63"/>
        <v>37</v>
      </c>
      <c r="AB236">
        <f t="shared" si="64"/>
        <v>1</v>
      </c>
      <c r="AC236" s="10">
        <f t="shared" si="65"/>
        <v>42</v>
      </c>
      <c r="AD236" s="5">
        <f t="shared" si="58"/>
        <v>1</v>
      </c>
      <c r="AE236" s="5">
        <f t="shared" si="59"/>
        <v>1</v>
      </c>
      <c r="AF236" s="5">
        <f t="shared" si="66"/>
        <v>0</v>
      </c>
      <c r="AG236">
        <f>IF(B236&lt;&gt;"", COUNTIFS($B$2:B236, B236), "")</f>
        <v>12</v>
      </c>
      <c r="AH236">
        <f t="shared" si="67"/>
        <v>5</v>
      </c>
      <c r="AI236" t="str">
        <f>VLOOKUP(B236, Currency!A:B, 2, FALSE)</f>
        <v>INR</v>
      </c>
      <c r="AJ236">
        <f t="shared" si="60"/>
        <v>4</v>
      </c>
      <c r="AK236">
        <f t="shared" si="68"/>
        <v>5</v>
      </c>
      <c r="AL236" t="str">
        <f t="shared" si="69"/>
        <v>May</v>
      </c>
      <c r="AM236">
        <f t="shared" si="70"/>
        <v>2023</v>
      </c>
      <c r="AN236" t="str">
        <f t="shared" si="61"/>
        <v>30SHREE ACID AND CHEMICALS</v>
      </c>
      <c r="AO236">
        <f>IF(COUNTIF($AN$2:AN236, AN236)=1, 1, 0)</f>
        <v>0</v>
      </c>
      <c r="AP236" t="str">
        <f t="shared" si="71"/>
        <v>&gt;3</v>
      </c>
      <c r="AQ236" t="str">
        <f t="shared" si="72"/>
        <v>&gt;3</v>
      </c>
      <c r="AR236" t="str">
        <f t="shared" si="73"/>
        <v>&lt;=3</v>
      </c>
    </row>
    <row r="237" spans="1:44" x14ac:dyDescent="0.3">
      <c r="A237" t="s">
        <v>33</v>
      </c>
      <c r="B237" t="s">
        <v>157</v>
      </c>
      <c r="C237" t="s">
        <v>281</v>
      </c>
      <c r="D237">
        <v>4185</v>
      </c>
      <c r="E237">
        <v>23210617</v>
      </c>
      <c r="F237" t="s">
        <v>433</v>
      </c>
      <c r="G237" t="s">
        <v>434</v>
      </c>
      <c r="H237">
        <v>600</v>
      </c>
      <c r="I237">
        <v>270</v>
      </c>
      <c r="J237">
        <v>162000</v>
      </c>
      <c r="K237" t="str">
        <f>IFERROR(IF(B237&lt;&gt;"", TEXT(VLOOKUP(B237, 'Expected Date'!A:B, 2, FALSE) + DATE(RIGHT(C237,2),MID(C237,4,2),LEFT(C237,2)), "dd/mm/yy"), ""), "")</f>
        <v>15/09/23</v>
      </c>
      <c r="L237" t="s">
        <v>38</v>
      </c>
      <c r="M237" t="s">
        <v>48</v>
      </c>
      <c r="N237" t="s">
        <v>435</v>
      </c>
      <c r="O237" t="s">
        <v>154</v>
      </c>
      <c r="P237">
        <v>23291467</v>
      </c>
      <c r="Q237" t="s">
        <v>433</v>
      </c>
      <c r="R237" t="s">
        <v>434</v>
      </c>
      <c r="S237">
        <v>600</v>
      </c>
      <c r="T237">
        <v>270</v>
      </c>
      <c r="U237">
        <v>162000</v>
      </c>
      <c r="V237" t="str">
        <f t="shared" si="57"/>
        <v>Accepted</v>
      </c>
      <c r="W237">
        <f>IFERROR(VLOOKUP(N237, Payment_Terms!A:B, 2, FALSE), "Payment term not found!")</f>
        <v>0</v>
      </c>
      <c r="X237" t="str">
        <f>IFERROR(VLOOKUP(R237, Item_Category!A:B, 2, FALSE), "Uncategorized")</f>
        <v>Sodium salts</v>
      </c>
      <c r="Y237" s="5">
        <f t="shared" si="74"/>
        <v>0</v>
      </c>
      <c r="Z237">
        <f t="shared" si="62"/>
        <v>5</v>
      </c>
      <c r="AA237">
        <f t="shared" si="63"/>
        <v>5</v>
      </c>
      <c r="AB237">
        <f t="shared" si="64"/>
        <v>3</v>
      </c>
      <c r="AC237" s="10">
        <f t="shared" si="65"/>
        <v>15</v>
      </c>
      <c r="AD237" s="5">
        <f t="shared" si="58"/>
        <v>1</v>
      </c>
      <c r="AE237" s="5">
        <f t="shared" si="59"/>
        <v>1</v>
      </c>
      <c r="AF237" s="5">
        <f t="shared" si="66"/>
        <v>0</v>
      </c>
      <c r="AG237">
        <f>IF(B237&lt;&gt;"", COUNTIFS($B$2:B237, B237), "")</f>
        <v>4</v>
      </c>
      <c r="AH237">
        <f t="shared" si="67"/>
        <v>5</v>
      </c>
      <c r="AI237" t="str">
        <f>VLOOKUP(B237, Currency!A:B, 2, FALSE)</f>
        <v>INR</v>
      </c>
      <c r="AJ237">
        <f t="shared" si="60"/>
        <v>5</v>
      </c>
      <c r="AK237">
        <f t="shared" si="68"/>
        <v>9</v>
      </c>
      <c r="AL237" t="str">
        <f t="shared" si="69"/>
        <v>September</v>
      </c>
      <c r="AM237">
        <f t="shared" si="70"/>
        <v>2023</v>
      </c>
      <c r="AN237" t="str">
        <f t="shared" si="61"/>
        <v>0ZED CHEM PVT LTD</v>
      </c>
      <c r="AO237">
        <f>IF(COUNTIF($AN$2:AN237, AN237)=1, 1, 0)</f>
        <v>0</v>
      </c>
      <c r="AP237" t="str">
        <f t="shared" si="71"/>
        <v>&gt;3</v>
      </c>
      <c r="AQ237" t="str">
        <f t="shared" si="72"/>
        <v>&gt;3</v>
      </c>
      <c r="AR237" t="str">
        <f t="shared" si="73"/>
        <v>&lt;=3</v>
      </c>
    </row>
    <row r="238" spans="1:44" x14ac:dyDescent="0.3">
      <c r="A238" t="str">
        <f>A235</f>
        <v>Woodpulp</v>
      </c>
      <c r="B238" t="s">
        <v>140</v>
      </c>
      <c r="C238" t="s">
        <v>71</v>
      </c>
      <c r="D238">
        <v>2731</v>
      </c>
      <c r="E238">
        <v>23220039</v>
      </c>
      <c r="F238" t="s">
        <v>359</v>
      </c>
      <c r="G238" t="s">
        <v>360</v>
      </c>
      <c r="H238">
        <v>125</v>
      </c>
      <c r="I238">
        <v>830</v>
      </c>
      <c r="J238">
        <v>8476375</v>
      </c>
      <c r="K238" t="str">
        <f>IFERROR(IF(B238&lt;&gt;"", TEXT(VLOOKUP(B238, 'Expected Date'!A:B, 2, FALSE) + DATE(RIGHT(C238,2),MID(C238,4,2),LEFT(C238,2)), "dd/mm/yy"), ""), "")</f>
        <v>06/08/23</v>
      </c>
      <c r="L238" t="s">
        <v>68</v>
      </c>
      <c r="M238" t="str">
        <f>M73</f>
        <v>MT</v>
      </c>
      <c r="N238" t="s">
        <v>144</v>
      </c>
      <c r="O238" t="s">
        <v>154</v>
      </c>
      <c r="P238">
        <v>23291482</v>
      </c>
      <c r="Q238" t="s">
        <v>359</v>
      </c>
      <c r="R238" t="s">
        <v>360</v>
      </c>
      <c r="S238">
        <v>97.403999999999996</v>
      </c>
      <c r="T238">
        <v>830</v>
      </c>
      <c r="U238">
        <v>6645485.2999999998</v>
      </c>
      <c r="V238" t="str">
        <f t="shared" si="57"/>
        <v>Accepted</v>
      </c>
      <c r="W238">
        <f>IFERROR(VLOOKUP(N238, Payment_Terms!A:B, 2, FALSE), "Payment term not found!")</f>
        <v>30</v>
      </c>
      <c r="X238" t="str">
        <f>IFERROR(VLOOKUP(R238, Item_Category!A:B, 2, FALSE), "Uncategorized")</f>
        <v>Wood pulp</v>
      </c>
      <c r="Y238" s="5">
        <f t="shared" si="74"/>
        <v>3.6711999999999988E-2</v>
      </c>
      <c r="Z238">
        <f t="shared" si="62"/>
        <v>3</v>
      </c>
      <c r="AA238">
        <f t="shared" si="63"/>
        <v>45</v>
      </c>
      <c r="AB238">
        <f t="shared" si="64"/>
        <v>1</v>
      </c>
      <c r="AC238" s="10">
        <f t="shared" si="65"/>
        <v>90</v>
      </c>
      <c r="AD238" s="5">
        <f t="shared" si="58"/>
        <v>1</v>
      </c>
      <c r="AE238" s="5">
        <f t="shared" si="59"/>
        <v>1</v>
      </c>
      <c r="AF238" s="5">
        <f t="shared" si="66"/>
        <v>0</v>
      </c>
      <c r="AG238">
        <f>IF(B238&lt;&gt;"", COUNTIFS($B$2:B238, B238), "")</f>
        <v>9</v>
      </c>
      <c r="AH238">
        <f t="shared" si="67"/>
        <v>5</v>
      </c>
      <c r="AI238" t="str">
        <f>VLOOKUP(B238, Currency!A:B, 2, FALSE)</f>
        <v>USD</v>
      </c>
      <c r="AJ238">
        <f t="shared" si="60"/>
        <v>4</v>
      </c>
      <c r="AK238">
        <f t="shared" si="68"/>
        <v>6</v>
      </c>
      <c r="AL238" t="str">
        <f t="shared" si="69"/>
        <v>June</v>
      </c>
      <c r="AM238">
        <f t="shared" si="70"/>
        <v>2023</v>
      </c>
      <c r="AN238" t="str">
        <f t="shared" si="61"/>
        <v>30Sappi Paper Holdings GMBH</v>
      </c>
      <c r="AO238">
        <f>IF(COUNTIF($AN$2:AN238, AN238)=1, 1, 0)</f>
        <v>0</v>
      </c>
      <c r="AP238" t="str">
        <f t="shared" si="71"/>
        <v>&gt;3</v>
      </c>
      <c r="AQ238" t="str">
        <f t="shared" si="72"/>
        <v>&lt;=3</v>
      </c>
      <c r="AR238" t="str">
        <f t="shared" si="73"/>
        <v>&lt;=3</v>
      </c>
    </row>
    <row r="239" spans="1:44" x14ac:dyDescent="0.3">
      <c r="A239" t="str">
        <f>A238</f>
        <v>Woodpulp</v>
      </c>
      <c r="B239" t="s">
        <v>140</v>
      </c>
      <c r="C239" t="s">
        <v>71</v>
      </c>
      <c r="D239">
        <v>2731</v>
      </c>
      <c r="E239">
        <v>23220039</v>
      </c>
      <c r="F239" t="s">
        <v>359</v>
      </c>
      <c r="G239" t="s">
        <v>360</v>
      </c>
      <c r="H239">
        <v>125</v>
      </c>
      <c r="I239">
        <v>830</v>
      </c>
      <c r="J239">
        <v>8476375</v>
      </c>
      <c r="K239" t="str">
        <f>IFERROR(IF(B239&lt;&gt;"", TEXT(VLOOKUP(B239, 'Expected Date'!A:B, 2, FALSE) + DATE(RIGHT(C239,2),MID(C239,4,2),LEFT(C239,2)), "dd/mm/yy"), ""), "")</f>
        <v>06/08/23</v>
      </c>
      <c r="L239" t="s">
        <v>68</v>
      </c>
      <c r="M239" t="str">
        <f>M73</f>
        <v>MT</v>
      </c>
      <c r="N239" t="s">
        <v>144</v>
      </c>
      <c r="O239" t="s">
        <v>247</v>
      </c>
      <c r="P239">
        <v>23291715</v>
      </c>
      <c r="Q239" t="s">
        <v>359</v>
      </c>
      <c r="R239" t="s">
        <v>360</v>
      </c>
      <c r="S239">
        <v>23.007000000000001</v>
      </c>
      <c r="T239">
        <v>830</v>
      </c>
      <c r="U239">
        <v>1571585.16</v>
      </c>
      <c r="V239" t="str">
        <f t="shared" si="57"/>
        <v>Accepted</v>
      </c>
      <c r="W239">
        <f>IFERROR(VLOOKUP(N239, Payment_Terms!A:B, 2, FALSE), "Payment term not found!")</f>
        <v>30</v>
      </c>
      <c r="X239" t="str">
        <f>IFERROR(VLOOKUP(R239, Item_Category!A:B, 2, FALSE), "Uncategorized")</f>
        <v>Wood pulp</v>
      </c>
      <c r="Y239" s="5">
        <f t="shared" si="74"/>
        <v>3.6711999999999988E-2</v>
      </c>
      <c r="Z239">
        <f t="shared" si="62"/>
        <v>3</v>
      </c>
      <c r="AA239">
        <f t="shared" si="63"/>
        <v>60</v>
      </c>
      <c r="AB239">
        <f t="shared" si="64"/>
        <v>1</v>
      </c>
      <c r="AC239" s="10">
        <f t="shared" si="65"/>
        <v>105</v>
      </c>
      <c r="AD239" s="5">
        <f t="shared" si="58"/>
        <v>1</v>
      </c>
      <c r="AE239" s="5">
        <f t="shared" si="59"/>
        <v>1</v>
      </c>
      <c r="AF239" s="5">
        <f t="shared" si="66"/>
        <v>0</v>
      </c>
      <c r="AG239">
        <f>IF(B239&lt;&gt;"", COUNTIFS($B$2:B239, B239), "")</f>
        <v>10</v>
      </c>
      <c r="AH239">
        <f t="shared" si="67"/>
        <v>5</v>
      </c>
      <c r="AI239" t="str">
        <f>VLOOKUP(B239, Currency!A:B, 2, FALSE)</f>
        <v>USD</v>
      </c>
      <c r="AJ239">
        <f t="shared" si="60"/>
        <v>4</v>
      </c>
      <c r="AK239">
        <f t="shared" si="68"/>
        <v>6</v>
      </c>
      <c r="AL239" t="str">
        <f t="shared" si="69"/>
        <v>June</v>
      </c>
      <c r="AM239">
        <f t="shared" si="70"/>
        <v>2023</v>
      </c>
      <c r="AN239" t="str">
        <f t="shared" si="61"/>
        <v>30Sappi Paper Holdings GMBH</v>
      </c>
      <c r="AO239">
        <f>IF(COUNTIF($AN$2:AN239, AN239)=1, 1, 0)</f>
        <v>0</v>
      </c>
      <c r="AP239" t="str">
        <f t="shared" si="71"/>
        <v>&gt;3</v>
      </c>
      <c r="AQ239" t="str">
        <f t="shared" si="72"/>
        <v>&lt;=3</v>
      </c>
      <c r="AR239" t="str">
        <f t="shared" si="73"/>
        <v>&lt;=3</v>
      </c>
    </row>
    <row r="240" spans="1:44" x14ac:dyDescent="0.3">
      <c r="A240" t="s">
        <v>33</v>
      </c>
      <c r="B240" t="s">
        <v>429</v>
      </c>
      <c r="C240" t="s">
        <v>164</v>
      </c>
      <c r="D240">
        <v>4244</v>
      </c>
      <c r="E240">
        <v>23210633</v>
      </c>
      <c r="F240" t="s">
        <v>430</v>
      </c>
      <c r="G240" t="s">
        <v>431</v>
      </c>
      <c r="H240">
        <v>5000</v>
      </c>
      <c r="I240">
        <v>8.3000000000000007</v>
      </c>
      <c r="J240">
        <v>41500</v>
      </c>
      <c r="K240" t="str">
        <f>IFERROR(IF(B240&lt;&gt;"", TEXT(VLOOKUP(B240, 'Expected Date'!A:B, 2, FALSE) + DATE(RIGHT(C240,2),MID(C240,4,2),LEFT(C240,2)), "dd/mm/yy"), ""), "")</f>
        <v>13/09/23</v>
      </c>
      <c r="L240" t="s">
        <v>38</v>
      </c>
      <c r="M240" t="s">
        <v>48</v>
      </c>
      <c r="N240" t="s">
        <v>299</v>
      </c>
      <c r="O240" t="s">
        <v>106</v>
      </c>
      <c r="P240">
        <v>23291366</v>
      </c>
      <c r="Q240" t="s">
        <v>430</v>
      </c>
      <c r="R240" t="s">
        <v>431</v>
      </c>
      <c r="S240">
        <v>2650</v>
      </c>
      <c r="T240">
        <v>8.3000000000000007</v>
      </c>
      <c r="U240">
        <v>21995</v>
      </c>
      <c r="V240" t="str">
        <f t="shared" si="57"/>
        <v>Accepted</v>
      </c>
      <c r="W240">
        <f>IFERROR(VLOOKUP(N240, Payment_Terms!A:B, 2, FALSE), "Payment term not found!")</f>
        <v>60</v>
      </c>
      <c r="X240" t="str">
        <f>IFERROR(VLOOKUP(R240, Item_Category!A:B, 2, FALSE), "Uncategorized")</f>
        <v>Lime</v>
      </c>
      <c r="Y240" s="5">
        <f t="shared" si="74"/>
        <v>0</v>
      </c>
      <c r="Z240">
        <f t="shared" si="62"/>
        <v>5</v>
      </c>
      <c r="AA240">
        <f t="shared" si="63"/>
        <v>-4</v>
      </c>
      <c r="AB240">
        <f t="shared" si="64"/>
        <v>5</v>
      </c>
      <c r="AC240" s="10">
        <f t="shared" si="65"/>
        <v>1</v>
      </c>
      <c r="AD240" s="5">
        <f t="shared" si="58"/>
        <v>1</v>
      </c>
      <c r="AE240" s="5">
        <f t="shared" si="59"/>
        <v>1</v>
      </c>
      <c r="AF240" s="5">
        <f t="shared" si="66"/>
        <v>0</v>
      </c>
      <c r="AG240">
        <f>IF(B240&lt;&gt;"", COUNTIFS($B$2:B240, B240), "")</f>
        <v>7</v>
      </c>
      <c r="AH240">
        <f t="shared" si="67"/>
        <v>5</v>
      </c>
      <c r="AI240" t="str">
        <f>VLOOKUP(B240, Currency!A:B, 2, FALSE)</f>
        <v>INR</v>
      </c>
      <c r="AJ240">
        <f t="shared" si="60"/>
        <v>5</v>
      </c>
      <c r="AK240">
        <f t="shared" si="68"/>
        <v>9</v>
      </c>
      <c r="AL240" t="str">
        <f t="shared" si="69"/>
        <v>September</v>
      </c>
      <c r="AM240">
        <f t="shared" si="70"/>
        <v>2023</v>
      </c>
      <c r="AN240" t="str">
        <f t="shared" si="61"/>
        <v>60HELIK ENTERPRISE</v>
      </c>
      <c r="AO240">
        <f>IF(COUNTIF($AN$2:AN240, AN240)=1, 1, 0)</f>
        <v>0</v>
      </c>
      <c r="AP240" t="str">
        <f t="shared" si="71"/>
        <v>&gt;3</v>
      </c>
      <c r="AQ240" t="str">
        <f t="shared" si="72"/>
        <v>&gt;3</v>
      </c>
      <c r="AR240" t="str">
        <f t="shared" si="73"/>
        <v>&gt;3</v>
      </c>
    </row>
    <row r="241" spans="1:44" x14ac:dyDescent="0.3">
      <c r="A241" t="s">
        <v>33</v>
      </c>
      <c r="B241" t="s">
        <v>122</v>
      </c>
      <c r="C241" t="s">
        <v>519</v>
      </c>
      <c r="D241">
        <v>4691</v>
      </c>
      <c r="E241">
        <v>23210710</v>
      </c>
      <c r="F241" t="s">
        <v>362</v>
      </c>
      <c r="G241" t="s">
        <v>363</v>
      </c>
      <c r="H241">
        <v>400</v>
      </c>
      <c r="I241">
        <v>1900</v>
      </c>
      <c r="J241">
        <v>760000</v>
      </c>
      <c r="K241" t="str">
        <f>IFERROR(IF(B241&lt;&gt;"", TEXT(VLOOKUP(B241, 'Expected Date'!A:B, 2, FALSE) + DATE(RIGHT(C241,2),MID(C241,4,2),LEFT(C241,2)), "dd/mm/yy"), ""), "")</f>
        <v>14/10/23</v>
      </c>
      <c r="L241" t="s">
        <v>38</v>
      </c>
      <c r="M241" t="s">
        <v>39</v>
      </c>
      <c r="N241" t="s">
        <v>364</v>
      </c>
      <c r="O241" t="s">
        <v>230</v>
      </c>
      <c r="P241">
        <v>23291580</v>
      </c>
      <c r="Q241" t="s">
        <v>362</v>
      </c>
      <c r="R241" t="s">
        <v>363</v>
      </c>
      <c r="S241">
        <v>60</v>
      </c>
      <c r="T241">
        <v>1900</v>
      </c>
      <c r="U241">
        <v>114000</v>
      </c>
      <c r="V241" t="str">
        <f t="shared" si="57"/>
        <v>Accepted</v>
      </c>
      <c r="W241">
        <f>IFERROR(VLOOKUP(N241, Payment_Terms!A:B, 2, FALSE), "Payment term not found!")</f>
        <v>30</v>
      </c>
      <c r="X241" t="str">
        <f>IFERROR(VLOOKUP(R241, Item_Category!A:B, 2, FALSE), "Uncategorized")</f>
        <v>Pallets</v>
      </c>
      <c r="Y241" s="5">
        <f t="shared" si="74"/>
        <v>0</v>
      </c>
      <c r="Z241">
        <f t="shared" si="62"/>
        <v>5</v>
      </c>
      <c r="AA241">
        <f t="shared" si="63"/>
        <v>-11</v>
      </c>
      <c r="AB241">
        <f t="shared" si="64"/>
        <v>5</v>
      </c>
      <c r="AC241" s="10">
        <f t="shared" si="65"/>
        <v>4</v>
      </c>
      <c r="AD241" s="5">
        <f t="shared" si="58"/>
        <v>1</v>
      </c>
      <c r="AE241" s="5">
        <f t="shared" si="59"/>
        <v>1</v>
      </c>
      <c r="AF241" s="5">
        <f t="shared" si="66"/>
        <v>0</v>
      </c>
      <c r="AG241">
        <f>IF(B241&lt;&gt;"", COUNTIFS($B$2:B241, B241), "")</f>
        <v>24</v>
      </c>
      <c r="AH241">
        <f t="shared" si="67"/>
        <v>5</v>
      </c>
      <c r="AI241" t="str">
        <f>VLOOKUP(B241, Currency!A:B, 2, FALSE)</f>
        <v>INR</v>
      </c>
      <c r="AJ241">
        <f t="shared" si="60"/>
        <v>5</v>
      </c>
      <c r="AK241">
        <f t="shared" si="68"/>
        <v>9</v>
      </c>
      <c r="AL241" t="str">
        <f t="shared" si="69"/>
        <v>September</v>
      </c>
      <c r="AM241">
        <f t="shared" si="70"/>
        <v>2023</v>
      </c>
      <c r="AN241" t="str">
        <f t="shared" si="61"/>
        <v>30Plastocon Industries Pvt Ltd</v>
      </c>
      <c r="AO241">
        <f>IF(COUNTIF($AN$2:AN241, AN241)=1, 1, 0)</f>
        <v>0</v>
      </c>
      <c r="AP241" t="str">
        <f t="shared" si="71"/>
        <v>&gt;3</v>
      </c>
      <c r="AQ241" t="str">
        <f t="shared" si="72"/>
        <v>&gt;3</v>
      </c>
      <c r="AR241" t="str">
        <f t="shared" si="73"/>
        <v>&gt;3</v>
      </c>
    </row>
    <row r="242" spans="1:44" x14ac:dyDescent="0.3">
      <c r="A242" t="s">
        <v>33</v>
      </c>
      <c r="B242" t="s">
        <v>122</v>
      </c>
      <c r="C242" t="s">
        <v>324</v>
      </c>
      <c r="D242">
        <v>2545</v>
      </c>
      <c r="E242">
        <v>23210316</v>
      </c>
      <c r="F242" t="s">
        <v>362</v>
      </c>
      <c r="G242" t="s">
        <v>363</v>
      </c>
      <c r="H242">
        <v>400</v>
      </c>
      <c r="I242">
        <v>1900</v>
      </c>
      <c r="J242">
        <v>760000</v>
      </c>
      <c r="K242" t="str">
        <f>IFERROR(IF(B242&lt;&gt;"", TEXT(VLOOKUP(B242, 'Expected Date'!A:B, 2, FALSE) + DATE(RIGHT(C242,2),MID(C242,4,2),LEFT(C242,2)), "dd/mm/yy"), ""), "")</f>
        <v>05/07/23</v>
      </c>
      <c r="L242" t="s">
        <v>38</v>
      </c>
      <c r="M242" t="s">
        <v>39</v>
      </c>
      <c r="N242" t="s">
        <v>364</v>
      </c>
      <c r="O242" t="s">
        <v>323</v>
      </c>
      <c r="P242">
        <v>23291415</v>
      </c>
      <c r="Q242" t="s">
        <v>362</v>
      </c>
      <c r="R242" t="s">
        <v>363</v>
      </c>
      <c r="S242">
        <v>50</v>
      </c>
      <c r="T242">
        <v>1900</v>
      </c>
      <c r="U242">
        <v>95000</v>
      </c>
      <c r="V242" t="str">
        <f t="shared" si="57"/>
        <v>Accepted</v>
      </c>
      <c r="W242">
        <f>IFERROR(VLOOKUP(N242, Payment_Terms!A:B, 2, FALSE), "Payment term not found!")</f>
        <v>30</v>
      </c>
      <c r="X242" t="str">
        <f>IFERROR(VLOOKUP(R242, Item_Category!A:B, 2, FALSE), "Uncategorized")</f>
        <v>Pallets</v>
      </c>
      <c r="Y242" s="5">
        <f t="shared" si="74"/>
        <v>0</v>
      </c>
      <c r="Z242">
        <f t="shared" si="62"/>
        <v>5</v>
      </c>
      <c r="AA242">
        <f t="shared" si="63"/>
        <v>72</v>
      </c>
      <c r="AB242">
        <f t="shared" si="64"/>
        <v>1</v>
      </c>
      <c r="AC242" s="10">
        <f t="shared" si="65"/>
        <v>87</v>
      </c>
      <c r="AD242" s="5">
        <f t="shared" si="58"/>
        <v>1</v>
      </c>
      <c r="AE242" s="5">
        <f t="shared" si="59"/>
        <v>1</v>
      </c>
      <c r="AF242" s="5">
        <f t="shared" si="66"/>
        <v>0</v>
      </c>
      <c r="AG242">
        <f>IF(B242&lt;&gt;"", COUNTIFS($B$2:B242, B242), "")</f>
        <v>25</v>
      </c>
      <c r="AH242">
        <f t="shared" si="67"/>
        <v>5</v>
      </c>
      <c r="AI242" t="str">
        <f>VLOOKUP(B242, Currency!A:B, 2, FALSE)</f>
        <v>INR</v>
      </c>
      <c r="AJ242">
        <f t="shared" si="60"/>
        <v>4</v>
      </c>
      <c r="AK242">
        <f t="shared" si="68"/>
        <v>6</v>
      </c>
      <c r="AL242" t="str">
        <f t="shared" si="69"/>
        <v>June</v>
      </c>
      <c r="AM242">
        <f t="shared" si="70"/>
        <v>2023</v>
      </c>
      <c r="AN242" t="str">
        <f t="shared" si="61"/>
        <v>30Plastocon Industries Pvt Ltd</v>
      </c>
      <c r="AO242">
        <f>IF(COUNTIF($AN$2:AN242, AN242)=1, 1, 0)</f>
        <v>0</v>
      </c>
      <c r="AP242" t="str">
        <f t="shared" si="71"/>
        <v>&gt;3</v>
      </c>
      <c r="AQ242" t="str">
        <f t="shared" si="72"/>
        <v>&gt;3</v>
      </c>
      <c r="AR242" t="str">
        <f t="shared" si="73"/>
        <v>&lt;=3</v>
      </c>
    </row>
    <row r="243" spans="1:44" x14ac:dyDescent="0.3">
      <c r="A243" t="s">
        <v>33</v>
      </c>
      <c r="B243" t="s">
        <v>122</v>
      </c>
      <c r="C243" t="s">
        <v>281</v>
      </c>
      <c r="D243">
        <v>4184</v>
      </c>
      <c r="E243">
        <v>23210616</v>
      </c>
      <c r="F243" t="s">
        <v>405</v>
      </c>
      <c r="G243" t="s">
        <v>406</v>
      </c>
      <c r="H243">
        <v>600</v>
      </c>
      <c r="I243">
        <v>930</v>
      </c>
      <c r="J243">
        <v>558000</v>
      </c>
      <c r="K243" t="str">
        <f>IFERROR(IF(B243&lt;&gt;"", TEXT(VLOOKUP(B243, 'Expected Date'!A:B, 2, FALSE) + DATE(RIGHT(C243,2),MID(C243,4,2),LEFT(C243,2)), "dd/mm/yy"), ""), "")</f>
        <v>20/09/23</v>
      </c>
      <c r="L243" t="s">
        <v>38</v>
      </c>
      <c r="M243" t="s">
        <v>39</v>
      </c>
      <c r="N243" t="s">
        <v>364</v>
      </c>
      <c r="O243" t="s">
        <v>323</v>
      </c>
      <c r="P243">
        <v>23291415</v>
      </c>
      <c r="Q243" t="s">
        <v>405</v>
      </c>
      <c r="R243" t="s">
        <v>406</v>
      </c>
      <c r="S243">
        <v>120</v>
      </c>
      <c r="T243">
        <v>930</v>
      </c>
      <c r="U243">
        <v>111600</v>
      </c>
      <c r="V243" t="str">
        <f t="shared" si="57"/>
        <v>Accepted</v>
      </c>
      <c r="W243">
        <f>IFERROR(VLOOKUP(N243, Payment_Terms!A:B, 2, FALSE), "Payment term not found!")</f>
        <v>30</v>
      </c>
      <c r="X243" t="str">
        <f>IFERROR(VLOOKUP(R243, Item_Category!A:B, 2, FALSE), "Uncategorized")</f>
        <v>Pallets</v>
      </c>
      <c r="Y243" s="5">
        <f t="shared" si="74"/>
        <v>0</v>
      </c>
      <c r="Z243">
        <f t="shared" si="62"/>
        <v>5</v>
      </c>
      <c r="AA243">
        <f t="shared" si="63"/>
        <v>-5</v>
      </c>
      <c r="AB243">
        <f t="shared" si="64"/>
        <v>5</v>
      </c>
      <c r="AC243" s="10">
        <f t="shared" si="65"/>
        <v>10</v>
      </c>
      <c r="AD243" s="5">
        <f t="shared" si="58"/>
        <v>1</v>
      </c>
      <c r="AE243" s="5">
        <f t="shared" si="59"/>
        <v>1</v>
      </c>
      <c r="AF243" s="5">
        <f t="shared" si="66"/>
        <v>0</v>
      </c>
      <c r="AG243">
        <f>IF(B243&lt;&gt;"", COUNTIFS($B$2:B243, B243), "")</f>
        <v>26</v>
      </c>
      <c r="AH243">
        <f t="shared" si="67"/>
        <v>5</v>
      </c>
      <c r="AI243" t="str">
        <f>VLOOKUP(B243, Currency!A:B, 2, FALSE)</f>
        <v>INR</v>
      </c>
      <c r="AJ243">
        <f t="shared" si="60"/>
        <v>5</v>
      </c>
      <c r="AK243">
        <f t="shared" si="68"/>
        <v>9</v>
      </c>
      <c r="AL243" t="str">
        <f t="shared" si="69"/>
        <v>September</v>
      </c>
      <c r="AM243">
        <f t="shared" si="70"/>
        <v>2023</v>
      </c>
      <c r="AN243" t="str">
        <f t="shared" si="61"/>
        <v>30Plastocon Industries Pvt Ltd</v>
      </c>
      <c r="AO243">
        <f>IF(COUNTIF($AN$2:AN243, AN243)=1, 1, 0)</f>
        <v>0</v>
      </c>
      <c r="AP243" t="str">
        <f t="shared" si="71"/>
        <v>&gt;3</v>
      </c>
      <c r="AQ243" t="str">
        <f t="shared" si="72"/>
        <v>&gt;3</v>
      </c>
      <c r="AR243" t="str">
        <f t="shared" si="73"/>
        <v>&gt;3</v>
      </c>
    </row>
    <row r="244" spans="1:44" x14ac:dyDescent="0.3">
      <c r="A244" t="str">
        <f>A239</f>
        <v>Woodpulp</v>
      </c>
      <c r="B244" t="s">
        <v>140</v>
      </c>
      <c r="C244" t="s">
        <v>71</v>
      </c>
      <c r="D244">
        <v>2735</v>
      </c>
      <c r="E244">
        <v>23220043</v>
      </c>
      <c r="F244" t="s">
        <v>359</v>
      </c>
      <c r="G244" t="s">
        <v>360</v>
      </c>
      <c r="H244">
        <v>100</v>
      </c>
      <c r="I244">
        <v>830</v>
      </c>
      <c r="J244">
        <v>6781100</v>
      </c>
      <c r="K244" t="str">
        <f>IFERROR(IF(B244&lt;&gt;"", TEXT(VLOOKUP(B244, 'Expected Date'!A:B, 2, FALSE) + DATE(RIGHT(C244,2),MID(C244,4,2),LEFT(C244,2)), "dd/mm/yy"), ""), "")</f>
        <v>06/08/23</v>
      </c>
      <c r="L244" t="s">
        <v>68</v>
      </c>
      <c r="M244" t="str">
        <f>M73</f>
        <v>MT</v>
      </c>
      <c r="N244" t="s">
        <v>144</v>
      </c>
      <c r="O244" t="s">
        <v>263</v>
      </c>
      <c r="P244">
        <v>23291673</v>
      </c>
      <c r="Q244" t="s">
        <v>359</v>
      </c>
      <c r="R244" t="s">
        <v>360</v>
      </c>
      <c r="S244">
        <v>98.694000000000003</v>
      </c>
      <c r="T244">
        <v>830</v>
      </c>
      <c r="U244">
        <v>6741688.4500000002</v>
      </c>
      <c r="V244" t="str">
        <f t="shared" si="57"/>
        <v>Accepted</v>
      </c>
      <c r="W244">
        <f>IFERROR(VLOOKUP(N244, Payment_Terms!A:B, 2, FALSE), "Payment term not found!")</f>
        <v>30</v>
      </c>
      <c r="X244" t="str">
        <f>IFERROR(VLOOKUP(R244, Item_Category!A:B, 2, FALSE), "Uncategorized")</f>
        <v>Wood pulp</v>
      </c>
      <c r="Y244" s="5">
        <f t="shared" si="74"/>
        <v>1.3059999999999974E-2</v>
      </c>
      <c r="Z244">
        <f t="shared" si="62"/>
        <v>4</v>
      </c>
      <c r="AA244">
        <f t="shared" si="63"/>
        <v>64</v>
      </c>
      <c r="AB244">
        <f t="shared" si="64"/>
        <v>1</v>
      </c>
      <c r="AC244" s="10">
        <f t="shared" si="65"/>
        <v>109</v>
      </c>
      <c r="AD244" s="5">
        <f t="shared" si="58"/>
        <v>1</v>
      </c>
      <c r="AE244" s="5">
        <f t="shared" si="59"/>
        <v>1</v>
      </c>
      <c r="AF244" s="5">
        <f t="shared" si="66"/>
        <v>0</v>
      </c>
      <c r="AG244">
        <f>IF(B244&lt;&gt;"", COUNTIFS($B$2:B244, B244), "")</f>
        <v>11</v>
      </c>
      <c r="AH244">
        <f t="shared" si="67"/>
        <v>5</v>
      </c>
      <c r="AI244" t="str">
        <f>VLOOKUP(B244, Currency!A:B, 2, FALSE)</f>
        <v>USD</v>
      </c>
      <c r="AJ244">
        <f t="shared" si="60"/>
        <v>4</v>
      </c>
      <c r="AK244">
        <f t="shared" si="68"/>
        <v>6</v>
      </c>
      <c r="AL244" t="str">
        <f t="shared" si="69"/>
        <v>June</v>
      </c>
      <c r="AM244">
        <f t="shared" si="70"/>
        <v>2023</v>
      </c>
      <c r="AN244" t="str">
        <f t="shared" si="61"/>
        <v>30Sappi Paper Holdings GMBH</v>
      </c>
      <c r="AO244">
        <f>IF(COUNTIF($AN$2:AN244, AN244)=1, 1, 0)</f>
        <v>0</v>
      </c>
      <c r="AP244" t="str">
        <f t="shared" si="71"/>
        <v>&gt;3</v>
      </c>
      <c r="AQ244" t="str">
        <f t="shared" si="72"/>
        <v>&gt;3</v>
      </c>
      <c r="AR244" t="str">
        <f t="shared" si="73"/>
        <v>&lt;=3</v>
      </c>
    </row>
    <row r="245" spans="1:44" x14ac:dyDescent="0.3">
      <c r="A245" t="s">
        <v>33</v>
      </c>
      <c r="B245" t="s">
        <v>371</v>
      </c>
      <c r="C245" t="s">
        <v>192</v>
      </c>
      <c r="D245">
        <v>3771</v>
      </c>
      <c r="E245">
        <v>23210547</v>
      </c>
      <c r="F245" t="s">
        <v>372</v>
      </c>
      <c r="G245" t="s">
        <v>373</v>
      </c>
      <c r="H245">
        <v>20</v>
      </c>
      <c r="I245">
        <v>1100</v>
      </c>
      <c r="J245">
        <v>22000</v>
      </c>
      <c r="K245" t="str">
        <f>IFERROR(IF(B245&lt;&gt;"", TEXT(VLOOKUP(B245, 'Expected Date'!A:B, 2, FALSE) + DATE(RIGHT(C245,2),MID(C245,4,2),LEFT(C245,2)), "dd/mm/yy"), ""), "")</f>
        <v>19/08/23</v>
      </c>
      <c r="L245" t="s">
        <v>68</v>
      </c>
      <c r="M245" t="s">
        <v>48</v>
      </c>
      <c r="N245" t="s">
        <v>342</v>
      </c>
      <c r="O245" t="s">
        <v>394</v>
      </c>
      <c r="P245">
        <v>23291127</v>
      </c>
      <c r="Q245" t="s">
        <v>372</v>
      </c>
      <c r="R245" t="s">
        <v>373</v>
      </c>
      <c r="S245">
        <v>10.050000000000001</v>
      </c>
      <c r="T245">
        <v>1100</v>
      </c>
      <c r="U245">
        <v>11055</v>
      </c>
      <c r="V245" t="str">
        <f t="shared" si="57"/>
        <v>Accepted</v>
      </c>
      <c r="W245">
        <f>IFERROR(VLOOKUP(N245, Payment_Terms!A:B, 2, FALSE), "Payment term not found!")</f>
        <v>30</v>
      </c>
      <c r="X245" t="str">
        <f>IFERROR(VLOOKUP(R245, Item_Category!A:B, 2, FALSE), "Uncategorized")</f>
        <v>HCL</v>
      </c>
      <c r="Y245" s="5">
        <f t="shared" si="74"/>
        <v>4.9999999999990048E-4</v>
      </c>
      <c r="Z245">
        <f t="shared" si="62"/>
        <v>4</v>
      </c>
      <c r="AA245">
        <f t="shared" si="63"/>
        <v>-2</v>
      </c>
      <c r="AB245">
        <f t="shared" si="64"/>
        <v>5</v>
      </c>
      <c r="AC245" s="10">
        <f t="shared" si="65"/>
        <v>3</v>
      </c>
      <c r="AD245" s="5">
        <f t="shared" si="58"/>
        <v>1</v>
      </c>
      <c r="AE245" s="5">
        <f t="shared" si="59"/>
        <v>1</v>
      </c>
      <c r="AF245" s="5">
        <f t="shared" si="66"/>
        <v>0</v>
      </c>
      <c r="AG245">
        <f>IF(B245&lt;&gt;"", COUNTIFS($B$2:B245, B245), "")</f>
        <v>13</v>
      </c>
      <c r="AH245">
        <f t="shared" si="67"/>
        <v>5</v>
      </c>
      <c r="AI245" t="str">
        <f>VLOOKUP(B245, Currency!A:B, 2, FALSE)</f>
        <v>INR</v>
      </c>
      <c r="AJ245">
        <f t="shared" si="60"/>
        <v>5</v>
      </c>
      <c r="AK245">
        <f t="shared" si="68"/>
        <v>8</v>
      </c>
      <c r="AL245" t="str">
        <f t="shared" si="69"/>
        <v>August</v>
      </c>
      <c r="AM245">
        <f t="shared" si="70"/>
        <v>2023</v>
      </c>
      <c r="AN245" t="str">
        <f t="shared" si="61"/>
        <v>30SHREE ACID AND CHEMICALS</v>
      </c>
      <c r="AO245">
        <f>IF(COUNTIF($AN$2:AN245, AN245)=1, 1, 0)</f>
        <v>0</v>
      </c>
      <c r="AP245" t="str">
        <f t="shared" si="71"/>
        <v>&gt;3</v>
      </c>
      <c r="AQ245" t="str">
        <f t="shared" si="72"/>
        <v>&gt;3</v>
      </c>
      <c r="AR245" t="str">
        <f t="shared" si="73"/>
        <v>&gt;3</v>
      </c>
    </row>
    <row r="246" spans="1:44" x14ac:dyDescent="0.3">
      <c r="A246" t="s">
        <v>33</v>
      </c>
      <c r="B246" t="s">
        <v>366</v>
      </c>
      <c r="C246" t="s">
        <v>178</v>
      </c>
      <c r="D246">
        <v>4154</v>
      </c>
      <c r="E246">
        <v>23210608</v>
      </c>
      <c r="F246" t="s">
        <v>392</v>
      </c>
      <c r="G246" t="s">
        <v>393</v>
      </c>
      <c r="H246">
        <v>100</v>
      </c>
      <c r="I246">
        <v>9850</v>
      </c>
      <c r="J246">
        <v>985000</v>
      </c>
      <c r="K246" t="str">
        <f>IFERROR(IF(B246&lt;&gt;"", TEXT(VLOOKUP(B246, 'Expected Date'!A:B, 2, FALSE) + DATE(RIGHT(C246,2),MID(C246,4,2),LEFT(C246,2)), "dd/mm/yy"), ""), "")</f>
        <v>03/09/23</v>
      </c>
      <c r="L246" t="s">
        <v>38</v>
      </c>
      <c r="M246" t="s">
        <v>48</v>
      </c>
      <c r="N246" t="s">
        <v>370</v>
      </c>
      <c r="O246" t="s">
        <v>103</v>
      </c>
      <c r="P246">
        <v>23291350</v>
      </c>
      <c r="Q246" t="s">
        <v>392</v>
      </c>
      <c r="R246" t="s">
        <v>393</v>
      </c>
      <c r="S246">
        <v>29.64</v>
      </c>
      <c r="T246">
        <v>9850</v>
      </c>
      <c r="U246">
        <v>291954</v>
      </c>
      <c r="V246" t="str">
        <f t="shared" si="57"/>
        <v>Accepted</v>
      </c>
      <c r="W246">
        <f>IFERROR(VLOOKUP(N246, Payment_Terms!A:B, 2, FALSE), "Payment term not found!")</f>
        <v>15</v>
      </c>
      <c r="X246" t="str">
        <f>IFERROR(VLOOKUP(R246, Item_Category!A:B, 2, FALSE), "Uncategorized")</f>
        <v>Coal materials</v>
      </c>
      <c r="Y246" s="5">
        <f t="shared" si="74"/>
        <v>0</v>
      </c>
      <c r="Z246">
        <f t="shared" si="62"/>
        <v>5</v>
      </c>
      <c r="AA246">
        <f t="shared" si="63"/>
        <v>3</v>
      </c>
      <c r="AB246">
        <f t="shared" si="64"/>
        <v>4</v>
      </c>
      <c r="AC246" s="10">
        <f t="shared" si="65"/>
        <v>5</v>
      </c>
      <c r="AD246" s="5">
        <f t="shared" si="58"/>
        <v>1</v>
      </c>
      <c r="AE246" s="5">
        <f t="shared" si="59"/>
        <v>1</v>
      </c>
      <c r="AF246" s="5">
        <f t="shared" si="66"/>
        <v>0</v>
      </c>
      <c r="AG246">
        <f>IF(B246&lt;&gt;"", COUNTIFS($B$2:B246, B246), "")</f>
        <v>43</v>
      </c>
      <c r="AH246">
        <f t="shared" si="67"/>
        <v>5</v>
      </c>
      <c r="AI246" t="str">
        <f>VLOOKUP(B246, Currency!A:B, 2, FALSE)</f>
        <v>INR</v>
      </c>
      <c r="AJ246">
        <f t="shared" si="60"/>
        <v>5</v>
      </c>
      <c r="AK246">
        <f t="shared" si="68"/>
        <v>9</v>
      </c>
      <c r="AL246" t="str">
        <f t="shared" si="69"/>
        <v>September</v>
      </c>
      <c r="AM246">
        <f t="shared" si="70"/>
        <v>2023</v>
      </c>
      <c r="AN246" t="str">
        <f t="shared" si="61"/>
        <v>15SKYWIN ENTERPRISE</v>
      </c>
      <c r="AO246">
        <f>IF(COUNTIF($AN$2:AN246, AN246)=1, 1, 0)</f>
        <v>0</v>
      </c>
      <c r="AP246" t="str">
        <f t="shared" si="71"/>
        <v>&gt;3</v>
      </c>
      <c r="AQ246" t="str">
        <f t="shared" si="72"/>
        <v>&gt;3</v>
      </c>
      <c r="AR246" t="str">
        <f t="shared" si="73"/>
        <v>&gt;3</v>
      </c>
    </row>
    <row r="247" spans="1:44" x14ac:dyDescent="0.3">
      <c r="A247" t="s">
        <v>95</v>
      </c>
      <c r="B247" t="s">
        <v>521</v>
      </c>
      <c r="C247" t="s">
        <v>257</v>
      </c>
      <c r="D247">
        <v>2685</v>
      </c>
      <c r="E247">
        <v>23220025</v>
      </c>
      <c r="F247" t="s">
        <v>522</v>
      </c>
      <c r="G247" t="s">
        <v>523</v>
      </c>
      <c r="H247">
        <v>50</v>
      </c>
      <c r="I247">
        <v>820</v>
      </c>
      <c r="J247">
        <v>3349700</v>
      </c>
      <c r="K247" t="str">
        <f>IFERROR(IF(B247&lt;&gt;"", TEXT(VLOOKUP(B247, 'Expected Date'!A:B, 2, FALSE) + DATE(RIGHT(C247,2),MID(C247,4,2),LEFT(C247,2)), "dd/mm/yy"), ""), "")</f>
        <v>26/08/23</v>
      </c>
      <c r="L247" t="s">
        <v>38</v>
      </c>
      <c r="M247" t="str">
        <f>M73</f>
        <v>MT</v>
      </c>
      <c r="N247" t="s">
        <v>524</v>
      </c>
      <c r="O247" t="s">
        <v>279</v>
      </c>
      <c r="P247">
        <v>23291483</v>
      </c>
      <c r="Q247" t="s">
        <v>522</v>
      </c>
      <c r="R247" t="s">
        <v>523</v>
      </c>
      <c r="S247">
        <v>51.505000000000003</v>
      </c>
      <c r="T247">
        <v>820</v>
      </c>
      <c r="U247">
        <v>3471643.02</v>
      </c>
      <c r="V247" t="str">
        <f t="shared" si="57"/>
        <v>Accepted</v>
      </c>
      <c r="W247">
        <f>IFERROR(VLOOKUP(N247, Payment_Terms!A:B, 2, FALSE), "Payment term not found!")</f>
        <v>60</v>
      </c>
      <c r="X247" t="str">
        <f>IFERROR(VLOOKUP(R247, Item_Category!A:B, 2, FALSE), "Uncategorized")</f>
        <v>Wood pulp</v>
      </c>
      <c r="Y247" s="5">
        <f t="shared" si="74"/>
        <v>0</v>
      </c>
      <c r="Z247">
        <f t="shared" si="62"/>
        <v>5</v>
      </c>
      <c r="AA247">
        <f t="shared" si="63"/>
        <v>24</v>
      </c>
      <c r="AB247">
        <f t="shared" si="64"/>
        <v>1</v>
      </c>
      <c r="AC247" s="10">
        <f t="shared" si="65"/>
        <v>84</v>
      </c>
      <c r="AD247" s="5">
        <f t="shared" si="58"/>
        <v>1</v>
      </c>
      <c r="AE247" s="5">
        <f t="shared" si="59"/>
        <v>1</v>
      </c>
      <c r="AF247" s="5">
        <f t="shared" si="66"/>
        <v>0</v>
      </c>
      <c r="AG247">
        <f>IF(B247&lt;&gt;"", COUNTIFS($B$2:B247, B247), "")</f>
        <v>1</v>
      </c>
      <c r="AH247">
        <f t="shared" si="67"/>
        <v>5</v>
      </c>
      <c r="AI247" t="str">
        <f>VLOOKUP(B247, Currency!A:B, 2, FALSE)</f>
        <v>USD</v>
      </c>
      <c r="AJ247">
        <f t="shared" si="60"/>
        <v>4</v>
      </c>
      <c r="AK247">
        <f t="shared" si="68"/>
        <v>6</v>
      </c>
      <c r="AL247" t="str">
        <f t="shared" si="69"/>
        <v>June</v>
      </c>
      <c r="AM247">
        <f t="shared" si="70"/>
        <v>2023</v>
      </c>
      <c r="AN247" t="str">
        <f t="shared" si="61"/>
        <v>60Rayonier A M Sales &amp; Technology Inc</v>
      </c>
      <c r="AO247">
        <f>IF(COUNTIF($AN$2:AN247, AN247)=1, 1, 0)</f>
        <v>1</v>
      </c>
      <c r="AP247" t="str">
        <f t="shared" si="71"/>
        <v>&gt;3</v>
      </c>
      <c r="AQ247" t="str">
        <f t="shared" si="72"/>
        <v>&gt;3</v>
      </c>
      <c r="AR247" t="str">
        <f t="shared" si="73"/>
        <v>&lt;=3</v>
      </c>
    </row>
    <row r="248" spans="1:44" x14ac:dyDescent="0.3">
      <c r="A248" t="s">
        <v>33</v>
      </c>
      <c r="B248" t="s">
        <v>366</v>
      </c>
      <c r="C248" t="s">
        <v>52</v>
      </c>
      <c r="D248">
        <v>3770</v>
      </c>
      <c r="E248">
        <v>23210546</v>
      </c>
      <c r="F248" t="s">
        <v>392</v>
      </c>
      <c r="G248" t="s">
        <v>393</v>
      </c>
      <c r="H248">
        <v>150</v>
      </c>
      <c r="I248">
        <v>9850</v>
      </c>
      <c r="J248">
        <v>1477500</v>
      </c>
      <c r="K248" t="str">
        <f>IFERROR(IF(B248&lt;&gt;"", TEXT(VLOOKUP(B248, 'Expected Date'!A:B, 2, FALSE) + DATE(RIGHT(C248,2),MID(C248,4,2),LEFT(C248,2)), "dd/mm/yy"), ""), "")</f>
        <v>18/08/23</v>
      </c>
      <c r="L248" t="s">
        <v>68</v>
      </c>
      <c r="M248" t="s">
        <v>48</v>
      </c>
      <c r="N248" t="s">
        <v>370</v>
      </c>
      <c r="O248" t="s">
        <v>78</v>
      </c>
      <c r="P248">
        <v>23291214</v>
      </c>
      <c r="Q248" t="s">
        <v>392</v>
      </c>
      <c r="R248" t="s">
        <v>393</v>
      </c>
      <c r="S248">
        <v>28.07</v>
      </c>
      <c r="T248">
        <v>9850</v>
      </c>
      <c r="U248">
        <v>276489.5</v>
      </c>
      <c r="V248" t="str">
        <f t="shared" si="57"/>
        <v>Accepted</v>
      </c>
      <c r="W248">
        <f>IFERROR(VLOOKUP(N248, Payment_Terms!A:B, 2, FALSE), "Payment term not found!")</f>
        <v>15</v>
      </c>
      <c r="X248" t="str">
        <f>IFERROR(VLOOKUP(R248, Item_Category!A:B, 2, FALSE), "Uncategorized")</f>
        <v>Coal materials</v>
      </c>
      <c r="Y248" s="5">
        <f t="shared" si="74"/>
        <v>5.1333333333333259E-2</v>
      </c>
      <c r="Z248">
        <f t="shared" si="62"/>
        <v>2</v>
      </c>
      <c r="AA248">
        <f t="shared" si="63"/>
        <v>6</v>
      </c>
      <c r="AB248">
        <f t="shared" si="64"/>
        <v>3</v>
      </c>
      <c r="AC248" s="10">
        <f t="shared" si="65"/>
        <v>8</v>
      </c>
      <c r="AD248" s="5">
        <f t="shared" si="58"/>
        <v>1</v>
      </c>
      <c r="AE248" s="5">
        <f t="shared" si="59"/>
        <v>1</v>
      </c>
      <c r="AF248" s="5">
        <f t="shared" si="66"/>
        <v>0</v>
      </c>
      <c r="AG248">
        <f>IF(B248&lt;&gt;"", COUNTIFS($B$2:B248, B248), "")</f>
        <v>44</v>
      </c>
      <c r="AH248">
        <f t="shared" si="67"/>
        <v>5</v>
      </c>
      <c r="AI248" t="str">
        <f>VLOOKUP(B248, Currency!A:B, 2, FALSE)</f>
        <v>INR</v>
      </c>
      <c r="AJ248">
        <f t="shared" si="60"/>
        <v>4</v>
      </c>
      <c r="AK248">
        <f t="shared" si="68"/>
        <v>8</v>
      </c>
      <c r="AL248" t="str">
        <f t="shared" si="69"/>
        <v>August</v>
      </c>
      <c r="AM248">
        <f t="shared" si="70"/>
        <v>2023</v>
      </c>
      <c r="AN248" t="str">
        <f t="shared" si="61"/>
        <v>15SKYWIN ENTERPRISE</v>
      </c>
      <c r="AO248">
        <f>IF(COUNTIF($AN$2:AN248, AN248)=1, 1, 0)</f>
        <v>0</v>
      </c>
      <c r="AP248" t="str">
        <f t="shared" si="71"/>
        <v>&gt;3</v>
      </c>
      <c r="AQ248" t="str">
        <f t="shared" si="72"/>
        <v>&lt;=3</v>
      </c>
      <c r="AR248" t="str">
        <f t="shared" si="73"/>
        <v>&lt;=3</v>
      </c>
    </row>
    <row r="249" spans="1:44" x14ac:dyDescent="0.3">
      <c r="A249" t="s">
        <v>33</v>
      </c>
      <c r="B249" t="s">
        <v>366</v>
      </c>
      <c r="C249" t="s">
        <v>52</v>
      </c>
      <c r="D249">
        <v>3770</v>
      </c>
      <c r="E249">
        <v>23210546</v>
      </c>
      <c r="F249" t="s">
        <v>392</v>
      </c>
      <c r="G249" t="s">
        <v>393</v>
      </c>
      <c r="H249">
        <v>150</v>
      </c>
      <c r="I249">
        <v>9850</v>
      </c>
      <c r="J249">
        <v>1477500</v>
      </c>
      <c r="K249" t="str">
        <f>IFERROR(IF(B249&lt;&gt;"", TEXT(VLOOKUP(B249, 'Expected Date'!A:B, 2, FALSE) + DATE(RIGHT(C249,2),MID(C249,4,2),LEFT(C249,2)), "dd/mm/yy"), ""), "")</f>
        <v>18/08/23</v>
      </c>
      <c r="L249" t="s">
        <v>68</v>
      </c>
      <c r="M249" t="s">
        <v>48</v>
      </c>
      <c r="N249" t="s">
        <v>370</v>
      </c>
      <c r="O249" t="s">
        <v>525</v>
      </c>
      <c r="P249">
        <v>23291164</v>
      </c>
      <c r="Q249" t="s">
        <v>392</v>
      </c>
      <c r="R249" t="s">
        <v>393</v>
      </c>
      <c r="S249">
        <v>27.72</v>
      </c>
      <c r="T249">
        <v>9850</v>
      </c>
      <c r="U249">
        <v>273042</v>
      </c>
      <c r="V249" t="str">
        <f t="shared" si="57"/>
        <v>Accepted</v>
      </c>
      <c r="W249">
        <f>IFERROR(VLOOKUP(N249, Payment_Terms!A:B, 2, FALSE), "Payment term not found!")</f>
        <v>15</v>
      </c>
      <c r="X249" t="str">
        <f>IFERROR(VLOOKUP(R249, Item_Category!A:B, 2, FALSE), "Uncategorized")</f>
        <v>Coal materials</v>
      </c>
      <c r="Y249" s="5">
        <f t="shared" si="74"/>
        <v>5.1333333333333259E-2</v>
      </c>
      <c r="Z249">
        <f t="shared" si="62"/>
        <v>2</v>
      </c>
      <c r="AA249">
        <f t="shared" si="63"/>
        <v>1</v>
      </c>
      <c r="AB249">
        <f t="shared" si="64"/>
        <v>5</v>
      </c>
      <c r="AC249" s="10">
        <f t="shared" si="65"/>
        <v>3</v>
      </c>
      <c r="AD249" s="5">
        <f t="shared" si="58"/>
        <v>1</v>
      </c>
      <c r="AE249" s="5">
        <f t="shared" si="59"/>
        <v>1</v>
      </c>
      <c r="AF249" s="5">
        <f t="shared" si="66"/>
        <v>0</v>
      </c>
      <c r="AG249">
        <f>IF(B249&lt;&gt;"", COUNTIFS($B$2:B249, B249), "")</f>
        <v>45</v>
      </c>
      <c r="AH249">
        <f t="shared" si="67"/>
        <v>5</v>
      </c>
      <c r="AI249" t="str">
        <f>VLOOKUP(B249, Currency!A:B, 2, FALSE)</f>
        <v>INR</v>
      </c>
      <c r="AJ249">
        <f t="shared" si="60"/>
        <v>5</v>
      </c>
      <c r="AK249">
        <f t="shared" si="68"/>
        <v>8</v>
      </c>
      <c r="AL249" t="str">
        <f t="shared" si="69"/>
        <v>August</v>
      </c>
      <c r="AM249">
        <f t="shared" si="70"/>
        <v>2023</v>
      </c>
      <c r="AN249" t="str">
        <f t="shared" si="61"/>
        <v>15SKYWIN ENTERPRISE</v>
      </c>
      <c r="AO249">
        <f>IF(COUNTIF($AN$2:AN249, AN249)=1, 1, 0)</f>
        <v>0</v>
      </c>
      <c r="AP249" t="str">
        <f t="shared" si="71"/>
        <v>&gt;3</v>
      </c>
      <c r="AQ249" t="str">
        <f t="shared" si="72"/>
        <v>&lt;=3</v>
      </c>
      <c r="AR249" t="str">
        <f t="shared" si="73"/>
        <v>&gt;3</v>
      </c>
    </row>
    <row r="250" spans="1:44" x14ac:dyDescent="0.3">
      <c r="A250" t="s">
        <v>33</v>
      </c>
      <c r="B250" t="s">
        <v>395</v>
      </c>
      <c r="C250" t="s">
        <v>58</v>
      </c>
      <c r="D250">
        <v>3539</v>
      </c>
      <c r="E250">
        <v>23210491</v>
      </c>
      <c r="F250" t="s">
        <v>368</v>
      </c>
      <c r="G250" t="s">
        <v>369</v>
      </c>
      <c r="H250">
        <v>100000</v>
      </c>
      <c r="I250">
        <v>7.7</v>
      </c>
      <c r="J250">
        <v>770000</v>
      </c>
      <c r="K250" t="str">
        <f>IFERROR(IF(B250&lt;&gt;"", TEXT(VLOOKUP(B250, 'Expected Date'!A:B, 2, FALSE) + DATE(RIGHT(C250,2),MID(C250,4,2),LEFT(C250,2)), "dd/mm/yy"), ""), "")</f>
        <v>06/08/23</v>
      </c>
      <c r="L250" t="s">
        <v>68</v>
      </c>
      <c r="M250" t="s">
        <v>48</v>
      </c>
      <c r="N250" t="s">
        <v>318</v>
      </c>
      <c r="O250" t="s">
        <v>288</v>
      </c>
      <c r="P250">
        <v>23291165</v>
      </c>
      <c r="Q250" t="s">
        <v>368</v>
      </c>
      <c r="R250" t="s">
        <v>369</v>
      </c>
      <c r="S250">
        <v>32600</v>
      </c>
      <c r="T250">
        <v>7.7</v>
      </c>
      <c r="U250">
        <v>251020</v>
      </c>
      <c r="V250" t="str">
        <f t="shared" si="57"/>
        <v>Accepted</v>
      </c>
      <c r="W250">
        <f>IFERROR(VLOOKUP(N250, Payment_Terms!A:B, 2, FALSE), "Payment term not found!")</f>
        <v>30</v>
      </c>
      <c r="X250" t="str">
        <f>IFERROR(VLOOKUP(R250, Item_Category!A:B, 2, FALSE), "Uncategorized")</f>
        <v>Coal materials</v>
      </c>
      <c r="Y250" s="5">
        <f t="shared" si="74"/>
        <v>0.38919999999999999</v>
      </c>
      <c r="Z250">
        <f t="shared" si="62"/>
        <v>1</v>
      </c>
      <c r="AA250">
        <f t="shared" si="63"/>
        <v>12</v>
      </c>
      <c r="AB250">
        <f t="shared" si="64"/>
        <v>1</v>
      </c>
      <c r="AC250" s="10">
        <f t="shared" si="65"/>
        <v>17</v>
      </c>
      <c r="AD250" s="5">
        <f t="shared" si="58"/>
        <v>1</v>
      </c>
      <c r="AE250" s="5">
        <f t="shared" si="59"/>
        <v>1</v>
      </c>
      <c r="AF250" s="5">
        <f t="shared" si="66"/>
        <v>0</v>
      </c>
      <c r="AG250">
        <f>IF(B250&lt;&gt;"", COUNTIFS($B$2:B250, B250), "")</f>
        <v>23</v>
      </c>
      <c r="AH250">
        <f t="shared" si="67"/>
        <v>5</v>
      </c>
      <c r="AI250" t="str">
        <f>VLOOKUP(B250, Currency!A:B, 2, FALSE)</f>
        <v>INR</v>
      </c>
      <c r="AJ250">
        <f t="shared" si="60"/>
        <v>3</v>
      </c>
      <c r="AK250">
        <f t="shared" si="68"/>
        <v>8</v>
      </c>
      <c r="AL250" t="str">
        <f t="shared" si="69"/>
        <v>August</v>
      </c>
      <c r="AM250">
        <f t="shared" si="70"/>
        <v>2023</v>
      </c>
      <c r="AN250" t="str">
        <f t="shared" si="61"/>
        <v>30Crystal coal corporation</v>
      </c>
      <c r="AO250">
        <f>IF(COUNTIF($AN$2:AN250, AN250)=1, 1, 0)</f>
        <v>0</v>
      </c>
      <c r="AP250" t="str">
        <f t="shared" si="71"/>
        <v>&gt;3</v>
      </c>
      <c r="AQ250" t="str">
        <f t="shared" si="72"/>
        <v>&lt;=3</v>
      </c>
      <c r="AR250" t="str">
        <f t="shared" si="73"/>
        <v>&lt;=3</v>
      </c>
    </row>
    <row r="251" spans="1:44" x14ac:dyDescent="0.3">
      <c r="A251" t="s">
        <v>33</v>
      </c>
      <c r="B251" t="s">
        <v>366</v>
      </c>
      <c r="C251" t="s">
        <v>52</v>
      </c>
      <c r="D251">
        <v>3770</v>
      </c>
      <c r="E251">
        <v>23210546</v>
      </c>
      <c r="F251" t="s">
        <v>392</v>
      </c>
      <c r="G251" t="s">
        <v>393</v>
      </c>
      <c r="H251">
        <v>150</v>
      </c>
      <c r="I251">
        <v>9850</v>
      </c>
      <c r="J251">
        <v>1477500</v>
      </c>
      <c r="K251" t="str">
        <f>IFERROR(IF(B251&lt;&gt;"", TEXT(VLOOKUP(B251, 'Expected Date'!A:B, 2, FALSE) + DATE(RIGHT(C251,2),MID(C251,4,2),LEFT(C251,2)), "dd/mm/yy"), ""), "")</f>
        <v>18/08/23</v>
      </c>
      <c r="L251" t="s">
        <v>68</v>
      </c>
      <c r="M251" t="s">
        <v>48</v>
      </c>
      <c r="N251" t="s">
        <v>370</v>
      </c>
      <c r="O251" t="s">
        <v>221</v>
      </c>
      <c r="P251">
        <v>23291182</v>
      </c>
      <c r="Q251" t="s">
        <v>392</v>
      </c>
      <c r="R251" t="s">
        <v>393</v>
      </c>
      <c r="S251">
        <v>30.62</v>
      </c>
      <c r="T251">
        <v>9850</v>
      </c>
      <c r="U251">
        <v>301607</v>
      </c>
      <c r="V251" t="str">
        <f t="shared" si="57"/>
        <v>Accepted</v>
      </c>
      <c r="W251">
        <f>IFERROR(VLOOKUP(N251, Payment_Terms!A:B, 2, FALSE), "Payment term not found!")</f>
        <v>15</v>
      </c>
      <c r="X251" t="str">
        <f>IFERROR(VLOOKUP(R251, Item_Category!A:B, 2, FALSE), "Uncategorized")</f>
        <v>Coal materials</v>
      </c>
      <c r="Y251" s="5">
        <f t="shared" si="74"/>
        <v>5.1333333333333259E-2</v>
      </c>
      <c r="Z251">
        <f t="shared" si="62"/>
        <v>2</v>
      </c>
      <c r="AA251">
        <f t="shared" si="63"/>
        <v>3</v>
      </c>
      <c r="AB251">
        <f t="shared" si="64"/>
        <v>4</v>
      </c>
      <c r="AC251" s="10">
        <f t="shared" si="65"/>
        <v>5</v>
      </c>
      <c r="AD251" s="5">
        <f t="shared" si="58"/>
        <v>1</v>
      </c>
      <c r="AE251" s="5">
        <f t="shared" si="59"/>
        <v>1</v>
      </c>
      <c r="AF251" s="5">
        <f t="shared" si="66"/>
        <v>0</v>
      </c>
      <c r="AG251">
        <f>IF(B251&lt;&gt;"", COUNTIFS($B$2:B251, B251), "")</f>
        <v>46</v>
      </c>
      <c r="AH251">
        <f t="shared" si="67"/>
        <v>5</v>
      </c>
      <c r="AI251" t="str">
        <f>VLOOKUP(B251, Currency!A:B, 2, FALSE)</f>
        <v>INR</v>
      </c>
      <c r="AJ251">
        <f t="shared" si="60"/>
        <v>4</v>
      </c>
      <c r="AK251">
        <f t="shared" si="68"/>
        <v>8</v>
      </c>
      <c r="AL251" t="str">
        <f t="shared" si="69"/>
        <v>August</v>
      </c>
      <c r="AM251">
        <f t="shared" si="70"/>
        <v>2023</v>
      </c>
      <c r="AN251" t="str">
        <f t="shared" si="61"/>
        <v>15SKYWIN ENTERPRISE</v>
      </c>
      <c r="AO251">
        <f>IF(COUNTIF($AN$2:AN251, AN251)=1, 1, 0)</f>
        <v>0</v>
      </c>
      <c r="AP251" t="str">
        <f t="shared" si="71"/>
        <v>&gt;3</v>
      </c>
      <c r="AQ251" t="str">
        <f t="shared" si="72"/>
        <v>&lt;=3</v>
      </c>
      <c r="AR251" t="str">
        <f t="shared" si="73"/>
        <v>&gt;3</v>
      </c>
    </row>
    <row r="252" spans="1:44" x14ac:dyDescent="0.3">
      <c r="A252" t="s">
        <v>33</v>
      </c>
      <c r="B252" t="s">
        <v>366</v>
      </c>
      <c r="C252" t="s">
        <v>52</v>
      </c>
      <c r="D252">
        <v>3770</v>
      </c>
      <c r="E252">
        <v>23210546</v>
      </c>
      <c r="F252" t="s">
        <v>392</v>
      </c>
      <c r="G252" t="s">
        <v>393</v>
      </c>
      <c r="H252">
        <v>150</v>
      </c>
      <c r="I252">
        <v>9850</v>
      </c>
      <c r="J252">
        <v>1477500</v>
      </c>
      <c r="K252" t="str">
        <f>IFERROR(IF(B252&lt;&gt;"", TEXT(VLOOKUP(B252, 'Expected Date'!A:B, 2, FALSE) + DATE(RIGHT(C252,2),MID(C252,4,2),LEFT(C252,2)), "dd/mm/yy"), ""), "")</f>
        <v>18/08/23</v>
      </c>
      <c r="L252" t="s">
        <v>68</v>
      </c>
      <c r="M252" t="s">
        <v>48</v>
      </c>
      <c r="N252" t="s">
        <v>370</v>
      </c>
      <c r="O252" t="s">
        <v>294</v>
      </c>
      <c r="P252">
        <v>23291202</v>
      </c>
      <c r="Q252" t="s">
        <v>392</v>
      </c>
      <c r="R252" t="s">
        <v>393</v>
      </c>
      <c r="S252">
        <v>27.96</v>
      </c>
      <c r="T252">
        <v>9850</v>
      </c>
      <c r="U252">
        <v>275406</v>
      </c>
      <c r="V252" t="str">
        <f t="shared" si="57"/>
        <v>Accepted</v>
      </c>
      <c r="W252">
        <f>IFERROR(VLOOKUP(N252, Payment_Terms!A:B, 2, FALSE), "Payment term not found!")</f>
        <v>15</v>
      </c>
      <c r="X252" t="str">
        <f>IFERROR(VLOOKUP(R252, Item_Category!A:B, 2, FALSE), "Uncategorized")</f>
        <v>Coal materials</v>
      </c>
      <c r="Y252" s="5">
        <f t="shared" si="74"/>
        <v>5.1333333333333259E-2</v>
      </c>
      <c r="Z252">
        <f t="shared" si="62"/>
        <v>2</v>
      </c>
      <c r="AA252">
        <f t="shared" si="63"/>
        <v>5</v>
      </c>
      <c r="AB252">
        <f t="shared" si="64"/>
        <v>3</v>
      </c>
      <c r="AC252" s="10">
        <f t="shared" si="65"/>
        <v>7</v>
      </c>
      <c r="AD252" s="5">
        <f t="shared" si="58"/>
        <v>1</v>
      </c>
      <c r="AE252" s="5">
        <f t="shared" si="59"/>
        <v>1</v>
      </c>
      <c r="AF252" s="5">
        <f t="shared" si="66"/>
        <v>0</v>
      </c>
      <c r="AG252">
        <f>IF(B252&lt;&gt;"", COUNTIFS($B$2:B252, B252), "")</f>
        <v>47</v>
      </c>
      <c r="AH252">
        <f t="shared" si="67"/>
        <v>5</v>
      </c>
      <c r="AI252" t="str">
        <f>VLOOKUP(B252, Currency!A:B, 2, FALSE)</f>
        <v>INR</v>
      </c>
      <c r="AJ252">
        <f t="shared" si="60"/>
        <v>4</v>
      </c>
      <c r="AK252">
        <f t="shared" si="68"/>
        <v>8</v>
      </c>
      <c r="AL252" t="str">
        <f t="shared" si="69"/>
        <v>August</v>
      </c>
      <c r="AM252">
        <f t="shared" si="70"/>
        <v>2023</v>
      </c>
      <c r="AN252" t="str">
        <f t="shared" si="61"/>
        <v>15SKYWIN ENTERPRISE</v>
      </c>
      <c r="AO252">
        <f>IF(COUNTIF($AN$2:AN252, AN252)=1, 1, 0)</f>
        <v>0</v>
      </c>
      <c r="AP252" t="str">
        <f t="shared" si="71"/>
        <v>&gt;3</v>
      </c>
      <c r="AQ252" t="str">
        <f t="shared" si="72"/>
        <v>&lt;=3</v>
      </c>
      <c r="AR252" t="str">
        <f t="shared" si="73"/>
        <v>&lt;=3</v>
      </c>
    </row>
    <row r="253" spans="1:44" x14ac:dyDescent="0.3">
      <c r="A253" t="s">
        <v>33</v>
      </c>
      <c r="B253" t="s">
        <v>122</v>
      </c>
      <c r="C253" t="s">
        <v>281</v>
      </c>
      <c r="D253">
        <v>4184</v>
      </c>
      <c r="E253">
        <v>23210616</v>
      </c>
      <c r="F253" t="s">
        <v>405</v>
      </c>
      <c r="G253" t="s">
        <v>406</v>
      </c>
      <c r="H253">
        <v>600</v>
      </c>
      <c r="I253">
        <v>930</v>
      </c>
      <c r="J253">
        <v>558000</v>
      </c>
      <c r="K253" t="str">
        <f>IFERROR(IF(B253&lt;&gt;"", TEXT(VLOOKUP(B253, 'Expected Date'!A:B, 2, FALSE) + DATE(RIGHT(C253,2),MID(C253,4,2),LEFT(C253,2)), "dd/mm/yy"), ""), "")</f>
        <v>20/09/23</v>
      </c>
      <c r="L253" t="s">
        <v>38</v>
      </c>
      <c r="M253" t="s">
        <v>39</v>
      </c>
      <c r="N253" t="s">
        <v>364</v>
      </c>
      <c r="O253" t="s">
        <v>512</v>
      </c>
      <c r="P253">
        <v>23291609</v>
      </c>
      <c r="Q253" t="s">
        <v>405</v>
      </c>
      <c r="R253" t="s">
        <v>406</v>
      </c>
      <c r="S253">
        <v>180</v>
      </c>
      <c r="T253">
        <v>930</v>
      </c>
      <c r="U253">
        <v>167400</v>
      </c>
      <c r="V253" t="str">
        <f t="shared" si="57"/>
        <v>Accepted</v>
      </c>
      <c r="W253">
        <f>IFERROR(VLOOKUP(N253, Payment_Terms!A:B, 2, FALSE), "Payment term not found!")</f>
        <v>30</v>
      </c>
      <c r="X253" t="str">
        <f>IFERROR(VLOOKUP(R253, Item_Category!A:B, 2, FALSE), "Uncategorized")</f>
        <v>Pallets</v>
      </c>
      <c r="Y253" s="5">
        <f t="shared" si="74"/>
        <v>0</v>
      </c>
      <c r="Z253">
        <f t="shared" si="62"/>
        <v>5</v>
      </c>
      <c r="AA253">
        <f t="shared" si="63"/>
        <v>4</v>
      </c>
      <c r="AB253">
        <f t="shared" si="64"/>
        <v>4</v>
      </c>
      <c r="AC253" s="10">
        <f t="shared" si="65"/>
        <v>19</v>
      </c>
      <c r="AD253" s="5">
        <f t="shared" si="58"/>
        <v>1</v>
      </c>
      <c r="AE253" s="5">
        <f t="shared" si="59"/>
        <v>1</v>
      </c>
      <c r="AF253" s="5">
        <f t="shared" si="66"/>
        <v>0</v>
      </c>
      <c r="AG253">
        <f>IF(B253&lt;&gt;"", COUNTIFS($B$2:B253, B253), "")</f>
        <v>27</v>
      </c>
      <c r="AH253">
        <f t="shared" si="67"/>
        <v>5</v>
      </c>
      <c r="AI253" t="str">
        <f>VLOOKUP(B253, Currency!A:B, 2, FALSE)</f>
        <v>INR</v>
      </c>
      <c r="AJ253">
        <f t="shared" si="60"/>
        <v>5</v>
      </c>
      <c r="AK253">
        <f t="shared" si="68"/>
        <v>9</v>
      </c>
      <c r="AL253" t="str">
        <f t="shared" si="69"/>
        <v>September</v>
      </c>
      <c r="AM253">
        <f t="shared" si="70"/>
        <v>2023</v>
      </c>
      <c r="AN253" t="str">
        <f t="shared" si="61"/>
        <v>30Plastocon Industries Pvt Ltd</v>
      </c>
      <c r="AO253">
        <f>IF(COUNTIF($AN$2:AN253, AN253)=1, 1, 0)</f>
        <v>0</v>
      </c>
      <c r="AP253" t="str">
        <f t="shared" si="71"/>
        <v>&gt;3</v>
      </c>
      <c r="AQ253" t="str">
        <f t="shared" si="72"/>
        <v>&gt;3</v>
      </c>
      <c r="AR253" t="str">
        <f t="shared" si="73"/>
        <v>&gt;3</v>
      </c>
    </row>
    <row r="254" spans="1:44" x14ac:dyDescent="0.3">
      <c r="A254" t="s">
        <v>33</v>
      </c>
      <c r="B254" t="s">
        <v>371</v>
      </c>
      <c r="C254" t="s">
        <v>519</v>
      </c>
      <c r="D254">
        <v>4743</v>
      </c>
      <c r="E254">
        <v>23210719</v>
      </c>
      <c r="F254" t="s">
        <v>372</v>
      </c>
      <c r="G254" t="s">
        <v>373</v>
      </c>
      <c r="H254">
        <v>20</v>
      </c>
      <c r="I254">
        <v>1100</v>
      </c>
      <c r="J254">
        <v>22000</v>
      </c>
      <c r="K254" t="str">
        <f>IFERROR(IF(B254&lt;&gt;"", TEXT(VLOOKUP(B254, 'Expected Date'!A:B, 2, FALSE) + DATE(RIGHT(C254,2),MID(C254,4,2),LEFT(C254,2)), "dd/mm/yy"), ""), "")</f>
        <v>04/10/23</v>
      </c>
      <c r="L254" t="s">
        <v>68</v>
      </c>
      <c r="M254" t="s">
        <v>48</v>
      </c>
      <c r="N254" t="s">
        <v>342</v>
      </c>
      <c r="O254" t="s">
        <v>526</v>
      </c>
      <c r="P254">
        <v>23291741</v>
      </c>
      <c r="Q254" t="s">
        <v>372</v>
      </c>
      <c r="R254" t="s">
        <v>373</v>
      </c>
      <c r="S254">
        <v>10.039999999999999</v>
      </c>
      <c r="T254">
        <v>1100</v>
      </c>
      <c r="U254">
        <v>11044</v>
      </c>
      <c r="V254" t="str">
        <f t="shared" si="57"/>
        <v>Accepted</v>
      </c>
      <c r="W254">
        <f>IFERROR(VLOOKUP(N254, Payment_Terms!A:B, 2, FALSE), "Payment term not found!")</f>
        <v>30</v>
      </c>
      <c r="X254" t="str">
        <f>IFERROR(VLOOKUP(R254, Item_Category!A:B, 2, FALSE), "Uncategorized")</f>
        <v>HCL</v>
      </c>
      <c r="Y254" s="5">
        <f t="shared" si="74"/>
        <v>1.6499999999999914E-2</v>
      </c>
      <c r="Z254">
        <f t="shared" si="62"/>
        <v>4</v>
      </c>
      <c r="AA254">
        <f t="shared" si="63"/>
        <v>9</v>
      </c>
      <c r="AB254">
        <f t="shared" si="64"/>
        <v>2</v>
      </c>
      <c r="AC254" s="10">
        <f t="shared" si="65"/>
        <v>14</v>
      </c>
      <c r="AD254" s="5">
        <f t="shared" si="58"/>
        <v>1</v>
      </c>
      <c r="AE254" s="5">
        <f t="shared" si="59"/>
        <v>1</v>
      </c>
      <c r="AF254" s="5">
        <f t="shared" si="66"/>
        <v>0</v>
      </c>
      <c r="AG254">
        <f>IF(B254&lt;&gt;"", COUNTIFS($B$2:B254, B254), "")</f>
        <v>14</v>
      </c>
      <c r="AH254">
        <f t="shared" si="67"/>
        <v>5</v>
      </c>
      <c r="AI254" t="str">
        <f>VLOOKUP(B254, Currency!A:B, 2, FALSE)</f>
        <v>INR</v>
      </c>
      <c r="AJ254">
        <f t="shared" si="60"/>
        <v>4</v>
      </c>
      <c r="AK254">
        <f t="shared" si="68"/>
        <v>9</v>
      </c>
      <c r="AL254" t="str">
        <f t="shared" si="69"/>
        <v>September</v>
      </c>
      <c r="AM254">
        <f t="shared" si="70"/>
        <v>2023</v>
      </c>
      <c r="AN254" t="str">
        <f t="shared" si="61"/>
        <v>30SHREE ACID AND CHEMICALS</v>
      </c>
      <c r="AO254">
        <f>IF(COUNTIF($AN$2:AN254, AN254)=1, 1, 0)</f>
        <v>0</v>
      </c>
      <c r="AP254" t="str">
        <f t="shared" si="71"/>
        <v>&gt;3</v>
      </c>
      <c r="AQ254" t="str">
        <f t="shared" si="72"/>
        <v>&gt;3</v>
      </c>
      <c r="AR254" t="str">
        <f t="shared" si="73"/>
        <v>&lt;=3</v>
      </c>
    </row>
    <row r="255" spans="1:44" x14ac:dyDescent="0.3">
      <c r="A255" t="s">
        <v>33</v>
      </c>
      <c r="B255" t="s">
        <v>409</v>
      </c>
      <c r="C255" t="s">
        <v>519</v>
      </c>
      <c r="D255">
        <v>4748</v>
      </c>
      <c r="E255">
        <v>23210722</v>
      </c>
      <c r="F255" t="s">
        <v>437</v>
      </c>
      <c r="G255" t="s">
        <v>438</v>
      </c>
      <c r="H255">
        <v>10000</v>
      </c>
      <c r="I255">
        <v>8.5500000000000007</v>
      </c>
      <c r="J255">
        <v>85500</v>
      </c>
      <c r="K255" t="str">
        <f>IFERROR(IF(B255&lt;&gt;"", TEXT(VLOOKUP(B255, 'Expected Date'!A:B, 2, FALSE) + DATE(RIGHT(C255,2),MID(C255,4,2),LEFT(C255,2)), "dd/mm/yy"), ""), "")</f>
        <v>09/10/23</v>
      </c>
      <c r="L255" t="s">
        <v>38</v>
      </c>
      <c r="M255" t="s">
        <v>48</v>
      </c>
      <c r="N255" t="s">
        <v>342</v>
      </c>
      <c r="O255" t="s">
        <v>527</v>
      </c>
      <c r="P255">
        <v>23291674</v>
      </c>
      <c r="Q255" t="s">
        <v>437</v>
      </c>
      <c r="R255" t="s">
        <v>438</v>
      </c>
      <c r="S255">
        <v>10000</v>
      </c>
      <c r="T255">
        <v>8.5500000000000007</v>
      </c>
      <c r="U255">
        <v>85500</v>
      </c>
      <c r="V255" t="str">
        <f t="shared" si="57"/>
        <v>Accepted</v>
      </c>
      <c r="W255">
        <f>IFERROR(VLOOKUP(N255, Payment_Terms!A:B, 2, FALSE), "Payment term not found!")</f>
        <v>30</v>
      </c>
      <c r="X255" t="str">
        <f>IFERROR(VLOOKUP(R255, Item_Category!A:B, 2, FALSE), "Uncategorized")</f>
        <v>Liner</v>
      </c>
      <c r="Y255" s="5">
        <f t="shared" si="74"/>
        <v>0</v>
      </c>
      <c r="Z255">
        <f t="shared" si="62"/>
        <v>5</v>
      </c>
      <c r="AA255">
        <f t="shared" si="63"/>
        <v>-3</v>
      </c>
      <c r="AB255">
        <f t="shared" si="64"/>
        <v>5</v>
      </c>
      <c r="AC255" s="10">
        <f t="shared" si="65"/>
        <v>7</v>
      </c>
      <c r="AD255" s="5">
        <f t="shared" si="58"/>
        <v>1</v>
      </c>
      <c r="AE255" s="5">
        <f t="shared" si="59"/>
        <v>1</v>
      </c>
      <c r="AF255" s="5">
        <f t="shared" si="66"/>
        <v>0</v>
      </c>
      <c r="AG255">
        <f>IF(B255&lt;&gt;"", COUNTIFS($B$2:B255, B255), "")</f>
        <v>5</v>
      </c>
      <c r="AH255">
        <f t="shared" si="67"/>
        <v>5</v>
      </c>
      <c r="AI255" t="str">
        <f>VLOOKUP(B255, Currency!A:B, 2, FALSE)</f>
        <v>INR</v>
      </c>
      <c r="AJ255">
        <f t="shared" si="60"/>
        <v>5</v>
      </c>
      <c r="AK255">
        <f t="shared" si="68"/>
        <v>9</v>
      </c>
      <c r="AL255" t="str">
        <f t="shared" si="69"/>
        <v>September</v>
      </c>
      <c r="AM255">
        <f t="shared" si="70"/>
        <v>2023</v>
      </c>
      <c r="AN255" t="str">
        <f t="shared" si="61"/>
        <v>30Patkar Extrusions Pvt Ltd</v>
      </c>
      <c r="AO255">
        <f>IF(COUNTIF($AN$2:AN255, AN255)=1, 1, 0)</f>
        <v>0</v>
      </c>
      <c r="AP255" t="str">
        <f t="shared" si="71"/>
        <v>&gt;3</v>
      </c>
      <c r="AQ255" t="str">
        <f t="shared" si="72"/>
        <v>&gt;3</v>
      </c>
      <c r="AR255" t="str">
        <f t="shared" si="73"/>
        <v>&gt;3</v>
      </c>
    </row>
    <row r="256" spans="1:44" x14ac:dyDescent="0.3">
      <c r="A256" t="s">
        <v>33</v>
      </c>
      <c r="B256" t="s">
        <v>366</v>
      </c>
      <c r="C256" t="s">
        <v>228</v>
      </c>
      <c r="D256">
        <v>4566</v>
      </c>
      <c r="E256">
        <v>23210689</v>
      </c>
      <c r="F256" t="s">
        <v>392</v>
      </c>
      <c r="G256" t="s">
        <v>393</v>
      </c>
      <c r="H256">
        <v>100</v>
      </c>
      <c r="I256">
        <v>11100</v>
      </c>
      <c r="J256">
        <v>1110000</v>
      </c>
      <c r="K256" t="str">
        <f>IFERROR(IF(B256&lt;&gt;"", TEXT(VLOOKUP(B256, 'Expected Date'!A:B, 2, FALSE) + DATE(RIGHT(C256,2),MID(C256,4,2),LEFT(C256,2)), "dd/mm/yy"), ""), "")</f>
        <v>24/09/23</v>
      </c>
      <c r="L256" t="s">
        <v>68</v>
      </c>
      <c r="M256" t="s">
        <v>48</v>
      </c>
      <c r="N256" t="s">
        <v>370</v>
      </c>
      <c r="O256" t="s">
        <v>228</v>
      </c>
      <c r="P256">
        <v>23291495</v>
      </c>
      <c r="Q256" t="s">
        <v>392</v>
      </c>
      <c r="R256" t="s">
        <v>393</v>
      </c>
      <c r="S256">
        <v>28.94</v>
      </c>
      <c r="T256">
        <v>11100</v>
      </c>
      <c r="U256">
        <v>321234</v>
      </c>
      <c r="V256" t="str">
        <f t="shared" si="57"/>
        <v>Accepted</v>
      </c>
      <c r="W256">
        <f>IFERROR(VLOOKUP(N256, Payment_Terms!A:B, 2, FALSE), "Payment term not found!")</f>
        <v>15</v>
      </c>
      <c r="X256" t="str">
        <f>IFERROR(VLOOKUP(R256, Item_Category!A:B, 2, FALSE), "Uncategorized")</f>
        <v>Coal materials</v>
      </c>
      <c r="Y256" s="5">
        <f t="shared" si="74"/>
        <v>0.41869999999999996</v>
      </c>
      <c r="Z256">
        <f t="shared" si="62"/>
        <v>1</v>
      </c>
      <c r="AA256">
        <f t="shared" si="63"/>
        <v>-2</v>
      </c>
      <c r="AB256">
        <f t="shared" si="64"/>
        <v>5</v>
      </c>
      <c r="AC256" s="10">
        <f t="shared" si="65"/>
        <v>0</v>
      </c>
      <c r="AD256" s="5">
        <f t="shared" si="58"/>
        <v>1</v>
      </c>
      <c r="AE256" s="5">
        <f t="shared" si="59"/>
        <v>1</v>
      </c>
      <c r="AF256" s="5">
        <f t="shared" si="66"/>
        <v>0</v>
      </c>
      <c r="AG256">
        <f>IF(B256&lt;&gt;"", COUNTIFS($B$2:B256, B256), "")</f>
        <v>48</v>
      </c>
      <c r="AH256">
        <f t="shared" si="67"/>
        <v>5</v>
      </c>
      <c r="AI256" t="str">
        <f>VLOOKUP(B256, Currency!A:B, 2, FALSE)</f>
        <v>INR</v>
      </c>
      <c r="AJ256">
        <f t="shared" si="60"/>
        <v>4</v>
      </c>
      <c r="AK256">
        <f t="shared" si="68"/>
        <v>9</v>
      </c>
      <c r="AL256" t="str">
        <f t="shared" si="69"/>
        <v>September</v>
      </c>
      <c r="AM256">
        <f t="shared" si="70"/>
        <v>2023</v>
      </c>
      <c r="AN256" t="str">
        <f t="shared" si="61"/>
        <v>15SKYWIN ENTERPRISE</v>
      </c>
      <c r="AO256">
        <f>IF(COUNTIF($AN$2:AN256, AN256)=1, 1, 0)</f>
        <v>0</v>
      </c>
      <c r="AP256" t="str">
        <f t="shared" si="71"/>
        <v>&gt;3</v>
      </c>
      <c r="AQ256" t="str">
        <f t="shared" si="72"/>
        <v>&lt;=3</v>
      </c>
      <c r="AR256" t="str">
        <f t="shared" si="73"/>
        <v>&gt;3</v>
      </c>
    </row>
    <row r="257" spans="1:44" x14ac:dyDescent="0.3">
      <c r="A257" t="str">
        <f>A247</f>
        <v>Woodpulp</v>
      </c>
      <c r="B257" t="s">
        <v>521</v>
      </c>
      <c r="C257" t="s">
        <v>257</v>
      </c>
      <c r="D257">
        <v>2686</v>
      </c>
      <c r="E257">
        <v>23220026</v>
      </c>
      <c r="F257" t="s">
        <v>522</v>
      </c>
      <c r="G257" t="s">
        <v>523</v>
      </c>
      <c r="H257">
        <v>50</v>
      </c>
      <c r="I257">
        <v>820</v>
      </c>
      <c r="J257">
        <v>3349700</v>
      </c>
      <c r="K257" t="str">
        <f>IFERROR(IF(B257&lt;&gt;"", TEXT(VLOOKUP(B257, 'Expected Date'!A:B, 2, FALSE) + DATE(RIGHT(C257,2),MID(C257,4,2),LEFT(C257,2)), "dd/mm/yy"), ""), "")</f>
        <v>26/08/23</v>
      </c>
      <c r="L257" t="s">
        <v>38</v>
      </c>
      <c r="M257" t="str">
        <f>M73</f>
        <v>MT</v>
      </c>
      <c r="N257" t="s">
        <v>524</v>
      </c>
      <c r="O257" t="s">
        <v>323</v>
      </c>
      <c r="P257">
        <v>23291429</v>
      </c>
      <c r="Q257" t="s">
        <v>522</v>
      </c>
      <c r="R257" t="s">
        <v>523</v>
      </c>
      <c r="S257">
        <v>52.070999999999998</v>
      </c>
      <c r="T257">
        <v>820</v>
      </c>
      <c r="U257">
        <v>3509793.68</v>
      </c>
      <c r="V257" t="str">
        <f t="shared" si="57"/>
        <v>Accepted</v>
      </c>
      <c r="W257">
        <f>IFERROR(VLOOKUP(N257, Payment_Terms!A:B, 2, FALSE), "Payment term not found!")</f>
        <v>60</v>
      </c>
      <c r="X257" t="str">
        <f>IFERROR(VLOOKUP(R257, Item_Category!A:B, 2, FALSE), "Uncategorized")</f>
        <v>Wood pulp</v>
      </c>
      <c r="Y257" s="5">
        <f t="shared" si="74"/>
        <v>0</v>
      </c>
      <c r="Z257">
        <f t="shared" si="62"/>
        <v>5</v>
      </c>
      <c r="AA257">
        <f t="shared" si="63"/>
        <v>20</v>
      </c>
      <c r="AB257">
        <f t="shared" si="64"/>
        <v>1</v>
      </c>
      <c r="AC257" s="10">
        <f t="shared" si="65"/>
        <v>80</v>
      </c>
      <c r="AD257" s="5">
        <f t="shared" si="58"/>
        <v>1</v>
      </c>
      <c r="AE257" s="5">
        <f t="shared" si="59"/>
        <v>1</v>
      </c>
      <c r="AF257" s="5">
        <f t="shared" si="66"/>
        <v>0</v>
      </c>
      <c r="AG257">
        <f>IF(B257&lt;&gt;"", COUNTIFS($B$2:B257, B257), "")</f>
        <v>2</v>
      </c>
      <c r="AH257">
        <f t="shared" si="67"/>
        <v>5</v>
      </c>
      <c r="AI257" t="str">
        <f>VLOOKUP(B257, Currency!A:B, 2, FALSE)</f>
        <v>USD</v>
      </c>
      <c r="AJ257">
        <f t="shared" si="60"/>
        <v>4</v>
      </c>
      <c r="AK257">
        <f t="shared" si="68"/>
        <v>6</v>
      </c>
      <c r="AL257" t="str">
        <f t="shared" si="69"/>
        <v>June</v>
      </c>
      <c r="AM257">
        <f t="shared" si="70"/>
        <v>2023</v>
      </c>
      <c r="AN257" t="str">
        <f t="shared" si="61"/>
        <v>60Rayonier A M Sales &amp; Technology Inc</v>
      </c>
      <c r="AO257">
        <f>IF(COUNTIF($AN$2:AN257, AN257)=1, 1, 0)</f>
        <v>0</v>
      </c>
      <c r="AP257" t="str">
        <f t="shared" si="71"/>
        <v>&gt;3</v>
      </c>
      <c r="AQ257" t="str">
        <f t="shared" si="72"/>
        <v>&gt;3</v>
      </c>
      <c r="AR257" t="str">
        <f t="shared" si="73"/>
        <v>&lt;=3</v>
      </c>
    </row>
    <row r="258" spans="1:44" x14ac:dyDescent="0.3">
      <c r="A258" t="str">
        <f>A244</f>
        <v>Woodpulp</v>
      </c>
      <c r="B258" t="s">
        <v>140</v>
      </c>
      <c r="C258" t="s">
        <v>71</v>
      </c>
      <c r="D258">
        <v>2729</v>
      </c>
      <c r="E258">
        <v>23220037</v>
      </c>
      <c r="F258" t="s">
        <v>359</v>
      </c>
      <c r="G258" t="s">
        <v>360</v>
      </c>
      <c r="H258">
        <v>125</v>
      </c>
      <c r="I258">
        <v>830</v>
      </c>
      <c r="J258">
        <v>8476375</v>
      </c>
      <c r="K258" t="str">
        <f>IFERROR(IF(B258&lt;&gt;"", TEXT(VLOOKUP(B258, 'Expected Date'!A:B, 2, FALSE) + DATE(RIGHT(C258,2),MID(C258,4,2),LEFT(C258,2)), "dd/mm/yy"), ""), "")</f>
        <v>06/08/23</v>
      </c>
      <c r="L258" t="s">
        <v>68</v>
      </c>
      <c r="M258" t="str">
        <f>M73</f>
        <v>MT</v>
      </c>
      <c r="N258" t="s">
        <v>144</v>
      </c>
      <c r="O258" t="s">
        <v>191</v>
      </c>
      <c r="P258">
        <v>23291246</v>
      </c>
      <c r="Q258" t="s">
        <v>359</v>
      </c>
      <c r="R258" t="s">
        <v>360</v>
      </c>
      <c r="S258">
        <v>122.663</v>
      </c>
      <c r="T258">
        <v>830</v>
      </c>
      <c r="U258">
        <v>8368805.8399999999</v>
      </c>
      <c r="V258" t="str">
        <f t="shared" ref="V258:V321" si="75">V257</f>
        <v>Accepted</v>
      </c>
      <c r="W258">
        <f>IFERROR(VLOOKUP(N258, Payment_Terms!A:B, 2, FALSE), "Payment term not found!")</f>
        <v>30</v>
      </c>
      <c r="X258" t="str">
        <f>IFERROR(VLOOKUP(R258, Item_Category!A:B, 2, FALSE), "Uncategorized")</f>
        <v>Wood pulp</v>
      </c>
      <c r="Y258" s="5">
        <f t="shared" si="74"/>
        <v>1.8696000000000025E-2</v>
      </c>
      <c r="Z258">
        <f t="shared" si="62"/>
        <v>4</v>
      </c>
      <c r="AA258">
        <f t="shared" si="63"/>
        <v>22</v>
      </c>
      <c r="AB258">
        <f t="shared" si="64"/>
        <v>1</v>
      </c>
      <c r="AC258" s="10">
        <f t="shared" si="65"/>
        <v>67</v>
      </c>
      <c r="AD258" s="5">
        <f t="shared" ref="AD258:AD321" si="76">IF(V258="Accepted",1,0)</f>
        <v>1</v>
      </c>
      <c r="AE258" s="5">
        <f t="shared" ref="AE258:AE321" si="77">ROUNDUP((SUMIFS(S:S, B:B, B258, V:V, "Accepted")/SUMIF(B:B,B258,S:S)),2)</f>
        <v>1</v>
      </c>
      <c r="AF258" s="5">
        <f t="shared" si="66"/>
        <v>0</v>
      </c>
      <c r="AG258">
        <f>IF(B258&lt;&gt;"", COUNTIFS($B$2:B258, B258), "")</f>
        <v>12</v>
      </c>
      <c r="AH258">
        <f t="shared" si="67"/>
        <v>5</v>
      </c>
      <c r="AI258" t="str">
        <f>VLOOKUP(B258, Currency!A:B, 2, FALSE)</f>
        <v>USD</v>
      </c>
      <c r="AJ258">
        <f t="shared" ref="AJ258:AJ321" si="78">_xlfn.CEILING.MATH(((0.4*AH258)+(0.3*Z258)+(0.3*AB258)),1)</f>
        <v>4</v>
      </c>
      <c r="AK258">
        <f t="shared" si="68"/>
        <v>6</v>
      </c>
      <c r="AL258" t="str">
        <f t="shared" si="69"/>
        <v>June</v>
      </c>
      <c r="AM258">
        <f t="shared" si="70"/>
        <v>2023</v>
      </c>
      <c r="AN258" t="str">
        <f t="shared" ref="AN258:AN322" si="79">W258&amp;B258</f>
        <v>30Sappi Paper Holdings GMBH</v>
      </c>
      <c r="AO258">
        <f>IF(COUNTIF($AN$2:AN258, AN258)=1, 1, 0)</f>
        <v>0</v>
      </c>
      <c r="AP258" t="str">
        <f t="shared" si="71"/>
        <v>&gt;3</v>
      </c>
      <c r="AQ258" t="str">
        <f t="shared" si="72"/>
        <v>&gt;3</v>
      </c>
      <c r="AR258" t="str">
        <f t="shared" si="73"/>
        <v>&lt;=3</v>
      </c>
    </row>
    <row r="259" spans="1:44" x14ac:dyDescent="0.3">
      <c r="A259" t="s">
        <v>33</v>
      </c>
      <c r="B259" t="str">
        <f>B2</f>
        <v>Ami Enterprises</v>
      </c>
      <c r="C259" t="s">
        <v>329</v>
      </c>
      <c r="D259">
        <v>2740</v>
      </c>
      <c r="E259">
        <v>23210338</v>
      </c>
      <c r="F259" t="s">
        <v>528</v>
      </c>
      <c r="G259" t="s">
        <v>529</v>
      </c>
      <c r="H259">
        <v>4421</v>
      </c>
      <c r="I259">
        <v>27</v>
      </c>
      <c r="J259">
        <v>119367</v>
      </c>
      <c r="K259" t="str">
        <f>IFERROR(IF(B259&lt;&gt;"", TEXT(VLOOKUP(B259, 'Expected Date'!A:B, 2, FALSE) + DATE(RIGHT(C259,2),MID(C259,4,2),LEFT(C259,2)), "dd/mm/yy"), ""), "")</f>
        <v>05/07/23</v>
      </c>
      <c r="L259" t="s">
        <v>38</v>
      </c>
      <c r="M259" t="s">
        <v>39</v>
      </c>
      <c r="N259" t="s">
        <v>318</v>
      </c>
      <c r="O259" t="s">
        <v>139</v>
      </c>
      <c r="P259">
        <v>23290632</v>
      </c>
      <c r="Q259" t="s">
        <v>528</v>
      </c>
      <c r="R259" t="s">
        <v>529</v>
      </c>
      <c r="S259">
        <v>4421</v>
      </c>
      <c r="T259">
        <v>27</v>
      </c>
      <c r="U259">
        <v>119367</v>
      </c>
      <c r="V259" t="str">
        <f t="shared" si="75"/>
        <v>Accepted</v>
      </c>
      <c r="W259">
        <f>IFERROR(VLOOKUP(N259, Payment_Terms!A:B, 2, FALSE), "Payment term not found!")</f>
        <v>30</v>
      </c>
      <c r="X259" t="str">
        <f>IFERROR(VLOOKUP(R259, Item_Category!A:B, 2, FALSE), "Uncategorized")</f>
        <v>Liner</v>
      </c>
      <c r="Y259" s="5">
        <f t="shared" si="74"/>
        <v>0</v>
      </c>
      <c r="Z259">
        <f t="shared" ref="Z259:Z322" si="80">IF(Y259&lt;=0%,5,(IF(AND(Y259&gt;0%,Y259&lt;=2%),4,IF(AND(Y259&gt;2%,Y259&lt;=5%),3,IF(AND(Y259&gt;5%,Y259&lt;10%),2,1)))))</f>
        <v>5</v>
      </c>
      <c r="AA259">
        <f t="shared" ref="AA259:AA322" si="81">DATE(RIGHT(O259,2),MID(O259,4,2),LEFT(O259,2)) - DATE(RIGHT(K259,2),MID(K259,4,2),LEFT(K259,2))</f>
        <v>-7</v>
      </c>
      <c r="AB259">
        <f t="shared" ref="AB259:AB322" si="82">IF(AA259 &lt;= 2, 5, IF(AA259 &lt;= 4, 4, IF(AA259 &lt;= 7, 3, IF(AA259&lt;=10,2,1))))</f>
        <v>5</v>
      </c>
      <c r="AC259" s="10">
        <f t="shared" ref="AC259:AC322" si="83">ABS(DATE(RIGHT(O259,2),MID(O259,4,2),LEFT(O259,2)) - DATE(RIGHT(C259,2),MID(C259,4,2),LEFT(C259,2)))</f>
        <v>3</v>
      </c>
      <c r="AD259" s="5">
        <f t="shared" si="76"/>
        <v>1</v>
      </c>
      <c r="AE259" s="5">
        <f t="shared" si="77"/>
        <v>1</v>
      </c>
      <c r="AF259" s="5">
        <f t="shared" ref="AF259:AF322" si="84">ROUNDUP(ABS(100%-AE259),2)</f>
        <v>0</v>
      </c>
      <c r="AG259">
        <f>IF(B259&lt;&gt;"", COUNTIFS($B$2:B259, B259), "")</f>
        <v>21</v>
      </c>
      <c r="AH259">
        <f t="shared" ref="AH259:AH322" si="85">IF(AF259=0%,5,IF(AND(AF259&gt;0%,AF259&lt;=2%),4,IF(AND(AF259&gt;2%,AF259&lt;=5%),3,IF(AND(AF259&gt;5%,AF259&lt;10%),2,1))))</f>
        <v>5</v>
      </c>
      <c r="AI259" t="str">
        <f>VLOOKUP(B259, Currency!A:B, 2, FALSE)</f>
        <v>INR</v>
      </c>
      <c r="AJ259">
        <f t="shared" si="78"/>
        <v>5</v>
      </c>
      <c r="AK259">
        <f t="shared" ref="AK259:AK322" si="86">MONTH(DATE(RIGHT(C259,2),MID(C259,4,2),LEFT(C259,2)))</f>
        <v>6</v>
      </c>
      <c r="AL259" t="str">
        <f t="shared" ref="AL259:AL322" si="87">TEXT(DATE(RIGHT(C259,2),MID(C259,4,2),LEFT(C259,2)),"mmmm")</f>
        <v>June</v>
      </c>
      <c r="AM259">
        <f t="shared" ref="AM259:AM322" si="88">YEAR(DATE(VALUE(MID(C259,7,2))+2000, MID(C259,4,2), MID(C259,1,2)))</f>
        <v>2023</v>
      </c>
      <c r="AN259" t="str">
        <f t="shared" si="79"/>
        <v>30Ami Enterprises</v>
      </c>
      <c r="AO259">
        <f>IF(COUNTIF($AN$2:AN259, AN259)=1, 1, 0)</f>
        <v>0</v>
      </c>
      <c r="AP259" t="str">
        <f t="shared" ref="AP259:AP322" si="89">IF(AH259&lt;=3,"&lt;=3","&gt;3")</f>
        <v>&gt;3</v>
      </c>
      <c r="AQ259" t="str">
        <f t="shared" ref="AQ259:AQ322" si="90">IF(Z259&lt;=3,"&lt;=3","&gt;3")</f>
        <v>&gt;3</v>
      </c>
      <c r="AR259" t="str">
        <f t="shared" ref="AR259:AR322" si="91">IF(AB259&lt;=3,"&lt;=3","&gt;3")</f>
        <v>&gt;3</v>
      </c>
    </row>
    <row r="260" spans="1:44" x14ac:dyDescent="0.3">
      <c r="A260" t="s">
        <v>33</v>
      </c>
      <c r="B260" t="s">
        <v>366</v>
      </c>
      <c r="C260" t="s">
        <v>87</v>
      </c>
      <c r="D260">
        <v>3042</v>
      </c>
      <c r="E260">
        <v>23210410</v>
      </c>
      <c r="F260" t="s">
        <v>392</v>
      </c>
      <c r="G260" t="s">
        <v>393</v>
      </c>
      <c r="H260">
        <v>200</v>
      </c>
      <c r="I260">
        <v>10200</v>
      </c>
      <c r="J260">
        <v>2040000</v>
      </c>
      <c r="K260" t="str">
        <f>IFERROR(IF(B260&lt;&gt;"", TEXT(VLOOKUP(B260, 'Expected Date'!A:B, 2, FALSE) + DATE(RIGHT(C260,2),MID(C260,4,2),LEFT(C260,2)), "dd/mm/yy"), ""), "")</f>
        <v>14/07/23</v>
      </c>
      <c r="L260" t="s">
        <v>68</v>
      </c>
      <c r="M260" t="s">
        <v>48</v>
      </c>
      <c r="N260" t="s">
        <v>370</v>
      </c>
      <c r="O260" t="s">
        <v>475</v>
      </c>
      <c r="P260">
        <v>23290836</v>
      </c>
      <c r="Q260" t="s">
        <v>392</v>
      </c>
      <c r="R260" t="s">
        <v>393</v>
      </c>
      <c r="S260">
        <v>27.33</v>
      </c>
      <c r="T260">
        <v>10200</v>
      </c>
      <c r="U260">
        <v>278766</v>
      </c>
      <c r="V260" t="str">
        <f t="shared" si="75"/>
        <v>Accepted</v>
      </c>
      <c r="W260">
        <f>IFERROR(VLOOKUP(N260, Payment_Terms!A:B, 2, FALSE), "Payment term not found!")</f>
        <v>15</v>
      </c>
      <c r="X260" t="str">
        <f>IFERROR(VLOOKUP(R260, Item_Category!A:B, 2, FALSE), "Uncategorized")</f>
        <v>Coal materials</v>
      </c>
      <c r="Y260" s="5">
        <f t="shared" si="74"/>
        <v>0.57009999999999994</v>
      </c>
      <c r="Z260">
        <f t="shared" si="80"/>
        <v>1</v>
      </c>
      <c r="AA260">
        <f t="shared" si="81"/>
        <v>5</v>
      </c>
      <c r="AB260">
        <f t="shared" si="82"/>
        <v>3</v>
      </c>
      <c r="AC260" s="10">
        <f t="shared" si="83"/>
        <v>7</v>
      </c>
      <c r="AD260" s="5">
        <f t="shared" si="76"/>
        <v>1</v>
      </c>
      <c r="AE260" s="5">
        <f t="shared" si="77"/>
        <v>1</v>
      </c>
      <c r="AF260" s="5">
        <f t="shared" si="84"/>
        <v>0</v>
      </c>
      <c r="AG260">
        <f>IF(B260&lt;&gt;"", COUNTIFS($B$2:B260, B260), "")</f>
        <v>49</v>
      </c>
      <c r="AH260">
        <f t="shared" si="85"/>
        <v>5</v>
      </c>
      <c r="AI260" t="str">
        <f>VLOOKUP(B260, Currency!A:B, 2, FALSE)</f>
        <v>INR</v>
      </c>
      <c r="AJ260">
        <f t="shared" si="78"/>
        <v>4</v>
      </c>
      <c r="AK260">
        <f t="shared" si="86"/>
        <v>7</v>
      </c>
      <c r="AL260" t="str">
        <f t="shared" si="87"/>
        <v>July</v>
      </c>
      <c r="AM260">
        <f t="shared" si="88"/>
        <v>2023</v>
      </c>
      <c r="AN260" t="str">
        <f t="shared" si="79"/>
        <v>15SKYWIN ENTERPRISE</v>
      </c>
      <c r="AO260">
        <f>IF(COUNTIF($AN$2:AN260, AN260)=1, 1, 0)</f>
        <v>0</v>
      </c>
      <c r="AP260" t="str">
        <f t="shared" si="89"/>
        <v>&gt;3</v>
      </c>
      <c r="AQ260" t="str">
        <f t="shared" si="90"/>
        <v>&lt;=3</v>
      </c>
      <c r="AR260" t="str">
        <f t="shared" si="91"/>
        <v>&lt;=3</v>
      </c>
    </row>
    <row r="261" spans="1:44" x14ac:dyDescent="0.3">
      <c r="A261" t="s">
        <v>33</v>
      </c>
      <c r="B261" t="s">
        <v>429</v>
      </c>
      <c r="C261" t="s">
        <v>198</v>
      </c>
      <c r="D261">
        <v>3458</v>
      </c>
      <c r="E261">
        <v>23210474</v>
      </c>
      <c r="F261" t="s">
        <v>430</v>
      </c>
      <c r="G261" t="s">
        <v>431</v>
      </c>
      <c r="H261">
        <v>10000</v>
      </c>
      <c r="I261">
        <v>8.1999999999999993</v>
      </c>
      <c r="J261">
        <v>82000</v>
      </c>
      <c r="K261" t="str">
        <f>IFERROR(IF(B261&lt;&gt;"", TEXT(VLOOKUP(B261, 'Expected Date'!A:B, 2, FALSE) + DATE(RIGHT(C261,2),MID(C261,4,2),LEFT(C261,2)), "dd/mm/yy"), ""), "")</f>
        <v>05/08/23</v>
      </c>
      <c r="L261" t="s">
        <v>38</v>
      </c>
      <c r="M261" t="s">
        <v>48</v>
      </c>
      <c r="N261" t="s">
        <v>299</v>
      </c>
      <c r="O261" t="s">
        <v>207</v>
      </c>
      <c r="P261">
        <v>23291077</v>
      </c>
      <c r="Q261" t="s">
        <v>430</v>
      </c>
      <c r="R261" t="s">
        <v>431</v>
      </c>
      <c r="S261">
        <v>2565</v>
      </c>
      <c r="T261">
        <v>8.1999999999999993</v>
      </c>
      <c r="U261">
        <v>21033</v>
      </c>
      <c r="V261" t="str">
        <f t="shared" si="75"/>
        <v>Accepted</v>
      </c>
      <c r="W261">
        <f>IFERROR(VLOOKUP(N261, Payment_Terms!A:B, 2, FALSE), "Payment term not found!")</f>
        <v>60</v>
      </c>
      <c r="X261" t="str">
        <f>IFERROR(VLOOKUP(R261, Item_Category!A:B, 2, FALSE), "Uncategorized")</f>
        <v>Lime</v>
      </c>
      <c r="Y261" s="5">
        <f t="shared" si="74"/>
        <v>0</v>
      </c>
      <c r="Z261">
        <f t="shared" si="80"/>
        <v>5</v>
      </c>
      <c r="AA261">
        <f t="shared" si="81"/>
        <v>8</v>
      </c>
      <c r="AB261">
        <f t="shared" si="82"/>
        <v>2</v>
      </c>
      <c r="AC261" s="10">
        <f t="shared" si="83"/>
        <v>13</v>
      </c>
      <c r="AD261" s="5">
        <f t="shared" si="76"/>
        <v>1</v>
      </c>
      <c r="AE261" s="5">
        <f t="shared" si="77"/>
        <v>1</v>
      </c>
      <c r="AF261" s="5">
        <f t="shared" si="84"/>
        <v>0</v>
      </c>
      <c r="AG261">
        <f>IF(B261&lt;&gt;"", COUNTIFS($B$2:B261, B261), "")</f>
        <v>8</v>
      </c>
      <c r="AH261">
        <f t="shared" si="85"/>
        <v>5</v>
      </c>
      <c r="AI261" t="str">
        <f>VLOOKUP(B261, Currency!A:B, 2, FALSE)</f>
        <v>INR</v>
      </c>
      <c r="AJ261">
        <f t="shared" si="78"/>
        <v>5</v>
      </c>
      <c r="AK261">
        <f t="shared" si="86"/>
        <v>7</v>
      </c>
      <c r="AL261" t="str">
        <f t="shared" si="87"/>
        <v>July</v>
      </c>
      <c r="AM261">
        <f t="shared" si="88"/>
        <v>2023</v>
      </c>
      <c r="AN261" t="str">
        <f t="shared" si="79"/>
        <v>60HELIK ENTERPRISE</v>
      </c>
      <c r="AO261">
        <f>IF(COUNTIF($AN$2:AN261, AN261)=1, 1, 0)</f>
        <v>0</v>
      </c>
      <c r="AP261" t="str">
        <f t="shared" si="89"/>
        <v>&gt;3</v>
      </c>
      <c r="AQ261" t="str">
        <f t="shared" si="90"/>
        <v>&gt;3</v>
      </c>
      <c r="AR261" t="str">
        <f t="shared" si="91"/>
        <v>&lt;=3</v>
      </c>
    </row>
    <row r="262" spans="1:44" x14ac:dyDescent="0.3">
      <c r="A262" t="s">
        <v>33</v>
      </c>
      <c r="B262" t="s">
        <v>122</v>
      </c>
      <c r="C262" t="s">
        <v>354</v>
      </c>
      <c r="D262">
        <v>2806</v>
      </c>
      <c r="E262">
        <v>23210359</v>
      </c>
      <c r="F262" t="s">
        <v>405</v>
      </c>
      <c r="G262" t="s">
        <v>406</v>
      </c>
      <c r="H262">
        <v>600</v>
      </c>
      <c r="I262">
        <v>930</v>
      </c>
      <c r="J262">
        <v>558000</v>
      </c>
      <c r="K262" t="str">
        <f>IFERROR(IF(B262&lt;&gt;"", TEXT(VLOOKUP(B262, 'Expected Date'!A:B, 2, FALSE) + DATE(RIGHT(C262,2),MID(C262,4,2),LEFT(C262,2)), "dd/mm/yy"), ""), "")</f>
        <v>18/07/23</v>
      </c>
      <c r="L262" t="s">
        <v>38</v>
      </c>
      <c r="M262" t="s">
        <v>48</v>
      </c>
      <c r="N262" t="s">
        <v>364</v>
      </c>
      <c r="O262" t="s">
        <v>476</v>
      </c>
      <c r="P262">
        <v>23291082</v>
      </c>
      <c r="Q262" t="s">
        <v>405</v>
      </c>
      <c r="R262" t="s">
        <v>406</v>
      </c>
      <c r="S262">
        <v>30</v>
      </c>
      <c r="T262">
        <v>930</v>
      </c>
      <c r="U262">
        <v>27900</v>
      </c>
      <c r="V262" t="str">
        <f t="shared" si="75"/>
        <v>Accepted</v>
      </c>
      <c r="W262">
        <f>IFERROR(VLOOKUP(N262, Payment_Terms!A:B, 2, FALSE), "Payment term not found!")</f>
        <v>30</v>
      </c>
      <c r="X262" t="str">
        <f>IFERROR(VLOOKUP(R262, Item_Category!A:B, 2, FALSE), "Uncategorized")</f>
        <v>Pallets</v>
      </c>
      <c r="Y262" s="5">
        <f t="shared" si="74"/>
        <v>0</v>
      </c>
      <c r="Z262">
        <f t="shared" si="80"/>
        <v>5</v>
      </c>
      <c r="AA262">
        <f t="shared" si="81"/>
        <v>28</v>
      </c>
      <c r="AB262">
        <f t="shared" si="82"/>
        <v>1</v>
      </c>
      <c r="AC262" s="10">
        <f t="shared" si="83"/>
        <v>43</v>
      </c>
      <c r="AD262" s="5">
        <f t="shared" si="76"/>
        <v>1</v>
      </c>
      <c r="AE262" s="5">
        <f t="shared" si="77"/>
        <v>1</v>
      </c>
      <c r="AF262" s="5">
        <f t="shared" si="84"/>
        <v>0</v>
      </c>
      <c r="AG262">
        <f>IF(B262&lt;&gt;"", COUNTIFS($B$2:B262, B262), "")</f>
        <v>28</v>
      </c>
      <c r="AH262">
        <f t="shared" si="85"/>
        <v>5</v>
      </c>
      <c r="AI262" t="str">
        <f>VLOOKUP(B262, Currency!A:B, 2, FALSE)</f>
        <v>INR</v>
      </c>
      <c r="AJ262">
        <f t="shared" si="78"/>
        <v>4</v>
      </c>
      <c r="AK262">
        <f t="shared" si="86"/>
        <v>7</v>
      </c>
      <c r="AL262" t="str">
        <f t="shared" si="87"/>
        <v>July</v>
      </c>
      <c r="AM262">
        <f t="shared" si="88"/>
        <v>2023</v>
      </c>
      <c r="AN262" t="str">
        <f t="shared" si="79"/>
        <v>30Plastocon Industries Pvt Ltd</v>
      </c>
      <c r="AO262">
        <f>IF(COUNTIF($AN$2:AN262, AN262)=1, 1, 0)</f>
        <v>0</v>
      </c>
      <c r="AP262" t="str">
        <f t="shared" si="89"/>
        <v>&gt;3</v>
      </c>
      <c r="AQ262" t="str">
        <f t="shared" si="90"/>
        <v>&gt;3</v>
      </c>
      <c r="AR262" t="str">
        <f t="shared" si="91"/>
        <v>&lt;=3</v>
      </c>
    </row>
    <row r="263" spans="1:44" x14ac:dyDescent="0.3">
      <c r="A263" t="s">
        <v>33</v>
      </c>
      <c r="B263" t="s">
        <v>382</v>
      </c>
      <c r="C263" t="s">
        <v>279</v>
      </c>
      <c r="D263">
        <v>4449</v>
      </c>
      <c r="E263">
        <v>23210676</v>
      </c>
      <c r="F263" t="s">
        <v>412</v>
      </c>
      <c r="G263" t="s">
        <v>413</v>
      </c>
      <c r="H263">
        <v>1000</v>
      </c>
      <c r="I263">
        <v>19.2</v>
      </c>
      <c r="J263">
        <v>19200</v>
      </c>
      <c r="K263" t="str">
        <f>IFERROR(IF(B263&lt;&gt;"", TEXT(VLOOKUP(B263, 'Expected Date'!A:B, 2, FALSE) + DATE(RIGHT(C263,2),MID(C263,4,2),LEFT(C263,2)), "dd/mm/yy"), ""), "")</f>
        <v>29/09/23</v>
      </c>
      <c r="L263" t="s">
        <v>38</v>
      </c>
      <c r="M263" t="s">
        <v>48</v>
      </c>
      <c r="N263" t="s">
        <v>342</v>
      </c>
      <c r="O263" t="s">
        <v>181</v>
      </c>
      <c r="P263">
        <v>23291470</v>
      </c>
      <c r="Q263" t="s">
        <v>412</v>
      </c>
      <c r="R263" t="s">
        <v>413</v>
      </c>
      <c r="S263">
        <v>1000</v>
      </c>
      <c r="T263">
        <v>19.2</v>
      </c>
      <c r="U263">
        <v>19200</v>
      </c>
      <c r="V263" t="str">
        <f t="shared" si="75"/>
        <v>Accepted</v>
      </c>
      <c r="W263">
        <f>IFERROR(VLOOKUP(N263, Payment_Terms!A:B, 2, FALSE), "Payment term not found!")</f>
        <v>30</v>
      </c>
      <c r="X263" t="str">
        <f>IFERROR(VLOOKUP(R263, Item_Category!A:B, 2, FALSE), "Uncategorized")</f>
        <v>NON FERRIC ALUM</v>
      </c>
      <c r="Y263" s="5">
        <f t="shared" si="74"/>
        <v>0</v>
      </c>
      <c r="Z263">
        <f t="shared" si="80"/>
        <v>5</v>
      </c>
      <c r="AA263">
        <f t="shared" si="81"/>
        <v>-8</v>
      </c>
      <c r="AB263">
        <f t="shared" si="82"/>
        <v>5</v>
      </c>
      <c r="AC263" s="10">
        <f t="shared" si="83"/>
        <v>2</v>
      </c>
      <c r="AD263" s="5">
        <f t="shared" si="76"/>
        <v>1</v>
      </c>
      <c r="AE263" s="5">
        <f t="shared" si="77"/>
        <v>1</v>
      </c>
      <c r="AF263" s="5">
        <f t="shared" si="84"/>
        <v>0</v>
      </c>
      <c r="AG263">
        <f>IF(B263&lt;&gt;"", COUNTIFS($B$2:B263, B263), "")</f>
        <v>17</v>
      </c>
      <c r="AH263">
        <f t="shared" si="85"/>
        <v>5</v>
      </c>
      <c r="AI263" t="str">
        <f>VLOOKUP(B263, Currency!A:B, 2, FALSE)</f>
        <v>INR</v>
      </c>
      <c r="AJ263">
        <f t="shared" si="78"/>
        <v>5</v>
      </c>
      <c r="AK263">
        <f t="shared" si="86"/>
        <v>9</v>
      </c>
      <c r="AL263" t="str">
        <f t="shared" si="87"/>
        <v>September</v>
      </c>
      <c r="AM263">
        <f t="shared" si="88"/>
        <v>2023</v>
      </c>
      <c r="AN263" t="str">
        <f t="shared" si="79"/>
        <v>30Aerochem Laboratories</v>
      </c>
      <c r="AO263">
        <f>IF(COUNTIF($AN$2:AN263, AN263)=1, 1, 0)</f>
        <v>0</v>
      </c>
      <c r="AP263" t="str">
        <f t="shared" si="89"/>
        <v>&gt;3</v>
      </c>
      <c r="AQ263" t="str">
        <f t="shared" si="90"/>
        <v>&gt;3</v>
      </c>
      <c r="AR263" t="str">
        <f t="shared" si="91"/>
        <v>&gt;3</v>
      </c>
    </row>
    <row r="264" spans="1:44" x14ac:dyDescent="0.3">
      <c r="A264" t="s">
        <v>33</v>
      </c>
      <c r="B264" t="s">
        <v>386</v>
      </c>
      <c r="C264" t="s">
        <v>103</v>
      </c>
      <c r="D264">
        <v>4319</v>
      </c>
      <c r="E264">
        <v>23210652</v>
      </c>
      <c r="F264" t="s">
        <v>437</v>
      </c>
      <c r="G264" t="s">
        <v>438</v>
      </c>
      <c r="H264">
        <v>5740</v>
      </c>
      <c r="I264">
        <v>9.3099000000000007</v>
      </c>
      <c r="J264">
        <v>53438.83</v>
      </c>
      <c r="K264" t="str">
        <f>IFERROR(IF(B264&lt;&gt;"", TEXT(VLOOKUP(B264, 'Expected Date'!A:B, 2, FALSE) + DATE(RIGHT(C264,2),MID(C264,4,2),LEFT(C264,2)), "dd/mm/yy"), ""), "")</f>
        <v>11/09/23</v>
      </c>
      <c r="L264" t="s">
        <v>38</v>
      </c>
      <c r="M264" t="s">
        <v>48</v>
      </c>
      <c r="N264" t="s">
        <v>318</v>
      </c>
      <c r="O264" t="s">
        <v>482</v>
      </c>
      <c r="P264">
        <v>23291399</v>
      </c>
      <c r="Q264" t="s">
        <v>437</v>
      </c>
      <c r="R264" t="s">
        <v>438</v>
      </c>
      <c r="S264">
        <v>5740</v>
      </c>
      <c r="T264">
        <v>9.3099000000000007</v>
      </c>
      <c r="U264">
        <v>53438.83</v>
      </c>
      <c r="V264" t="str">
        <f t="shared" si="75"/>
        <v>Accepted</v>
      </c>
      <c r="W264">
        <f>IFERROR(VLOOKUP(N264, Payment_Terms!A:B, 2, FALSE), "Payment term not found!")</f>
        <v>30</v>
      </c>
      <c r="X264" t="str">
        <f>IFERROR(VLOOKUP(R264, Item_Category!A:B, 2, FALSE), "Uncategorized")</f>
        <v>Liner</v>
      </c>
      <c r="Y264" s="5">
        <f t="shared" si="74"/>
        <v>0</v>
      </c>
      <c r="Z264">
        <f t="shared" si="80"/>
        <v>5</v>
      </c>
      <c r="AA264">
        <f t="shared" si="81"/>
        <v>-4</v>
      </c>
      <c r="AB264">
        <f t="shared" si="82"/>
        <v>5</v>
      </c>
      <c r="AC264" s="10">
        <f t="shared" si="83"/>
        <v>1</v>
      </c>
      <c r="AD264" s="5">
        <f t="shared" si="76"/>
        <v>1</v>
      </c>
      <c r="AE264" s="5">
        <f t="shared" si="77"/>
        <v>1</v>
      </c>
      <c r="AF264" s="5">
        <f t="shared" si="84"/>
        <v>0</v>
      </c>
      <c r="AG264">
        <f>IF(B264&lt;&gt;"", COUNTIFS($B$2:B264, B264), "")</f>
        <v>20</v>
      </c>
      <c r="AH264">
        <f t="shared" si="85"/>
        <v>5</v>
      </c>
      <c r="AI264" t="str">
        <f>VLOOKUP(B264, Currency!A:B, 2, FALSE)</f>
        <v>INR</v>
      </c>
      <c r="AJ264">
        <f t="shared" si="78"/>
        <v>5</v>
      </c>
      <c r="AK264">
        <f t="shared" si="86"/>
        <v>9</v>
      </c>
      <c r="AL264" t="str">
        <f t="shared" si="87"/>
        <v>September</v>
      </c>
      <c r="AM264">
        <f t="shared" si="88"/>
        <v>2023</v>
      </c>
      <c r="AN264" t="str">
        <f t="shared" si="79"/>
        <v>30Shree Shyam Enterprises</v>
      </c>
      <c r="AO264">
        <f>IF(COUNTIF($AN$2:AN264, AN264)=1, 1, 0)</f>
        <v>0</v>
      </c>
      <c r="AP264" t="str">
        <f t="shared" si="89"/>
        <v>&gt;3</v>
      </c>
      <c r="AQ264" t="str">
        <f t="shared" si="90"/>
        <v>&gt;3</v>
      </c>
      <c r="AR264" t="str">
        <f t="shared" si="91"/>
        <v>&gt;3</v>
      </c>
    </row>
    <row r="265" spans="1:44" x14ac:dyDescent="0.3">
      <c r="A265" t="s">
        <v>33</v>
      </c>
      <c r="B265" t="s">
        <v>386</v>
      </c>
      <c r="C265" t="s">
        <v>206</v>
      </c>
      <c r="D265">
        <v>4383</v>
      </c>
      <c r="E265">
        <v>23210662</v>
      </c>
      <c r="F265" t="s">
        <v>494</v>
      </c>
      <c r="G265" t="s">
        <v>495</v>
      </c>
      <c r="H265">
        <v>120</v>
      </c>
      <c r="I265">
        <v>510</v>
      </c>
      <c r="J265">
        <v>61200</v>
      </c>
      <c r="K265" t="str">
        <f>IFERROR(IF(B265&lt;&gt;"", TEXT(VLOOKUP(B265, 'Expected Date'!A:B, 2, FALSE) + DATE(RIGHT(C265,2),MID(C265,4,2),LEFT(C265,2)), "dd/mm/yy"), ""), "")</f>
        <v>18/09/23</v>
      </c>
      <c r="L265" t="s">
        <v>38</v>
      </c>
      <c r="M265" t="s">
        <v>48</v>
      </c>
      <c r="N265" t="s">
        <v>342</v>
      </c>
      <c r="O265" t="s">
        <v>151</v>
      </c>
      <c r="P265">
        <v>23291419</v>
      </c>
      <c r="Q265" t="s">
        <v>494</v>
      </c>
      <c r="R265" t="s">
        <v>495</v>
      </c>
      <c r="S265">
        <v>120</v>
      </c>
      <c r="T265">
        <v>510</v>
      </c>
      <c r="U265">
        <v>61200</v>
      </c>
      <c r="V265" t="str">
        <f t="shared" si="75"/>
        <v>Accepted</v>
      </c>
      <c r="W265">
        <f>IFERROR(VLOOKUP(N265, Payment_Terms!A:B, 2, FALSE), "Payment term not found!")</f>
        <v>30</v>
      </c>
      <c r="X265" t="str">
        <f>IFERROR(VLOOKUP(R265, Item_Category!A:B, 2, FALSE), "Uncategorized")</f>
        <v>Strapping rolls</v>
      </c>
      <c r="Y265" s="5">
        <f t="shared" si="74"/>
        <v>0</v>
      </c>
      <c r="Z265">
        <f t="shared" si="80"/>
        <v>5</v>
      </c>
      <c r="AA265">
        <f t="shared" si="81"/>
        <v>-4</v>
      </c>
      <c r="AB265">
        <f t="shared" si="82"/>
        <v>5</v>
      </c>
      <c r="AC265" s="10">
        <f t="shared" si="83"/>
        <v>1</v>
      </c>
      <c r="AD265" s="5">
        <f t="shared" si="76"/>
        <v>1</v>
      </c>
      <c r="AE265" s="5">
        <f t="shared" si="77"/>
        <v>1</v>
      </c>
      <c r="AF265" s="5">
        <f t="shared" si="84"/>
        <v>0</v>
      </c>
      <c r="AG265">
        <f>IF(B265&lt;&gt;"", COUNTIFS($B$2:B265, B265), "")</f>
        <v>21</v>
      </c>
      <c r="AH265">
        <f t="shared" si="85"/>
        <v>5</v>
      </c>
      <c r="AI265" t="str">
        <f>VLOOKUP(B265, Currency!A:B, 2, FALSE)</f>
        <v>INR</v>
      </c>
      <c r="AJ265">
        <f t="shared" si="78"/>
        <v>5</v>
      </c>
      <c r="AK265">
        <f t="shared" si="86"/>
        <v>9</v>
      </c>
      <c r="AL265" t="str">
        <f t="shared" si="87"/>
        <v>September</v>
      </c>
      <c r="AM265">
        <f t="shared" si="88"/>
        <v>2023</v>
      </c>
      <c r="AN265" t="str">
        <f t="shared" si="79"/>
        <v>30Shree Shyam Enterprises</v>
      </c>
      <c r="AO265">
        <f>IF(COUNTIF($AN$2:AN265, AN265)=1, 1, 0)</f>
        <v>0</v>
      </c>
      <c r="AP265" t="str">
        <f t="shared" si="89"/>
        <v>&gt;3</v>
      </c>
      <c r="AQ265" t="str">
        <f t="shared" si="90"/>
        <v>&gt;3</v>
      </c>
      <c r="AR265" t="str">
        <f t="shared" si="91"/>
        <v>&gt;3</v>
      </c>
    </row>
    <row r="266" spans="1:44" x14ac:dyDescent="0.3">
      <c r="A266" t="s">
        <v>33</v>
      </c>
      <c r="B266" t="s">
        <v>358</v>
      </c>
      <c r="C266" t="s">
        <v>229</v>
      </c>
      <c r="D266">
        <v>4730</v>
      </c>
      <c r="E266">
        <v>23220070</v>
      </c>
      <c r="F266" t="s">
        <v>443</v>
      </c>
      <c r="G266" t="s">
        <v>99</v>
      </c>
      <c r="H266">
        <v>40</v>
      </c>
      <c r="I266">
        <v>72090</v>
      </c>
      <c r="J266">
        <v>2883600</v>
      </c>
      <c r="K266" t="str">
        <f>IFERROR(IF(B266&lt;&gt;"", TEXT(VLOOKUP(B266, 'Expected Date'!A:B, 2, FALSE) + DATE(RIGHT(C266,2),MID(C266,4,2),LEFT(C266,2)), "dd/mm/yy"), ""), "")</f>
        <v>02/10/23</v>
      </c>
      <c r="L266" t="s">
        <v>38</v>
      </c>
      <c r="M266" t="s">
        <v>48</v>
      </c>
      <c r="N266" t="s">
        <v>361</v>
      </c>
      <c r="O266" t="s">
        <v>530</v>
      </c>
      <c r="P266">
        <v>23291672</v>
      </c>
      <c r="Q266" t="s">
        <v>443</v>
      </c>
      <c r="R266" t="s">
        <v>444</v>
      </c>
      <c r="S266">
        <v>20.32</v>
      </c>
      <c r="T266">
        <v>72090</v>
      </c>
      <c r="U266">
        <v>1464868.8</v>
      </c>
      <c r="V266" t="str">
        <f t="shared" si="75"/>
        <v>Accepted</v>
      </c>
      <c r="W266">
        <f>IFERROR(VLOOKUP(N266, Payment_Terms!A:B, 2, FALSE), "Payment term not found!")</f>
        <v>0</v>
      </c>
      <c r="X266" t="str">
        <f>IFERROR(VLOOKUP(R266, Item_Category!A:B, 2, FALSE), "Uncategorized")</f>
        <v>Wood pulp</v>
      </c>
      <c r="Y266" s="5">
        <f t="shared" si="74"/>
        <v>0</v>
      </c>
      <c r="Z266">
        <f t="shared" si="80"/>
        <v>5</v>
      </c>
      <c r="AA266">
        <f t="shared" si="81"/>
        <v>6</v>
      </c>
      <c r="AB266">
        <f t="shared" si="82"/>
        <v>3</v>
      </c>
      <c r="AC266" s="10">
        <f t="shared" si="83"/>
        <v>8</v>
      </c>
      <c r="AD266" s="5">
        <f t="shared" si="76"/>
        <v>1</v>
      </c>
      <c r="AE266" s="5">
        <f t="shared" si="77"/>
        <v>1</v>
      </c>
      <c r="AF266" s="5">
        <f t="shared" si="84"/>
        <v>0</v>
      </c>
      <c r="AG266">
        <f>IF(B266&lt;&gt;"", COUNTIFS($B$2:B266, B266), "")</f>
        <v>3</v>
      </c>
      <c r="AH266">
        <f t="shared" si="85"/>
        <v>5</v>
      </c>
      <c r="AI266" t="str">
        <f>VLOOKUP(B266, Currency!A:B, 2, FALSE)</f>
        <v>INR</v>
      </c>
      <c r="AJ266">
        <f t="shared" si="78"/>
        <v>5</v>
      </c>
      <c r="AK266">
        <f t="shared" si="86"/>
        <v>9</v>
      </c>
      <c r="AL266" t="str">
        <f t="shared" si="87"/>
        <v>September</v>
      </c>
      <c r="AM266">
        <f t="shared" si="88"/>
        <v>2023</v>
      </c>
      <c r="AN266" t="str">
        <f t="shared" si="79"/>
        <v>0Sigachi Industries Limited</v>
      </c>
      <c r="AO266">
        <f>IF(COUNTIF($AN$2:AN266, AN266)=1, 1, 0)</f>
        <v>0</v>
      </c>
      <c r="AP266" t="str">
        <f t="shared" si="89"/>
        <v>&gt;3</v>
      </c>
      <c r="AQ266" t="str">
        <f t="shared" si="90"/>
        <v>&gt;3</v>
      </c>
      <c r="AR266" t="str">
        <f t="shared" si="91"/>
        <v>&lt;=3</v>
      </c>
    </row>
    <row r="267" spans="1:44" x14ac:dyDescent="0.3">
      <c r="A267" t="s">
        <v>33</v>
      </c>
      <c r="B267" t="s">
        <v>366</v>
      </c>
      <c r="C267" t="s">
        <v>103</v>
      </c>
      <c r="D267">
        <v>4206</v>
      </c>
      <c r="E267">
        <v>23210622</v>
      </c>
      <c r="F267" t="s">
        <v>392</v>
      </c>
      <c r="G267" t="s">
        <v>393</v>
      </c>
      <c r="H267">
        <v>150</v>
      </c>
      <c r="I267">
        <v>9850</v>
      </c>
      <c r="J267">
        <v>1477500</v>
      </c>
      <c r="K267" t="str">
        <f>IFERROR(IF(B267&lt;&gt;"", TEXT(VLOOKUP(B267, 'Expected Date'!A:B, 2, FALSE) + DATE(RIGHT(C267,2),MID(C267,4,2),LEFT(C267,2)), "dd/mm/yy"), ""), "")</f>
        <v>08/09/23</v>
      </c>
      <c r="L267" t="s">
        <v>68</v>
      </c>
      <c r="M267" t="s">
        <v>48</v>
      </c>
      <c r="N267" t="s">
        <v>370</v>
      </c>
      <c r="O267" t="s">
        <v>531</v>
      </c>
      <c r="P267">
        <v>23291368</v>
      </c>
      <c r="Q267" t="s">
        <v>392</v>
      </c>
      <c r="R267" t="s">
        <v>393</v>
      </c>
      <c r="S267">
        <v>27.19</v>
      </c>
      <c r="T267">
        <v>9850</v>
      </c>
      <c r="U267">
        <v>267821.5</v>
      </c>
      <c r="V267" t="str">
        <f t="shared" si="75"/>
        <v>Accepted</v>
      </c>
      <c r="W267">
        <f>IFERROR(VLOOKUP(N267, Payment_Terms!A:B, 2, FALSE), "Payment term not found!")</f>
        <v>15</v>
      </c>
      <c r="X267" t="str">
        <f>IFERROR(VLOOKUP(R267, Item_Category!A:B, 2, FALSE), "Uncategorized")</f>
        <v>Coal materials</v>
      </c>
      <c r="Y267" s="5">
        <f t="shared" si="74"/>
        <v>0.81873333333333331</v>
      </c>
      <c r="Z267">
        <f t="shared" si="80"/>
        <v>1</v>
      </c>
      <c r="AA267">
        <f t="shared" si="81"/>
        <v>2</v>
      </c>
      <c r="AB267">
        <f t="shared" si="82"/>
        <v>5</v>
      </c>
      <c r="AC267" s="10">
        <f t="shared" si="83"/>
        <v>4</v>
      </c>
      <c r="AD267" s="5">
        <f t="shared" si="76"/>
        <v>1</v>
      </c>
      <c r="AE267" s="5">
        <f t="shared" si="77"/>
        <v>1</v>
      </c>
      <c r="AF267" s="5">
        <f t="shared" si="84"/>
        <v>0</v>
      </c>
      <c r="AG267">
        <f>IF(B267&lt;&gt;"", COUNTIFS($B$2:B267, B267), "")</f>
        <v>50</v>
      </c>
      <c r="AH267">
        <f t="shared" si="85"/>
        <v>5</v>
      </c>
      <c r="AI267" t="str">
        <f>VLOOKUP(B267, Currency!A:B, 2, FALSE)</f>
        <v>INR</v>
      </c>
      <c r="AJ267">
        <f t="shared" si="78"/>
        <v>4</v>
      </c>
      <c r="AK267">
        <f t="shared" si="86"/>
        <v>9</v>
      </c>
      <c r="AL267" t="str">
        <f t="shared" si="87"/>
        <v>September</v>
      </c>
      <c r="AM267">
        <f t="shared" si="88"/>
        <v>2023</v>
      </c>
      <c r="AN267" t="str">
        <f t="shared" si="79"/>
        <v>15SKYWIN ENTERPRISE</v>
      </c>
      <c r="AO267">
        <f>IF(COUNTIF($AN$2:AN267, AN267)=1, 1, 0)</f>
        <v>0</v>
      </c>
      <c r="AP267" t="str">
        <f t="shared" si="89"/>
        <v>&gt;3</v>
      </c>
      <c r="AQ267" t="str">
        <f t="shared" si="90"/>
        <v>&lt;=3</v>
      </c>
      <c r="AR267" t="str">
        <f t="shared" si="91"/>
        <v>&gt;3</v>
      </c>
    </row>
    <row r="268" spans="1:44" x14ac:dyDescent="0.3">
      <c r="A268" t="s">
        <v>33</v>
      </c>
      <c r="B268" t="s">
        <v>366</v>
      </c>
      <c r="C268" t="s">
        <v>272</v>
      </c>
      <c r="D268">
        <v>4670</v>
      </c>
      <c r="E268">
        <v>23210706</v>
      </c>
      <c r="F268" t="s">
        <v>392</v>
      </c>
      <c r="G268" t="s">
        <v>393</v>
      </c>
      <c r="H268">
        <v>100</v>
      </c>
      <c r="I268">
        <v>8400</v>
      </c>
      <c r="J268">
        <v>840000</v>
      </c>
      <c r="K268" t="str">
        <f>IFERROR(IF(B268&lt;&gt;"", TEXT(VLOOKUP(B268, 'Expected Date'!A:B, 2, FALSE) + DATE(RIGHT(C268,2),MID(C268,4,2),LEFT(C268,2)), "dd/mm/yy"), ""), "")</f>
        <v>27/09/23</v>
      </c>
      <c r="L268" t="s">
        <v>38</v>
      </c>
      <c r="M268" t="s">
        <v>48</v>
      </c>
      <c r="N268" t="s">
        <v>532</v>
      </c>
      <c r="O268" t="s">
        <v>247</v>
      </c>
      <c r="P268">
        <v>23291601</v>
      </c>
      <c r="Q268" t="s">
        <v>392</v>
      </c>
      <c r="R268" t="s">
        <v>393</v>
      </c>
      <c r="S268">
        <v>10.18</v>
      </c>
      <c r="T268">
        <v>8400</v>
      </c>
      <c r="U268">
        <v>85512</v>
      </c>
      <c r="V268" t="str">
        <f t="shared" si="75"/>
        <v>Accepted</v>
      </c>
      <c r="W268">
        <f>IFERROR(VLOOKUP(N268, Payment_Terms!A:B, 2, FALSE), "Payment term not found!")</f>
        <v>15</v>
      </c>
      <c r="X268" t="str">
        <f>IFERROR(VLOOKUP(R268, Item_Category!A:B, 2, FALSE), "Uncategorized")</f>
        <v>Coal materials</v>
      </c>
      <c r="Y268" s="5">
        <f t="shared" si="74"/>
        <v>0</v>
      </c>
      <c r="Z268">
        <f t="shared" si="80"/>
        <v>5</v>
      </c>
      <c r="AA268">
        <f t="shared" si="81"/>
        <v>8</v>
      </c>
      <c r="AB268">
        <f t="shared" si="82"/>
        <v>2</v>
      </c>
      <c r="AC268" s="10">
        <f t="shared" si="83"/>
        <v>10</v>
      </c>
      <c r="AD268" s="5">
        <f t="shared" si="76"/>
        <v>1</v>
      </c>
      <c r="AE268" s="5">
        <f t="shared" si="77"/>
        <v>1</v>
      </c>
      <c r="AF268" s="5">
        <f t="shared" si="84"/>
        <v>0</v>
      </c>
      <c r="AG268">
        <f>IF(B268&lt;&gt;"", COUNTIFS($B$2:B268, B268), "")</f>
        <v>51</v>
      </c>
      <c r="AH268">
        <f t="shared" si="85"/>
        <v>5</v>
      </c>
      <c r="AI268" t="str">
        <f>VLOOKUP(B268, Currency!A:B, 2, FALSE)</f>
        <v>INR</v>
      </c>
      <c r="AJ268">
        <f t="shared" si="78"/>
        <v>5</v>
      </c>
      <c r="AK268">
        <f t="shared" si="86"/>
        <v>9</v>
      </c>
      <c r="AL268" t="str">
        <f t="shared" si="87"/>
        <v>September</v>
      </c>
      <c r="AM268">
        <f t="shared" si="88"/>
        <v>2023</v>
      </c>
      <c r="AN268" t="str">
        <f t="shared" si="79"/>
        <v>15SKYWIN ENTERPRISE</v>
      </c>
      <c r="AO268">
        <f>IF(COUNTIF($AN$2:AN268, AN268)=1, 1, 0)</f>
        <v>0</v>
      </c>
      <c r="AP268" t="str">
        <f t="shared" si="89"/>
        <v>&gt;3</v>
      </c>
      <c r="AQ268" t="str">
        <f t="shared" si="90"/>
        <v>&gt;3</v>
      </c>
      <c r="AR268" t="str">
        <f t="shared" si="91"/>
        <v>&lt;=3</v>
      </c>
    </row>
    <row r="269" spans="1:44" x14ac:dyDescent="0.3">
      <c r="A269" t="s">
        <v>33</v>
      </c>
      <c r="B269" t="s">
        <v>533</v>
      </c>
      <c r="C269" t="s">
        <v>293</v>
      </c>
      <c r="D269">
        <v>3910</v>
      </c>
      <c r="E269">
        <v>23210566</v>
      </c>
      <c r="F269" t="s">
        <v>420</v>
      </c>
      <c r="G269" t="s">
        <v>421</v>
      </c>
      <c r="H269">
        <v>2000</v>
      </c>
      <c r="I269">
        <v>35</v>
      </c>
      <c r="J269">
        <v>70000</v>
      </c>
      <c r="K269" t="str">
        <f>IFERROR(IF(B269&lt;&gt;"", TEXT(VLOOKUP(B269, 'Expected Date'!A:B, 2, FALSE) + DATE(RIGHT(C269,2),MID(C269,4,2),LEFT(C269,2)), "dd/mm/yy"), ""), "")</f>
        <v>27/08/23</v>
      </c>
      <c r="L269" t="s">
        <v>38</v>
      </c>
      <c r="M269" t="s">
        <v>48</v>
      </c>
      <c r="N269" t="s">
        <v>342</v>
      </c>
      <c r="O269" t="s">
        <v>294</v>
      </c>
      <c r="P269">
        <v>23291203</v>
      </c>
      <c r="Q269" t="s">
        <v>420</v>
      </c>
      <c r="R269" t="s">
        <v>421</v>
      </c>
      <c r="S269">
        <v>2000</v>
      </c>
      <c r="T269">
        <v>35</v>
      </c>
      <c r="U269">
        <v>70000</v>
      </c>
      <c r="V269" t="str">
        <f t="shared" si="75"/>
        <v>Accepted</v>
      </c>
      <c r="W269">
        <f>IFERROR(VLOOKUP(N269, Payment_Terms!A:B, 2, FALSE), "Payment term not found!")</f>
        <v>30</v>
      </c>
      <c r="X269" t="str">
        <f>IFERROR(VLOOKUP(R269, Item_Category!A:B, 2, FALSE), "Uncategorized")</f>
        <v>Hydrogen Peroxide</v>
      </c>
      <c r="Y269" s="5">
        <f t="shared" si="74"/>
        <v>0</v>
      </c>
      <c r="Z269">
        <f t="shared" si="80"/>
        <v>5</v>
      </c>
      <c r="AA269">
        <f t="shared" si="81"/>
        <v>-4</v>
      </c>
      <c r="AB269">
        <f t="shared" si="82"/>
        <v>5</v>
      </c>
      <c r="AC269" s="10">
        <f t="shared" si="83"/>
        <v>1</v>
      </c>
      <c r="AD269" s="5">
        <f t="shared" si="76"/>
        <v>1</v>
      </c>
      <c r="AE269" s="5">
        <f t="shared" si="77"/>
        <v>1</v>
      </c>
      <c r="AF269" s="5">
        <f t="shared" si="84"/>
        <v>0</v>
      </c>
      <c r="AG269">
        <f>IF(B269&lt;&gt;"", COUNTIFS($B$2:B269, B269), "")</f>
        <v>1</v>
      </c>
      <c r="AH269">
        <f t="shared" si="85"/>
        <v>5</v>
      </c>
      <c r="AI269" t="str">
        <f>VLOOKUP(B269, Currency!A:B, 2, FALSE)</f>
        <v>INR</v>
      </c>
      <c r="AJ269">
        <f t="shared" si="78"/>
        <v>5</v>
      </c>
      <c r="AK269">
        <f t="shared" si="86"/>
        <v>8</v>
      </c>
      <c r="AL269" t="str">
        <f t="shared" si="87"/>
        <v>August</v>
      </c>
      <c r="AM269">
        <f t="shared" si="88"/>
        <v>2023</v>
      </c>
      <c r="AN269" t="str">
        <f t="shared" si="79"/>
        <v>30Mercury Industries</v>
      </c>
      <c r="AO269">
        <f>IF(COUNTIF($AN$2:AN269, AN269)=1, 1, 0)</f>
        <v>1</v>
      </c>
      <c r="AP269" t="str">
        <f t="shared" si="89"/>
        <v>&gt;3</v>
      </c>
      <c r="AQ269" t="str">
        <f t="shared" si="90"/>
        <v>&gt;3</v>
      </c>
      <c r="AR269" t="str">
        <f t="shared" si="91"/>
        <v>&gt;3</v>
      </c>
    </row>
    <row r="270" spans="1:44" x14ac:dyDescent="0.3">
      <c r="A270" t="s">
        <v>33</v>
      </c>
      <c r="B270" t="s">
        <v>366</v>
      </c>
      <c r="C270" t="s">
        <v>246</v>
      </c>
      <c r="D270">
        <v>4322</v>
      </c>
      <c r="E270">
        <v>23210653</v>
      </c>
      <c r="F270" t="s">
        <v>392</v>
      </c>
      <c r="G270" t="s">
        <v>393</v>
      </c>
      <c r="H270">
        <v>100</v>
      </c>
      <c r="I270">
        <v>11100</v>
      </c>
      <c r="J270">
        <v>1110000</v>
      </c>
      <c r="K270" t="str">
        <f>IFERROR(IF(B270&lt;&gt;"", TEXT(VLOOKUP(B270, 'Expected Date'!A:B, 2, FALSE) + DATE(RIGHT(C270,2),MID(C270,4,2),LEFT(C270,2)), "dd/mm/yy"), ""), "")</f>
        <v>14/09/23</v>
      </c>
      <c r="L270" t="s">
        <v>38</v>
      </c>
      <c r="M270" t="s">
        <v>48</v>
      </c>
      <c r="N270" t="s">
        <v>370</v>
      </c>
      <c r="O270" t="s">
        <v>206</v>
      </c>
      <c r="P270">
        <v>23291404</v>
      </c>
      <c r="Q270" t="s">
        <v>392</v>
      </c>
      <c r="R270" t="s">
        <v>393</v>
      </c>
      <c r="S270">
        <v>29.18</v>
      </c>
      <c r="T270">
        <v>11100</v>
      </c>
      <c r="U270">
        <v>323898</v>
      </c>
      <c r="V270" t="str">
        <f t="shared" si="75"/>
        <v>Accepted</v>
      </c>
      <c r="W270">
        <f>IFERROR(VLOOKUP(N270, Payment_Terms!A:B, 2, FALSE), "Payment term not found!")</f>
        <v>15</v>
      </c>
      <c r="X270" t="str">
        <f>IFERROR(VLOOKUP(R270, Item_Category!A:B, 2, FALSE), "Uncategorized")</f>
        <v>Coal materials</v>
      </c>
      <c r="Y270" s="5">
        <f t="shared" si="74"/>
        <v>0</v>
      </c>
      <c r="Z270">
        <f t="shared" si="80"/>
        <v>5</v>
      </c>
      <c r="AA270">
        <f t="shared" si="81"/>
        <v>-1</v>
      </c>
      <c r="AB270">
        <f t="shared" si="82"/>
        <v>5</v>
      </c>
      <c r="AC270" s="10">
        <f t="shared" si="83"/>
        <v>1</v>
      </c>
      <c r="AD270" s="5">
        <f t="shared" si="76"/>
        <v>1</v>
      </c>
      <c r="AE270" s="5">
        <f t="shared" si="77"/>
        <v>1</v>
      </c>
      <c r="AF270" s="5">
        <f t="shared" si="84"/>
        <v>0</v>
      </c>
      <c r="AG270">
        <f>IF(B270&lt;&gt;"", COUNTIFS($B$2:B270, B270), "")</f>
        <v>52</v>
      </c>
      <c r="AH270">
        <f t="shared" si="85"/>
        <v>5</v>
      </c>
      <c r="AI270" t="str">
        <f>VLOOKUP(B270, Currency!A:B, 2, FALSE)</f>
        <v>INR</v>
      </c>
      <c r="AJ270">
        <f t="shared" si="78"/>
        <v>5</v>
      </c>
      <c r="AK270">
        <f t="shared" si="86"/>
        <v>9</v>
      </c>
      <c r="AL270" t="str">
        <f t="shared" si="87"/>
        <v>September</v>
      </c>
      <c r="AM270">
        <f t="shared" si="88"/>
        <v>2023</v>
      </c>
      <c r="AN270" t="str">
        <f t="shared" si="79"/>
        <v>15SKYWIN ENTERPRISE</v>
      </c>
      <c r="AO270">
        <f>IF(COUNTIF($AN$2:AN270, AN270)=1, 1, 0)</f>
        <v>0</v>
      </c>
      <c r="AP270" t="str">
        <f t="shared" si="89"/>
        <v>&gt;3</v>
      </c>
      <c r="AQ270" t="str">
        <f t="shared" si="90"/>
        <v>&gt;3</v>
      </c>
      <c r="AR270" t="str">
        <f t="shared" si="91"/>
        <v>&gt;3</v>
      </c>
    </row>
    <row r="271" spans="1:44" x14ac:dyDescent="0.3">
      <c r="A271" t="s">
        <v>33</v>
      </c>
      <c r="B271" t="s">
        <v>366</v>
      </c>
      <c r="C271" t="s">
        <v>246</v>
      </c>
      <c r="D271">
        <v>4322</v>
      </c>
      <c r="E271">
        <v>23210653</v>
      </c>
      <c r="F271" t="s">
        <v>392</v>
      </c>
      <c r="G271" t="s">
        <v>393</v>
      </c>
      <c r="H271">
        <v>100</v>
      </c>
      <c r="I271">
        <v>11100</v>
      </c>
      <c r="J271">
        <v>1110000</v>
      </c>
      <c r="K271" t="str">
        <f>IFERROR(IF(B271&lt;&gt;"", TEXT(VLOOKUP(B271, 'Expected Date'!A:B, 2, FALSE) + DATE(RIGHT(C271,2),MID(C271,4,2),LEFT(C271,2)), "dd/mm/yy"), ""), "")</f>
        <v>14/09/23</v>
      </c>
      <c r="L271" t="s">
        <v>38</v>
      </c>
      <c r="M271" t="s">
        <v>48</v>
      </c>
      <c r="N271" t="s">
        <v>370</v>
      </c>
      <c r="O271" t="s">
        <v>323</v>
      </c>
      <c r="P271">
        <v>23291416</v>
      </c>
      <c r="Q271" t="s">
        <v>392</v>
      </c>
      <c r="R271" t="s">
        <v>393</v>
      </c>
      <c r="S271">
        <v>29.38</v>
      </c>
      <c r="T271">
        <v>11100</v>
      </c>
      <c r="U271">
        <v>326118</v>
      </c>
      <c r="V271" t="str">
        <f t="shared" si="75"/>
        <v>Accepted</v>
      </c>
      <c r="W271">
        <f>IFERROR(VLOOKUP(N271, Payment_Terms!A:B, 2, FALSE), "Payment term not found!")</f>
        <v>15</v>
      </c>
      <c r="X271" t="str">
        <f>IFERROR(VLOOKUP(R271, Item_Category!A:B, 2, FALSE), "Uncategorized")</f>
        <v>Coal materials</v>
      </c>
      <c r="Y271" s="5">
        <f t="shared" si="74"/>
        <v>0</v>
      </c>
      <c r="Z271">
        <f t="shared" si="80"/>
        <v>5</v>
      </c>
      <c r="AA271">
        <f t="shared" si="81"/>
        <v>1</v>
      </c>
      <c r="AB271">
        <f t="shared" si="82"/>
        <v>5</v>
      </c>
      <c r="AC271" s="10">
        <f t="shared" si="83"/>
        <v>3</v>
      </c>
      <c r="AD271" s="5">
        <f t="shared" si="76"/>
        <v>1</v>
      </c>
      <c r="AE271" s="5">
        <f t="shared" si="77"/>
        <v>1</v>
      </c>
      <c r="AF271" s="5">
        <f t="shared" si="84"/>
        <v>0</v>
      </c>
      <c r="AG271">
        <f>IF(B271&lt;&gt;"", COUNTIFS($B$2:B271, B271), "")</f>
        <v>53</v>
      </c>
      <c r="AH271">
        <f t="shared" si="85"/>
        <v>5</v>
      </c>
      <c r="AI271" t="str">
        <f>VLOOKUP(B271, Currency!A:B, 2, FALSE)</f>
        <v>INR</v>
      </c>
      <c r="AJ271">
        <f t="shared" si="78"/>
        <v>5</v>
      </c>
      <c r="AK271">
        <f t="shared" si="86"/>
        <v>9</v>
      </c>
      <c r="AL271" t="str">
        <f t="shared" si="87"/>
        <v>September</v>
      </c>
      <c r="AM271">
        <f t="shared" si="88"/>
        <v>2023</v>
      </c>
      <c r="AN271" t="str">
        <f t="shared" si="79"/>
        <v>15SKYWIN ENTERPRISE</v>
      </c>
      <c r="AO271">
        <f>IF(COUNTIF($AN$2:AN271, AN271)=1, 1, 0)</f>
        <v>0</v>
      </c>
      <c r="AP271" t="str">
        <f t="shared" si="89"/>
        <v>&gt;3</v>
      </c>
      <c r="AQ271" t="str">
        <f t="shared" si="90"/>
        <v>&gt;3</v>
      </c>
      <c r="AR271" t="str">
        <f t="shared" si="91"/>
        <v>&gt;3</v>
      </c>
    </row>
    <row r="272" spans="1:44" x14ac:dyDescent="0.3">
      <c r="A272" t="s">
        <v>33</v>
      </c>
      <c r="B272" t="s">
        <v>386</v>
      </c>
      <c r="C272" t="s">
        <v>206</v>
      </c>
      <c r="D272">
        <v>4383</v>
      </c>
      <c r="E272">
        <v>23210662</v>
      </c>
      <c r="F272" t="s">
        <v>510</v>
      </c>
      <c r="G272" t="s">
        <v>511</v>
      </c>
      <c r="H272">
        <v>100</v>
      </c>
      <c r="I272">
        <v>450</v>
      </c>
      <c r="J272">
        <v>45000</v>
      </c>
      <c r="K272" t="str">
        <f>IFERROR(IF(B272&lt;&gt;"", TEXT(VLOOKUP(B272, 'Expected Date'!A:B, 2, FALSE) + DATE(RIGHT(C272,2),MID(C272,4,2),LEFT(C272,2)), "dd/mm/yy"), ""), "")</f>
        <v>18/09/23</v>
      </c>
      <c r="L272" t="s">
        <v>38</v>
      </c>
      <c r="M272" t="s">
        <v>48</v>
      </c>
      <c r="N272" t="s">
        <v>342</v>
      </c>
      <c r="O272" t="s">
        <v>151</v>
      </c>
      <c r="P272">
        <v>23291419</v>
      </c>
      <c r="Q272" t="s">
        <v>510</v>
      </c>
      <c r="R272" t="s">
        <v>511</v>
      </c>
      <c r="S272">
        <v>100</v>
      </c>
      <c r="T272">
        <v>450</v>
      </c>
      <c r="U272">
        <v>45000</v>
      </c>
      <c r="V272" t="str">
        <f t="shared" si="75"/>
        <v>Accepted</v>
      </c>
      <c r="W272">
        <f>IFERROR(VLOOKUP(N272, Payment_Terms!A:B, 2, FALSE), "Payment term not found!")</f>
        <v>30</v>
      </c>
      <c r="X272" t="str">
        <f>IFERROR(VLOOKUP(R272, Item_Category!A:B, 2, FALSE), "Uncategorized")</f>
        <v>Ply sheets</v>
      </c>
      <c r="Y272" s="5">
        <f t="shared" si="74"/>
        <v>0</v>
      </c>
      <c r="Z272">
        <f t="shared" si="80"/>
        <v>5</v>
      </c>
      <c r="AA272">
        <f t="shared" si="81"/>
        <v>-4</v>
      </c>
      <c r="AB272">
        <f t="shared" si="82"/>
        <v>5</v>
      </c>
      <c r="AC272" s="10">
        <f t="shared" si="83"/>
        <v>1</v>
      </c>
      <c r="AD272" s="5">
        <f t="shared" si="76"/>
        <v>1</v>
      </c>
      <c r="AE272" s="5">
        <f t="shared" si="77"/>
        <v>1</v>
      </c>
      <c r="AF272" s="5">
        <f t="shared" si="84"/>
        <v>0</v>
      </c>
      <c r="AG272">
        <f>IF(B272&lt;&gt;"", COUNTIFS($B$2:B272, B272), "")</f>
        <v>22</v>
      </c>
      <c r="AH272">
        <f t="shared" si="85"/>
        <v>5</v>
      </c>
      <c r="AI272" t="str">
        <f>VLOOKUP(B272, Currency!A:B, 2, FALSE)</f>
        <v>INR</v>
      </c>
      <c r="AJ272">
        <f t="shared" si="78"/>
        <v>5</v>
      </c>
      <c r="AK272">
        <f t="shared" si="86"/>
        <v>9</v>
      </c>
      <c r="AL272" t="str">
        <f t="shared" si="87"/>
        <v>September</v>
      </c>
      <c r="AM272">
        <f t="shared" si="88"/>
        <v>2023</v>
      </c>
      <c r="AN272" t="str">
        <f t="shared" si="79"/>
        <v>30Shree Shyam Enterprises</v>
      </c>
      <c r="AO272">
        <f>IF(COUNTIF($AN$2:AN272, AN272)=1, 1, 0)</f>
        <v>0</v>
      </c>
      <c r="AP272" t="str">
        <f t="shared" si="89"/>
        <v>&gt;3</v>
      </c>
      <c r="AQ272" t="str">
        <f t="shared" si="90"/>
        <v>&gt;3</v>
      </c>
      <c r="AR272" t="str">
        <f t="shared" si="91"/>
        <v>&gt;3</v>
      </c>
    </row>
    <row r="273" spans="1:44" x14ac:dyDescent="0.3">
      <c r="A273" t="s">
        <v>33</v>
      </c>
      <c r="B273" t="s">
        <v>366</v>
      </c>
      <c r="C273" t="s">
        <v>228</v>
      </c>
      <c r="D273">
        <v>4566</v>
      </c>
      <c r="E273">
        <v>23210689</v>
      </c>
      <c r="F273" t="s">
        <v>392</v>
      </c>
      <c r="G273" t="s">
        <v>393</v>
      </c>
      <c r="H273">
        <v>100</v>
      </c>
      <c r="I273">
        <v>11100</v>
      </c>
      <c r="J273">
        <v>1110000</v>
      </c>
      <c r="K273" t="str">
        <f>IFERROR(IF(B273&lt;&gt;"", TEXT(VLOOKUP(B273, 'Expected Date'!A:B, 2, FALSE) + DATE(RIGHT(C273,2),MID(C273,4,2),LEFT(C273,2)), "dd/mm/yy"), ""), "")</f>
        <v>24/09/23</v>
      </c>
      <c r="L273" t="s">
        <v>68</v>
      </c>
      <c r="M273" t="s">
        <v>48</v>
      </c>
      <c r="N273" t="s">
        <v>370</v>
      </c>
      <c r="O273" t="s">
        <v>330</v>
      </c>
      <c r="P273">
        <v>23291497</v>
      </c>
      <c r="Q273" t="s">
        <v>392</v>
      </c>
      <c r="R273" t="s">
        <v>393</v>
      </c>
      <c r="S273">
        <v>29.19</v>
      </c>
      <c r="T273">
        <v>11100</v>
      </c>
      <c r="U273">
        <v>324009</v>
      </c>
      <c r="V273" t="str">
        <f t="shared" si="75"/>
        <v>Accepted</v>
      </c>
      <c r="W273">
        <f>IFERROR(VLOOKUP(N273, Payment_Terms!A:B, 2, FALSE), "Payment term not found!")</f>
        <v>15</v>
      </c>
      <c r="X273" t="str">
        <f>IFERROR(VLOOKUP(R273, Item_Category!A:B, 2, FALSE), "Uncategorized")</f>
        <v>Coal materials</v>
      </c>
      <c r="Y273" s="5">
        <f t="shared" si="74"/>
        <v>0.41869999999999996</v>
      </c>
      <c r="Z273">
        <f t="shared" si="80"/>
        <v>1</v>
      </c>
      <c r="AA273">
        <f t="shared" si="81"/>
        <v>-1</v>
      </c>
      <c r="AB273">
        <f t="shared" si="82"/>
        <v>5</v>
      </c>
      <c r="AC273" s="10">
        <f t="shared" si="83"/>
        <v>1</v>
      </c>
      <c r="AD273" s="5">
        <f t="shared" si="76"/>
        <v>1</v>
      </c>
      <c r="AE273" s="5">
        <f t="shared" si="77"/>
        <v>1</v>
      </c>
      <c r="AF273" s="5">
        <f t="shared" si="84"/>
        <v>0</v>
      </c>
      <c r="AG273">
        <f>IF(B273&lt;&gt;"", COUNTIFS($B$2:B273, B273), "")</f>
        <v>54</v>
      </c>
      <c r="AH273">
        <f t="shared" si="85"/>
        <v>5</v>
      </c>
      <c r="AI273" t="str">
        <f>VLOOKUP(B273, Currency!A:B, 2, FALSE)</f>
        <v>INR</v>
      </c>
      <c r="AJ273">
        <f t="shared" si="78"/>
        <v>4</v>
      </c>
      <c r="AK273">
        <f t="shared" si="86"/>
        <v>9</v>
      </c>
      <c r="AL273" t="str">
        <f t="shared" si="87"/>
        <v>September</v>
      </c>
      <c r="AM273">
        <f t="shared" si="88"/>
        <v>2023</v>
      </c>
      <c r="AN273" t="str">
        <f t="shared" si="79"/>
        <v>15SKYWIN ENTERPRISE</v>
      </c>
      <c r="AO273">
        <f>IF(COUNTIF($AN$2:AN273, AN273)=1, 1, 0)</f>
        <v>0</v>
      </c>
      <c r="AP273" t="str">
        <f t="shared" si="89"/>
        <v>&gt;3</v>
      </c>
      <c r="AQ273" t="str">
        <f t="shared" si="90"/>
        <v>&lt;=3</v>
      </c>
      <c r="AR273" t="str">
        <f t="shared" si="91"/>
        <v>&gt;3</v>
      </c>
    </row>
    <row r="274" spans="1:44" x14ac:dyDescent="0.3">
      <c r="A274" t="s">
        <v>33</v>
      </c>
      <c r="B274" t="s">
        <v>157</v>
      </c>
      <c r="C274" t="s">
        <v>439</v>
      </c>
      <c r="D274">
        <v>1408</v>
      </c>
      <c r="E274">
        <v>23210047</v>
      </c>
      <c r="F274" t="s">
        <v>433</v>
      </c>
      <c r="G274" t="s">
        <v>434</v>
      </c>
      <c r="H274">
        <v>600</v>
      </c>
      <c r="I274">
        <v>270</v>
      </c>
      <c r="J274">
        <v>162000</v>
      </c>
      <c r="K274" t="str">
        <f>IFERROR(IF(B274&lt;&gt;"", TEXT(VLOOKUP(B274, 'Expected Date'!A:B, 2, FALSE) + DATE(RIGHT(C274,2),MID(C274,4,2),LEFT(C274,2)), "dd/mm/yy"), ""), "")</f>
        <v>30/04/23</v>
      </c>
      <c r="L274" t="s">
        <v>38</v>
      </c>
      <c r="M274" t="s">
        <v>48</v>
      </c>
      <c r="N274" t="s">
        <v>435</v>
      </c>
      <c r="O274" t="s">
        <v>41</v>
      </c>
      <c r="P274">
        <v>23290168</v>
      </c>
      <c r="Q274" t="s">
        <v>433</v>
      </c>
      <c r="R274" t="s">
        <v>434</v>
      </c>
      <c r="S274">
        <v>600</v>
      </c>
      <c r="T274">
        <v>270</v>
      </c>
      <c r="U274">
        <v>162000</v>
      </c>
      <c r="V274" t="str">
        <f t="shared" si="75"/>
        <v>Accepted</v>
      </c>
      <c r="W274">
        <f>IFERROR(VLOOKUP(N274, Payment_Terms!A:B, 2, FALSE), "Payment term not found!")</f>
        <v>0</v>
      </c>
      <c r="X274" t="str">
        <f>IFERROR(VLOOKUP(R274, Item_Category!A:B, 2, FALSE), "Uncategorized")</f>
        <v>Sodium salts</v>
      </c>
      <c r="Y274" s="5">
        <f t="shared" si="74"/>
        <v>0</v>
      </c>
      <c r="Z274">
        <f t="shared" si="80"/>
        <v>5</v>
      </c>
      <c r="AA274">
        <f t="shared" si="81"/>
        <v>-1</v>
      </c>
      <c r="AB274">
        <f t="shared" si="82"/>
        <v>5</v>
      </c>
      <c r="AC274" s="10">
        <f t="shared" si="83"/>
        <v>9</v>
      </c>
      <c r="AD274" s="5">
        <f t="shared" si="76"/>
        <v>1</v>
      </c>
      <c r="AE274" s="5">
        <f t="shared" si="77"/>
        <v>1</v>
      </c>
      <c r="AF274" s="5">
        <f t="shared" si="84"/>
        <v>0</v>
      </c>
      <c r="AG274">
        <f>IF(B274&lt;&gt;"", COUNTIFS($B$2:B274, B274), "")</f>
        <v>5</v>
      </c>
      <c r="AH274">
        <f t="shared" si="85"/>
        <v>5</v>
      </c>
      <c r="AI274" t="str">
        <f>VLOOKUP(B274, Currency!A:B, 2, FALSE)</f>
        <v>INR</v>
      </c>
      <c r="AJ274">
        <f t="shared" si="78"/>
        <v>5</v>
      </c>
      <c r="AK274">
        <f t="shared" si="86"/>
        <v>4</v>
      </c>
      <c r="AL274" t="str">
        <f t="shared" si="87"/>
        <v>April</v>
      </c>
      <c r="AM274">
        <f t="shared" si="88"/>
        <v>2023</v>
      </c>
      <c r="AN274" t="str">
        <f t="shared" si="79"/>
        <v>0ZED CHEM PVT LTD</v>
      </c>
      <c r="AO274">
        <f>IF(COUNTIF($AN$2:AN274, AN274)=1, 1, 0)</f>
        <v>0</v>
      </c>
      <c r="AP274" t="str">
        <f t="shared" si="89"/>
        <v>&gt;3</v>
      </c>
      <c r="AQ274" t="str">
        <f t="shared" si="90"/>
        <v>&gt;3</v>
      </c>
      <c r="AR274" t="str">
        <f t="shared" si="91"/>
        <v>&gt;3</v>
      </c>
    </row>
    <row r="275" spans="1:44" x14ac:dyDescent="0.3">
      <c r="A275" t="s">
        <v>33</v>
      </c>
      <c r="B275" t="s">
        <v>386</v>
      </c>
      <c r="C275" t="s">
        <v>60</v>
      </c>
      <c r="D275">
        <v>2979</v>
      </c>
      <c r="E275">
        <v>23210398</v>
      </c>
      <c r="F275" t="s">
        <v>534</v>
      </c>
      <c r="G275" t="s">
        <v>535</v>
      </c>
      <c r="H275">
        <v>5747</v>
      </c>
      <c r="I275">
        <v>11.571300000000001</v>
      </c>
      <c r="J275">
        <v>66500.259999999995</v>
      </c>
      <c r="K275" t="str">
        <f>IFERROR(IF(B275&lt;&gt;"", TEXT(VLOOKUP(B275, 'Expected Date'!A:B, 2, FALSE) + DATE(RIGHT(C275,2),MID(C275,4,2),LEFT(C275,2)), "dd/mm/yy"), ""), "")</f>
        <v>01/07/23</v>
      </c>
      <c r="L275" t="s">
        <v>38</v>
      </c>
      <c r="M275" t="s">
        <v>48</v>
      </c>
      <c r="N275" t="s">
        <v>318</v>
      </c>
      <c r="O275" t="s">
        <v>252</v>
      </c>
      <c r="P275">
        <v>23290783</v>
      </c>
      <c r="Q275" t="s">
        <v>534</v>
      </c>
      <c r="R275" t="s">
        <v>535</v>
      </c>
      <c r="S275">
        <v>5747</v>
      </c>
      <c r="T275">
        <v>11.571300000000001</v>
      </c>
      <c r="U275">
        <v>66500.259999999995</v>
      </c>
      <c r="V275" t="str">
        <f t="shared" si="75"/>
        <v>Accepted</v>
      </c>
      <c r="W275">
        <f>IFERROR(VLOOKUP(N275, Payment_Terms!A:B, 2, FALSE), "Payment term not found!")</f>
        <v>30</v>
      </c>
      <c r="X275" t="str">
        <f>IFERROR(VLOOKUP(R275, Item_Category!A:B, 2, FALSE), "Uncategorized")</f>
        <v>Liner</v>
      </c>
      <c r="Y275" s="5">
        <f t="shared" si="74"/>
        <v>0</v>
      </c>
      <c r="Z275">
        <f t="shared" si="80"/>
        <v>5</v>
      </c>
      <c r="AA275">
        <f t="shared" si="81"/>
        <v>-1</v>
      </c>
      <c r="AB275">
        <f t="shared" si="82"/>
        <v>5</v>
      </c>
      <c r="AC275" s="10">
        <f t="shared" si="83"/>
        <v>4</v>
      </c>
      <c r="AD275" s="5">
        <f t="shared" si="76"/>
        <v>1</v>
      </c>
      <c r="AE275" s="5">
        <f t="shared" si="77"/>
        <v>1</v>
      </c>
      <c r="AF275" s="5">
        <f t="shared" si="84"/>
        <v>0</v>
      </c>
      <c r="AG275">
        <f>IF(B275&lt;&gt;"", COUNTIFS($B$2:B275, B275), "")</f>
        <v>23</v>
      </c>
      <c r="AH275">
        <f t="shared" si="85"/>
        <v>5</v>
      </c>
      <c r="AI275" t="str">
        <f>VLOOKUP(B275, Currency!A:B, 2, FALSE)</f>
        <v>INR</v>
      </c>
      <c r="AJ275">
        <f t="shared" si="78"/>
        <v>5</v>
      </c>
      <c r="AK275">
        <f t="shared" si="86"/>
        <v>6</v>
      </c>
      <c r="AL275" t="str">
        <f t="shared" si="87"/>
        <v>June</v>
      </c>
      <c r="AM275">
        <f t="shared" si="88"/>
        <v>2023</v>
      </c>
      <c r="AN275" t="str">
        <f t="shared" si="79"/>
        <v>30Shree Shyam Enterprises</v>
      </c>
      <c r="AO275">
        <f>IF(COUNTIF($AN$2:AN275, AN275)=1, 1, 0)</f>
        <v>0</v>
      </c>
      <c r="AP275" t="str">
        <f t="shared" si="89"/>
        <v>&gt;3</v>
      </c>
      <c r="AQ275" t="str">
        <f t="shared" si="90"/>
        <v>&gt;3</v>
      </c>
      <c r="AR275" t="str">
        <f t="shared" si="91"/>
        <v>&gt;3</v>
      </c>
    </row>
    <row r="276" spans="1:44" x14ac:dyDescent="0.3">
      <c r="A276" t="s">
        <v>33</v>
      </c>
      <c r="B276" t="s">
        <v>122</v>
      </c>
      <c r="C276" t="s">
        <v>536</v>
      </c>
      <c r="D276">
        <v>4671</v>
      </c>
      <c r="E276">
        <v>23210707</v>
      </c>
      <c r="F276" t="s">
        <v>405</v>
      </c>
      <c r="G276" t="s">
        <v>406</v>
      </c>
      <c r="H276">
        <v>600</v>
      </c>
      <c r="I276">
        <v>930</v>
      </c>
      <c r="J276">
        <v>558000</v>
      </c>
      <c r="K276" t="str">
        <f>IFERROR(IF(B276&lt;&gt;"", TEXT(VLOOKUP(B276, 'Expected Date'!A:B, 2, FALSE) + DATE(RIGHT(C276,2),MID(C276,4,2),LEFT(C276,2)), "dd/mm/yy"), ""), "")</f>
        <v>12/10/23</v>
      </c>
      <c r="L276" t="s">
        <v>68</v>
      </c>
      <c r="M276" t="s">
        <v>48</v>
      </c>
      <c r="N276" t="s">
        <v>364</v>
      </c>
      <c r="O276" t="s">
        <v>537</v>
      </c>
      <c r="P276">
        <v>23291712</v>
      </c>
      <c r="Q276" t="s">
        <v>405</v>
      </c>
      <c r="R276" t="s">
        <v>406</v>
      </c>
      <c r="S276">
        <v>180</v>
      </c>
      <c r="T276">
        <v>930</v>
      </c>
      <c r="U276">
        <v>167400</v>
      </c>
      <c r="V276" t="str">
        <f t="shared" si="75"/>
        <v>Accepted</v>
      </c>
      <c r="W276">
        <f>IFERROR(VLOOKUP(N276, Payment_Terms!A:B, 2, FALSE), "Payment term not found!")</f>
        <v>30</v>
      </c>
      <c r="X276" t="str">
        <f>IFERROR(VLOOKUP(R276, Item_Category!A:B, 2, FALSE), "Uncategorized")</f>
        <v>Pallets</v>
      </c>
      <c r="Y276" s="5">
        <f t="shared" si="74"/>
        <v>0.28333333333333333</v>
      </c>
      <c r="Z276">
        <f t="shared" si="80"/>
        <v>1</v>
      </c>
      <c r="AA276">
        <f t="shared" si="81"/>
        <v>-1</v>
      </c>
      <c r="AB276">
        <f t="shared" si="82"/>
        <v>5</v>
      </c>
      <c r="AC276" s="10">
        <f t="shared" si="83"/>
        <v>14</v>
      </c>
      <c r="AD276" s="5">
        <f t="shared" si="76"/>
        <v>1</v>
      </c>
      <c r="AE276" s="5">
        <f t="shared" si="77"/>
        <v>1</v>
      </c>
      <c r="AF276" s="5">
        <f t="shared" si="84"/>
        <v>0</v>
      </c>
      <c r="AG276">
        <f>IF(B276&lt;&gt;"", COUNTIFS($B$2:B276, B276), "")</f>
        <v>29</v>
      </c>
      <c r="AH276">
        <f t="shared" si="85"/>
        <v>5</v>
      </c>
      <c r="AI276" t="str">
        <f>VLOOKUP(B276, Currency!A:B, 2, FALSE)</f>
        <v>INR</v>
      </c>
      <c r="AJ276">
        <f t="shared" si="78"/>
        <v>4</v>
      </c>
      <c r="AK276">
        <f t="shared" si="86"/>
        <v>9</v>
      </c>
      <c r="AL276" t="str">
        <f t="shared" si="87"/>
        <v>September</v>
      </c>
      <c r="AM276">
        <f t="shared" si="88"/>
        <v>2023</v>
      </c>
      <c r="AN276" t="str">
        <f t="shared" si="79"/>
        <v>30Plastocon Industries Pvt Ltd</v>
      </c>
      <c r="AO276">
        <f>IF(COUNTIF($AN$2:AN276, AN276)=1, 1, 0)</f>
        <v>0</v>
      </c>
      <c r="AP276" t="str">
        <f t="shared" si="89"/>
        <v>&gt;3</v>
      </c>
      <c r="AQ276" t="str">
        <f t="shared" si="90"/>
        <v>&lt;=3</v>
      </c>
      <c r="AR276" t="str">
        <f t="shared" si="91"/>
        <v>&gt;3</v>
      </c>
    </row>
    <row r="277" spans="1:44" x14ac:dyDescent="0.3">
      <c r="A277" t="s">
        <v>33</v>
      </c>
      <c r="B277" t="s">
        <v>122</v>
      </c>
      <c r="C277" t="s">
        <v>519</v>
      </c>
      <c r="D277">
        <v>4691</v>
      </c>
      <c r="E277">
        <v>23210710</v>
      </c>
      <c r="F277" t="s">
        <v>362</v>
      </c>
      <c r="G277" t="s">
        <v>363</v>
      </c>
      <c r="H277">
        <v>400</v>
      </c>
      <c r="I277">
        <v>1900</v>
      </c>
      <c r="J277">
        <v>760000</v>
      </c>
      <c r="K277" t="str">
        <f>IFERROR(IF(B277&lt;&gt;"", TEXT(VLOOKUP(B277, 'Expected Date'!A:B, 2, FALSE) + DATE(RIGHT(C277,2),MID(C277,4,2),LEFT(C277,2)), "dd/mm/yy"), ""), "")</f>
        <v>14/10/23</v>
      </c>
      <c r="L277" t="s">
        <v>38</v>
      </c>
      <c r="M277" t="s">
        <v>48</v>
      </c>
      <c r="N277" t="s">
        <v>364</v>
      </c>
      <c r="O277" t="s">
        <v>254</v>
      </c>
      <c r="P277">
        <v>23291742</v>
      </c>
      <c r="Q277" t="s">
        <v>362</v>
      </c>
      <c r="R277" t="s">
        <v>363</v>
      </c>
      <c r="S277">
        <v>170</v>
      </c>
      <c r="T277">
        <v>1900</v>
      </c>
      <c r="U277">
        <v>323000</v>
      </c>
      <c r="V277" t="str">
        <f t="shared" si="75"/>
        <v>Accepted</v>
      </c>
      <c r="W277">
        <f>IFERROR(VLOOKUP(N277, Payment_Terms!A:B, 2, FALSE), "Payment term not found!")</f>
        <v>30</v>
      </c>
      <c r="X277" t="str">
        <f>IFERROR(VLOOKUP(R277, Item_Category!A:B, 2, FALSE), "Uncategorized")</f>
        <v>Pallets</v>
      </c>
      <c r="Y277" s="5">
        <f t="shared" si="74"/>
        <v>0</v>
      </c>
      <c r="Z277">
        <f t="shared" si="80"/>
        <v>5</v>
      </c>
      <c r="AA277">
        <f t="shared" si="81"/>
        <v>0</v>
      </c>
      <c r="AB277">
        <f t="shared" si="82"/>
        <v>5</v>
      </c>
      <c r="AC277" s="10">
        <f t="shared" si="83"/>
        <v>15</v>
      </c>
      <c r="AD277" s="5">
        <f t="shared" si="76"/>
        <v>1</v>
      </c>
      <c r="AE277" s="5">
        <f t="shared" si="77"/>
        <v>1</v>
      </c>
      <c r="AF277" s="5">
        <f t="shared" si="84"/>
        <v>0</v>
      </c>
      <c r="AG277">
        <f>IF(B277&lt;&gt;"", COUNTIFS($B$2:B277, B277), "")</f>
        <v>30</v>
      </c>
      <c r="AH277">
        <f t="shared" si="85"/>
        <v>5</v>
      </c>
      <c r="AI277" t="str">
        <f>VLOOKUP(B277, Currency!A:B, 2, FALSE)</f>
        <v>INR</v>
      </c>
      <c r="AJ277">
        <f t="shared" si="78"/>
        <v>5</v>
      </c>
      <c r="AK277">
        <f t="shared" si="86"/>
        <v>9</v>
      </c>
      <c r="AL277" t="str">
        <f t="shared" si="87"/>
        <v>September</v>
      </c>
      <c r="AM277">
        <f t="shared" si="88"/>
        <v>2023</v>
      </c>
      <c r="AN277" t="str">
        <f t="shared" si="79"/>
        <v>30Plastocon Industries Pvt Ltd</v>
      </c>
      <c r="AO277">
        <f>IF(COUNTIF($AN$2:AN277, AN277)=1, 1, 0)</f>
        <v>0</v>
      </c>
      <c r="AP277" t="str">
        <f t="shared" si="89"/>
        <v>&gt;3</v>
      </c>
      <c r="AQ277" t="str">
        <f t="shared" si="90"/>
        <v>&gt;3</v>
      </c>
      <c r="AR277" t="str">
        <f t="shared" si="91"/>
        <v>&gt;3</v>
      </c>
    </row>
    <row r="278" spans="1:44" x14ac:dyDescent="0.3">
      <c r="A278" t="s">
        <v>33</v>
      </c>
      <c r="B278" t="s">
        <v>513</v>
      </c>
      <c r="C278" t="s">
        <v>194</v>
      </c>
      <c r="D278">
        <v>4639</v>
      </c>
      <c r="E278">
        <v>23210701</v>
      </c>
      <c r="F278" t="s">
        <v>514</v>
      </c>
      <c r="G278" t="s">
        <v>515</v>
      </c>
      <c r="H278">
        <v>10000</v>
      </c>
      <c r="I278">
        <v>19.5</v>
      </c>
      <c r="J278">
        <v>195000</v>
      </c>
      <c r="K278" t="str">
        <f>IFERROR(IF(B278&lt;&gt;"", TEXT(VLOOKUP(B278, 'Expected Date'!A:B, 2, FALSE) + DATE(RIGHT(C278,2),MID(C278,4,2),LEFT(C278,2)), "dd/mm/yy"), ""), "")</f>
        <v>28/09/23</v>
      </c>
      <c r="L278" t="s">
        <v>38</v>
      </c>
      <c r="M278" t="s">
        <v>48</v>
      </c>
      <c r="N278" t="s">
        <v>342</v>
      </c>
      <c r="O278" t="s">
        <v>519</v>
      </c>
      <c r="P278">
        <v>23291585</v>
      </c>
      <c r="Q278" t="s">
        <v>514</v>
      </c>
      <c r="R278" t="s">
        <v>515</v>
      </c>
      <c r="S278">
        <v>10070</v>
      </c>
      <c r="T278">
        <v>19.5</v>
      </c>
      <c r="U278">
        <v>196365</v>
      </c>
      <c r="V278" t="str">
        <f t="shared" si="75"/>
        <v>Accepted</v>
      </c>
      <c r="W278">
        <f>IFERROR(VLOOKUP(N278, Payment_Terms!A:B, 2, FALSE), "Payment term not found!")</f>
        <v>30</v>
      </c>
      <c r="X278" t="str">
        <f>IFERROR(VLOOKUP(R278, Item_Category!A:B, 2, FALSE), "Uncategorized")</f>
        <v xml:space="preserve">Caustic Soda </v>
      </c>
      <c r="Y278" s="5">
        <f t="shared" si="74"/>
        <v>0</v>
      </c>
      <c r="Z278">
        <f t="shared" si="80"/>
        <v>5</v>
      </c>
      <c r="AA278">
        <f t="shared" si="81"/>
        <v>1</v>
      </c>
      <c r="AB278">
        <f t="shared" si="82"/>
        <v>5</v>
      </c>
      <c r="AC278" s="10">
        <f t="shared" si="83"/>
        <v>3</v>
      </c>
      <c r="AD278" s="5">
        <f t="shared" si="76"/>
        <v>1</v>
      </c>
      <c r="AE278" s="5">
        <f t="shared" si="77"/>
        <v>1</v>
      </c>
      <c r="AF278" s="5">
        <f t="shared" si="84"/>
        <v>0</v>
      </c>
      <c r="AG278">
        <f>IF(B278&lt;&gt;"", COUNTIFS($B$2:B278, B278), "")</f>
        <v>2</v>
      </c>
      <c r="AH278">
        <f t="shared" si="85"/>
        <v>5</v>
      </c>
      <c r="AI278" t="str">
        <f>VLOOKUP(B278, Currency!A:B, 2, FALSE)</f>
        <v>INR</v>
      </c>
      <c r="AJ278">
        <f t="shared" si="78"/>
        <v>5</v>
      </c>
      <c r="AK278">
        <f t="shared" si="86"/>
        <v>9</v>
      </c>
      <c r="AL278" t="str">
        <f t="shared" si="87"/>
        <v>September</v>
      </c>
      <c r="AM278">
        <f t="shared" si="88"/>
        <v>2023</v>
      </c>
      <c r="AN278" t="str">
        <f t="shared" si="79"/>
        <v>30J.K.Marketing</v>
      </c>
      <c r="AO278">
        <f>IF(COUNTIF($AN$2:AN278, AN278)=1, 1, 0)</f>
        <v>0</v>
      </c>
      <c r="AP278" t="str">
        <f t="shared" si="89"/>
        <v>&gt;3</v>
      </c>
      <c r="AQ278" t="str">
        <f t="shared" si="90"/>
        <v>&gt;3</v>
      </c>
      <c r="AR278" t="str">
        <f t="shared" si="91"/>
        <v>&gt;3</v>
      </c>
    </row>
    <row r="279" spans="1:44" x14ac:dyDescent="0.3">
      <c r="A279" t="str">
        <f>A258</f>
        <v>Woodpulp</v>
      </c>
      <c r="B279" t="s">
        <v>140</v>
      </c>
      <c r="C279" t="s">
        <v>193</v>
      </c>
      <c r="D279">
        <v>3161</v>
      </c>
      <c r="E279">
        <v>23220050</v>
      </c>
      <c r="F279" t="s">
        <v>359</v>
      </c>
      <c r="G279" t="s">
        <v>360</v>
      </c>
      <c r="H279">
        <v>125</v>
      </c>
      <c r="I279">
        <v>830</v>
      </c>
      <c r="J279">
        <v>8460812.5</v>
      </c>
      <c r="K279" t="str">
        <f>IFERROR(IF(B279&lt;&gt;"", TEXT(VLOOKUP(B279, 'Expected Date'!A:B, 2, FALSE) + DATE(RIGHT(C279,2),MID(C279,4,2),LEFT(C279,2)), "dd/mm/yy"), ""), "")</f>
        <v>31/08/23</v>
      </c>
      <c r="L279" t="s">
        <v>68</v>
      </c>
      <c r="M279" t="str">
        <f>M73</f>
        <v>MT</v>
      </c>
      <c r="N279" t="s">
        <v>144</v>
      </c>
      <c r="O279" t="s">
        <v>272</v>
      </c>
      <c r="P279">
        <v>23291587</v>
      </c>
      <c r="Q279" t="s">
        <v>359</v>
      </c>
      <c r="R279" t="s">
        <v>360</v>
      </c>
      <c r="S279">
        <v>122.675</v>
      </c>
      <c r="T279">
        <v>830</v>
      </c>
      <c r="U279">
        <v>8379806.5800000001</v>
      </c>
      <c r="V279" t="str">
        <f t="shared" si="75"/>
        <v>Accepted</v>
      </c>
      <c r="W279">
        <f>IFERROR(VLOOKUP(N279, Payment_Terms!A:B, 2, FALSE), "Payment term not found!")</f>
        <v>30</v>
      </c>
      <c r="X279" t="str">
        <f>IFERROR(VLOOKUP(R279, Item_Category!A:B, 2, FALSE), "Uncategorized")</f>
        <v>Wood pulp</v>
      </c>
      <c r="Y279" s="5">
        <f t="shared" si="74"/>
        <v>1.8600000000000023E-2</v>
      </c>
      <c r="Z279">
        <f t="shared" si="80"/>
        <v>4</v>
      </c>
      <c r="AA279">
        <f t="shared" si="81"/>
        <v>25</v>
      </c>
      <c r="AB279">
        <f t="shared" si="82"/>
        <v>1</v>
      </c>
      <c r="AC279" s="10">
        <f t="shared" si="83"/>
        <v>70</v>
      </c>
      <c r="AD279" s="5">
        <f t="shared" si="76"/>
        <v>1</v>
      </c>
      <c r="AE279" s="5">
        <f t="shared" si="77"/>
        <v>1</v>
      </c>
      <c r="AF279" s="5">
        <f t="shared" si="84"/>
        <v>0</v>
      </c>
      <c r="AG279">
        <f>IF(B279&lt;&gt;"", COUNTIFS($B$2:B279, B279), "")</f>
        <v>13</v>
      </c>
      <c r="AH279">
        <f t="shared" si="85"/>
        <v>5</v>
      </c>
      <c r="AI279" t="str">
        <f>VLOOKUP(B279, Currency!A:B, 2, FALSE)</f>
        <v>USD</v>
      </c>
      <c r="AJ279">
        <f t="shared" si="78"/>
        <v>4</v>
      </c>
      <c r="AK279">
        <f t="shared" si="86"/>
        <v>7</v>
      </c>
      <c r="AL279" t="str">
        <f t="shared" si="87"/>
        <v>July</v>
      </c>
      <c r="AM279">
        <f t="shared" si="88"/>
        <v>2023</v>
      </c>
      <c r="AN279" t="str">
        <f t="shared" si="79"/>
        <v>30Sappi Paper Holdings GMBH</v>
      </c>
      <c r="AO279">
        <f>IF(COUNTIF($AN$2:AN279, AN279)=1, 1, 0)</f>
        <v>0</v>
      </c>
      <c r="AP279" t="str">
        <f t="shared" si="89"/>
        <v>&gt;3</v>
      </c>
      <c r="AQ279" t="str">
        <f t="shared" si="90"/>
        <v>&gt;3</v>
      </c>
      <c r="AR279" t="str">
        <f t="shared" si="91"/>
        <v>&lt;=3</v>
      </c>
    </row>
    <row r="280" spans="1:44" x14ac:dyDescent="0.3">
      <c r="A280" t="str">
        <f>A22</f>
        <v>Woodpulp</v>
      </c>
      <c r="B280" t="s">
        <v>96</v>
      </c>
      <c r="C280" t="s">
        <v>97</v>
      </c>
      <c r="D280">
        <v>1236</v>
      </c>
      <c r="E280">
        <v>23220005</v>
      </c>
      <c r="F280" t="s">
        <v>443</v>
      </c>
      <c r="G280" t="s">
        <v>99</v>
      </c>
      <c r="H280">
        <v>52</v>
      </c>
      <c r="I280">
        <v>820</v>
      </c>
      <c r="J280">
        <v>3458104</v>
      </c>
      <c r="K280" t="str">
        <f>IFERROR(IF(B280&lt;&gt;"", TEXT(VLOOKUP(B280, 'Expected Date'!A:B, 2, FALSE) + DATE(RIGHT(C280,2),MID(C280,4,2),LEFT(C280,2)), "dd/mm/yy"), ""), "")</f>
        <v>10/06/23</v>
      </c>
      <c r="L280" t="s">
        <v>38</v>
      </c>
      <c r="M280" t="str">
        <f>M73</f>
        <v>MT</v>
      </c>
      <c r="N280" t="s">
        <v>102</v>
      </c>
      <c r="O280" t="s">
        <v>78</v>
      </c>
      <c r="P280">
        <v>23291206</v>
      </c>
      <c r="Q280" t="s">
        <v>443</v>
      </c>
      <c r="R280" t="s">
        <v>444</v>
      </c>
      <c r="S280">
        <v>52.771999999999998</v>
      </c>
      <c r="T280">
        <v>820</v>
      </c>
      <c r="U280">
        <v>3557043.89</v>
      </c>
      <c r="V280" t="str">
        <f t="shared" si="75"/>
        <v>Accepted</v>
      </c>
      <c r="W280">
        <f>IFERROR(VLOOKUP(N280, Payment_Terms!A:B, 2, FALSE), "Payment term not found!")</f>
        <v>60</v>
      </c>
      <c r="X280" t="str">
        <f>IFERROR(VLOOKUP(R280, Item_Category!A:B, 2, FALSE), "Uncategorized")</f>
        <v>Wood pulp</v>
      </c>
      <c r="Y280" s="5">
        <f t="shared" si="74"/>
        <v>0</v>
      </c>
      <c r="Z280">
        <f t="shared" si="80"/>
        <v>5</v>
      </c>
      <c r="AA280">
        <f t="shared" si="81"/>
        <v>75</v>
      </c>
      <c r="AB280">
        <f t="shared" si="82"/>
        <v>1</v>
      </c>
      <c r="AC280" s="10">
        <f t="shared" si="83"/>
        <v>135</v>
      </c>
      <c r="AD280" s="5">
        <f t="shared" si="76"/>
        <v>1</v>
      </c>
      <c r="AE280" s="5">
        <f t="shared" si="77"/>
        <v>1</v>
      </c>
      <c r="AF280" s="5">
        <f t="shared" si="84"/>
        <v>0</v>
      </c>
      <c r="AG280">
        <f>IF(B280&lt;&gt;"", COUNTIFS($B$2:B280, B280), "")</f>
        <v>7</v>
      </c>
      <c r="AH280">
        <f t="shared" si="85"/>
        <v>5</v>
      </c>
      <c r="AI280" t="str">
        <f>VLOOKUP(B280, Currency!A:B, 2, FALSE)</f>
        <v>USD</v>
      </c>
      <c r="AJ280">
        <f t="shared" si="78"/>
        <v>4</v>
      </c>
      <c r="AK280">
        <f t="shared" si="86"/>
        <v>4</v>
      </c>
      <c r="AL280" t="str">
        <f t="shared" si="87"/>
        <v>April</v>
      </c>
      <c r="AM280">
        <f t="shared" si="88"/>
        <v>2023</v>
      </c>
      <c r="AN280" t="str">
        <f t="shared" si="79"/>
        <v>60G P Cellulose GMBH</v>
      </c>
      <c r="AO280">
        <f>IF(COUNTIF($AN$2:AN280, AN280)=1, 1, 0)</f>
        <v>0</v>
      </c>
      <c r="AP280" t="str">
        <f t="shared" si="89"/>
        <v>&gt;3</v>
      </c>
      <c r="AQ280" t="str">
        <f t="shared" si="90"/>
        <v>&gt;3</v>
      </c>
      <c r="AR280" t="str">
        <f t="shared" si="91"/>
        <v>&lt;=3</v>
      </c>
    </row>
    <row r="281" spans="1:44" x14ac:dyDescent="0.3">
      <c r="A281" t="s">
        <v>33</v>
      </c>
      <c r="B281" t="s">
        <v>386</v>
      </c>
      <c r="C281" t="s">
        <v>206</v>
      </c>
      <c r="D281">
        <v>4383</v>
      </c>
      <c r="E281">
        <v>23210662</v>
      </c>
      <c r="F281" t="s">
        <v>437</v>
      </c>
      <c r="G281" t="s">
        <v>438</v>
      </c>
      <c r="H281">
        <v>11300</v>
      </c>
      <c r="I281">
        <v>9.31</v>
      </c>
      <c r="J281">
        <v>105203</v>
      </c>
      <c r="K281" t="str">
        <f>IFERROR(IF(B281&lt;&gt;"", TEXT(VLOOKUP(B281, 'Expected Date'!A:B, 2, FALSE) + DATE(RIGHT(C281,2),MID(C281,4,2),LEFT(C281,2)), "dd/mm/yy"), ""), "")</f>
        <v>18/09/23</v>
      </c>
      <c r="L281" t="s">
        <v>38</v>
      </c>
      <c r="M281" t="s">
        <v>48</v>
      </c>
      <c r="N281" t="s">
        <v>342</v>
      </c>
      <c r="O281" t="s">
        <v>151</v>
      </c>
      <c r="P281">
        <v>23291419</v>
      </c>
      <c r="Q281" t="s">
        <v>437</v>
      </c>
      <c r="R281" t="s">
        <v>438</v>
      </c>
      <c r="S281">
        <v>11300</v>
      </c>
      <c r="T281">
        <v>9.31</v>
      </c>
      <c r="U281">
        <v>105203</v>
      </c>
      <c r="V281" t="str">
        <f t="shared" si="75"/>
        <v>Accepted</v>
      </c>
      <c r="W281">
        <f>IFERROR(VLOOKUP(N281, Payment_Terms!A:B, 2, FALSE), "Payment term not found!")</f>
        <v>30</v>
      </c>
      <c r="X281" t="str">
        <f>IFERROR(VLOOKUP(R281, Item_Category!A:B, 2, FALSE), "Uncategorized")</f>
        <v>Liner</v>
      </c>
      <c r="Y281" s="5">
        <f t="shared" si="74"/>
        <v>0</v>
      </c>
      <c r="Z281">
        <f t="shared" si="80"/>
        <v>5</v>
      </c>
      <c r="AA281">
        <f t="shared" si="81"/>
        <v>-4</v>
      </c>
      <c r="AB281">
        <f t="shared" si="82"/>
        <v>5</v>
      </c>
      <c r="AC281" s="10">
        <f t="shared" si="83"/>
        <v>1</v>
      </c>
      <c r="AD281" s="5">
        <f t="shared" si="76"/>
        <v>1</v>
      </c>
      <c r="AE281" s="5">
        <f t="shared" si="77"/>
        <v>1</v>
      </c>
      <c r="AF281" s="5">
        <f t="shared" si="84"/>
        <v>0</v>
      </c>
      <c r="AG281">
        <f>IF(B281&lt;&gt;"", COUNTIFS($B$2:B281, B281), "")</f>
        <v>24</v>
      </c>
      <c r="AH281">
        <f t="shared" si="85"/>
        <v>5</v>
      </c>
      <c r="AI281" t="str">
        <f>VLOOKUP(B281, Currency!A:B, 2, FALSE)</f>
        <v>INR</v>
      </c>
      <c r="AJ281">
        <f t="shared" si="78"/>
        <v>5</v>
      </c>
      <c r="AK281">
        <f t="shared" si="86"/>
        <v>9</v>
      </c>
      <c r="AL281" t="str">
        <f t="shared" si="87"/>
        <v>September</v>
      </c>
      <c r="AM281">
        <f t="shared" si="88"/>
        <v>2023</v>
      </c>
      <c r="AN281" t="str">
        <f t="shared" si="79"/>
        <v>30Shree Shyam Enterprises</v>
      </c>
      <c r="AO281">
        <f>IF(COUNTIF($AN$2:AN281, AN281)=1, 1, 0)</f>
        <v>0</v>
      </c>
      <c r="AP281" t="str">
        <f t="shared" si="89"/>
        <v>&gt;3</v>
      </c>
      <c r="AQ281" t="str">
        <f t="shared" si="90"/>
        <v>&gt;3</v>
      </c>
      <c r="AR281" t="str">
        <f t="shared" si="91"/>
        <v>&gt;3</v>
      </c>
    </row>
    <row r="282" spans="1:44" x14ac:dyDescent="0.3">
      <c r="A282" t="s">
        <v>33</v>
      </c>
      <c r="B282" t="s">
        <v>418</v>
      </c>
      <c r="C282" t="s">
        <v>257</v>
      </c>
      <c r="D282">
        <v>2655</v>
      </c>
      <c r="E282">
        <v>23210331</v>
      </c>
      <c r="F282" t="s">
        <v>420</v>
      </c>
      <c r="G282" t="s">
        <v>421</v>
      </c>
      <c r="H282">
        <v>2000</v>
      </c>
      <c r="I282">
        <v>34</v>
      </c>
      <c r="J282">
        <v>68000</v>
      </c>
      <c r="K282" t="str">
        <f>IFERROR(IF(B282&lt;&gt;"", TEXT(VLOOKUP(B282, 'Expected Date'!A:B, 2, FALSE) + DATE(RIGHT(C282,2),MID(C282,4,2),LEFT(C282,2)), "dd/mm/yy"), ""), "")</f>
        <v>02/07/23</v>
      </c>
      <c r="L282" t="s">
        <v>38</v>
      </c>
      <c r="M282" t="s">
        <v>48</v>
      </c>
      <c r="N282" t="s">
        <v>342</v>
      </c>
      <c r="O282" t="s">
        <v>162</v>
      </c>
      <c r="P282">
        <v>23290635</v>
      </c>
      <c r="Q282" t="s">
        <v>420</v>
      </c>
      <c r="R282" t="s">
        <v>421</v>
      </c>
      <c r="S282">
        <v>2000</v>
      </c>
      <c r="T282">
        <v>34</v>
      </c>
      <c r="U282">
        <v>68000</v>
      </c>
      <c r="V282" t="str">
        <f t="shared" si="75"/>
        <v>Accepted</v>
      </c>
      <c r="W282">
        <f>IFERROR(VLOOKUP(N282, Payment_Terms!A:B, 2, FALSE), "Payment term not found!")</f>
        <v>30</v>
      </c>
      <c r="X282" t="str">
        <f>IFERROR(VLOOKUP(R282, Item_Category!A:B, 2, FALSE), "Uncategorized")</f>
        <v>Hydrogen Peroxide</v>
      </c>
      <c r="Y282" s="5">
        <f t="shared" si="74"/>
        <v>0</v>
      </c>
      <c r="Z282">
        <f t="shared" si="80"/>
        <v>5</v>
      </c>
      <c r="AA282">
        <f t="shared" si="81"/>
        <v>-3</v>
      </c>
      <c r="AB282">
        <f t="shared" si="82"/>
        <v>5</v>
      </c>
      <c r="AC282" s="10">
        <f t="shared" si="83"/>
        <v>2</v>
      </c>
      <c r="AD282" s="5">
        <f t="shared" si="76"/>
        <v>1</v>
      </c>
      <c r="AE282" s="5">
        <f t="shared" si="77"/>
        <v>1</v>
      </c>
      <c r="AF282" s="5">
        <f t="shared" si="84"/>
        <v>0</v>
      </c>
      <c r="AG282">
        <f>IF(B282&lt;&gt;"", COUNTIFS($B$2:B282, B282), "")</f>
        <v>2</v>
      </c>
      <c r="AH282">
        <f t="shared" si="85"/>
        <v>5</v>
      </c>
      <c r="AI282" t="str">
        <f>VLOOKUP(B282, Currency!A:B, 2, FALSE)</f>
        <v>INR</v>
      </c>
      <c r="AJ282">
        <f t="shared" si="78"/>
        <v>5</v>
      </c>
      <c r="AK282">
        <f t="shared" si="86"/>
        <v>6</v>
      </c>
      <c r="AL282" t="str">
        <f t="shared" si="87"/>
        <v>June</v>
      </c>
      <c r="AM282">
        <f t="shared" si="88"/>
        <v>2023</v>
      </c>
      <c r="AN282" t="str">
        <f t="shared" si="79"/>
        <v>30RADHA KRISHNA CHEMICALS</v>
      </c>
      <c r="AO282">
        <f>IF(COUNTIF($AN$2:AN282, AN282)=1, 1, 0)</f>
        <v>0</v>
      </c>
      <c r="AP282" t="str">
        <f t="shared" si="89"/>
        <v>&gt;3</v>
      </c>
      <c r="AQ282" t="str">
        <f t="shared" si="90"/>
        <v>&gt;3</v>
      </c>
      <c r="AR282" t="str">
        <f t="shared" si="91"/>
        <v>&gt;3</v>
      </c>
    </row>
    <row r="283" spans="1:44" x14ac:dyDescent="0.3">
      <c r="A283" t="s">
        <v>33</v>
      </c>
      <c r="B283" t="s">
        <v>513</v>
      </c>
      <c r="C283" t="s">
        <v>193</v>
      </c>
      <c r="D283">
        <v>3147</v>
      </c>
      <c r="E283">
        <v>23210423</v>
      </c>
      <c r="F283" t="s">
        <v>514</v>
      </c>
      <c r="G283" t="s">
        <v>515</v>
      </c>
      <c r="H283">
        <v>10000</v>
      </c>
      <c r="I283">
        <v>18</v>
      </c>
      <c r="J283">
        <v>180000</v>
      </c>
      <c r="K283" t="str">
        <f>IFERROR(IF(B283&lt;&gt;"", TEXT(VLOOKUP(B283, 'Expected Date'!A:B, 2, FALSE) + DATE(RIGHT(C283,2),MID(C283,4,2),LEFT(C283,2)), "dd/mm/yy"), ""), "")</f>
        <v>19/07/23</v>
      </c>
      <c r="L283" t="s">
        <v>38</v>
      </c>
      <c r="M283" t="s">
        <v>48</v>
      </c>
      <c r="N283" t="s">
        <v>342</v>
      </c>
      <c r="O283" t="s">
        <v>116</v>
      </c>
      <c r="P283">
        <v>23290833</v>
      </c>
      <c r="Q283" t="s">
        <v>514</v>
      </c>
      <c r="R283" t="s">
        <v>515</v>
      </c>
      <c r="S283">
        <v>11010</v>
      </c>
      <c r="T283">
        <v>18</v>
      </c>
      <c r="U283">
        <v>198180</v>
      </c>
      <c r="V283" t="str">
        <f t="shared" si="75"/>
        <v>Accepted</v>
      </c>
      <c r="W283">
        <f>IFERROR(VLOOKUP(N283, Payment_Terms!A:B, 2, FALSE), "Payment term not found!")</f>
        <v>30</v>
      </c>
      <c r="X283" t="str">
        <f>IFERROR(VLOOKUP(R283, Item_Category!A:B, 2, FALSE), "Uncategorized")</f>
        <v xml:space="preserve">Caustic Soda </v>
      </c>
      <c r="Y283" s="5">
        <f t="shared" si="74"/>
        <v>0</v>
      </c>
      <c r="Z283">
        <f t="shared" si="80"/>
        <v>5</v>
      </c>
      <c r="AA283">
        <f t="shared" si="81"/>
        <v>-1</v>
      </c>
      <c r="AB283">
        <f t="shared" si="82"/>
        <v>5</v>
      </c>
      <c r="AC283" s="10">
        <f t="shared" si="83"/>
        <v>1</v>
      </c>
      <c r="AD283" s="5">
        <f t="shared" si="76"/>
        <v>1</v>
      </c>
      <c r="AE283" s="5">
        <f t="shared" si="77"/>
        <v>1</v>
      </c>
      <c r="AF283" s="5">
        <f t="shared" si="84"/>
        <v>0</v>
      </c>
      <c r="AG283">
        <f>IF(B283&lt;&gt;"", COUNTIFS($B$2:B283, B283), "")</f>
        <v>3</v>
      </c>
      <c r="AH283">
        <f t="shared" si="85"/>
        <v>5</v>
      </c>
      <c r="AI283" t="str">
        <f>VLOOKUP(B283, Currency!A:B, 2, FALSE)</f>
        <v>INR</v>
      </c>
      <c r="AJ283">
        <f t="shared" si="78"/>
        <v>5</v>
      </c>
      <c r="AK283">
        <f t="shared" si="86"/>
        <v>7</v>
      </c>
      <c r="AL283" t="str">
        <f t="shared" si="87"/>
        <v>July</v>
      </c>
      <c r="AM283">
        <f t="shared" si="88"/>
        <v>2023</v>
      </c>
      <c r="AN283" t="str">
        <f t="shared" si="79"/>
        <v>30J.K.Marketing</v>
      </c>
      <c r="AO283">
        <f>IF(COUNTIF($AN$2:AN283, AN283)=1, 1, 0)</f>
        <v>0</v>
      </c>
      <c r="AP283" t="str">
        <f t="shared" si="89"/>
        <v>&gt;3</v>
      </c>
      <c r="AQ283" t="str">
        <f t="shared" si="90"/>
        <v>&gt;3</v>
      </c>
      <c r="AR283" t="str">
        <f t="shared" si="91"/>
        <v>&gt;3</v>
      </c>
    </row>
    <row r="284" spans="1:44" x14ac:dyDescent="0.3">
      <c r="A284" t="s">
        <v>33</v>
      </c>
      <c r="B284" t="s">
        <v>366</v>
      </c>
      <c r="C284" t="s">
        <v>202</v>
      </c>
      <c r="D284">
        <v>3640</v>
      </c>
      <c r="E284">
        <v>23210528</v>
      </c>
      <c r="F284" t="s">
        <v>368</v>
      </c>
      <c r="G284" t="s">
        <v>369</v>
      </c>
      <c r="H284">
        <v>100000</v>
      </c>
      <c r="I284">
        <v>7.55</v>
      </c>
      <c r="J284">
        <v>755000</v>
      </c>
      <c r="K284" t="str">
        <f>IFERROR(IF(B284&lt;&gt;"", TEXT(VLOOKUP(B284, 'Expected Date'!A:B, 2, FALSE) + DATE(RIGHT(C284,2),MID(C284,4,2),LEFT(C284,2)), "dd/mm/yy"), ""), "")</f>
        <v>11/08/23</v>
      </c>
      <c r="L284" t="s">
        <v>68</v>
      </c>
      <c r="M284" t="s">
        <v>48</v>
      </c>
      <c r="N284" t="s">
        <v>370</v>
      </c>
      <c r="O284" t="s">
        <v>121</v>
      </c>
      <c r="P284">
        <v>23291081</v>
      </c>
      <c r="Q284" t="s">
        <v>368</v>
      </c>
      <c r="R284" t="s">
        <v>369</v>
      </c>
      <c r="S284">
        <v>33790</v>
      </c>
      <c r="T284">
        <v>7.55</v>
      </c>
      <c r="U284">
        <v>255114.5</v>
      </c>
      <c r="V284" t="str">
        <f t="shared" si="75"/>
        <v>Accepted</v>
      </c>
      <c r="W284">
        <f>IFERROR(VLOOKUP(N284, Payment_Terms!A:B, 2, FALSE), "Payment term not found!")</f>
        <v>15</v>
      </c>
      <c r="X284" t="str">
        <f>IFERROR(VLOOKUP(R284, Item_Category!A:B, 2, FALSE), "Uncategorized")</f>
        <v>Coal materials</v>
      </c>
      <c r="Y284" s="5">
        <f t="shared" si="74"/>
        <v>0.66210000000000002</v>
      </c>
      <c r="Z284">
        <f t="shared" si="80"/>
        <v>1</v>
      </c>
      <c r="AA284">
        <f t="shared" si="81"/>
        <v>-1</v>
      </c>
      <c r="AB284">
        <f t="shared" si="82"/>
        <v>5</v>
      </c>
      <c r="AC284" s="10">
        <f t="shared" si="83"/>
        <v>1</v>
      </c>
      <c r="AD284" s="5">
        <f t="shared" si="76"/>
        <v>1</v>
      </c>
      <c r="AE284" s="5">
        <f t="shared" si="77"/>
        <v>1</v>
      </c>
      <c r="AF284" s="5">
        <f t="shared" si="84"/>
        <v>0</v>
      </c>
      <c r="AG284">
        <f>IF(B284&lt;&gt;"", COUNTIFS($B$2:B284, B284), "")</f>
        <v>55</v>
      </c>
      <c r="AH284">
        <f t="shared" si="85"/>
        <v>5</v>
      </c>
      <c r="AI284" t="str">
        <f>VLOOKUP(B284, Currency!A:B, 2, FALSE)</f>
        <v>INR</v>
      </c>
      <c r="AJ284">
        <f t="shared" si="78"/>
        <v>4</v>
      </c>
      <c r="AK284">
        <f t="shared" si="86"/>
        <v>8</v>
      </c>
      <c r="AL284" t="str">
        <f t="shared" si="87"/>
        <v>August</v>
      </c>
      <c r="AM284">
        <f t="shared" si="88"/>
        <v>2023</v>
      </c>
      <c r="AN284" t="str">
        <f t="shared" si="79"/>
        <v>15SKYWIN ENTERPRISE</v>
      </c>
      <c r="AO284">
        <f>IF(COUNTIF($AN$2:AN284, AN284)=1, 1, 0)</f>
        <v>0</v>
      </c>
      <c r="AP284" t="str">
        <f t="shared" si="89"/>
        <v>&gt;3</v>
      </c>
      <c r="AQ284" t="str">
        <f t="shared" si="90"/>
        <v>&lt;=3</v>
      </c>
      <c r="AR284" t="str">
        <f t="shared" si="91"/>
        <v>&gt;3</v>
      </c>
    </row>
    <row r="285" spans="1:44" x14ac:dyDescent="0.3">
      <c r="A285" t="s">
        <v>33</v>
      </c>
      <c r="B285" t="s">
        <v>366</v>
      </c>
      <c r="C285" t="s">
        <v>246</v>
      </c>
      <c r="D285">
        <v>4322</v>
      </c>
      <c r="E285">
        <v>23210653</v>
      </c>
      <c r="F285" t="s">
        <v>392</v>
      </c>
      <c r="G285" t="s">
        <v>393</v>
      </c>
      <c r="H285">
        <v>100</v>
      </c>
      <c r="I285">
        <v>11100</v>
      </c>
      <c r="J285">
        <v>1110000</v>
      </c>
      <c r="K285" t="str">
        <f>IFERROR(IF(B285&lt;&gt;"", TEXT(VLOOKUP(B285, 'Expected Date'!A:B, 2, FALSE) + DATE(RIGHT(C285,2),MID(C285,4,2),LEFT(C285,2)), "dd/mm/yy"), ""), "")</f>
        <v>14/09/23</v>
      </c>
      <c r="L285" t="s">
        <v>38</v>
      </c>
      <c r="M285" t="s">
        <v>48</v>
      </c>
      <c r="N285" t="s">
        <v>370</v>
      </c>
      <c r="O285" t="s">
        <v>156</v>
      </c>
      <c r="P285">
        <v>23291465</v>
      </c>
      <c r="Q285" t="s">
        <v>392</v>
      </c>
      <c r="R285" t="s">
        <v>393</v>
      </c>
      <c r="S285">
        <v>30.94</v>
      </c>
      <c r="T285">
        <v>11100</v>
      </c>
      <c r="U285">
        <v>343434</v>
      </c>
      <c r="V285" t="str">
        <f t="shared" si="75"/>
        <v>Accepted</v>
      </c>
      <c r="W285">
        <f>IFERROR(VLOOKUP(N285, Payment_Terms!A:B, 2, FALSE), "Payment term not found!")</f>
        <v>15</v>
      </c>
      <c r="X285" t="str">
        <f>IFERROR(VLOOKUP(R285, Item_Category!A:B, 2, FALSE), "Uncategorized")</f>
        <v>Coal materials</v>
      </c>
      <c r="Y285" s="5">
        <f t="shared" si="74"/>
        <v>0</v>
      </c>
      <c r="Z285">
        <f t="shared" si="80"/>
        <v>5</v>
      </c>
      <c r="AA285">
        <f t="shared" si="81"/>
        <v>4</v>
      </c>
      <c r="AB285">
        <f t="shared" si="82"/>
        <v>4</v>
      </c>
      <c r="AC285" s="10">
        <f t="shared" si="83"/>
        <v>6</v>
      </c>
      <c r="AD285" s="5">
        <f t="shared" si="76"/>
        <v>1</v>
      </c>
      <c r="AE285" s="5">
        <f t="shared" si="77"/>
        <v>1</v>
      </c>
      <c r="AF285" s="5">
        <f t="shared" si="84"/>
        <v>0</v>
      </c>
      <c r="AG285">
        <f>IF(B285&lt;&gt;"", COUNTIFS($B$2:B285, B285), "")</f>
        <v>56</v>
      </c>
      <c r="AH285">
        <f t="shared" si="85"/>
        <v>5</v>
      </c>
      <c r="AI285" t="str">
        <f>VLOOKUP(B285, Currency!A:B, 2, FALSE)</f>
        <v>INR</v>
      </c>
      <c r="AJ285">
        <f t="shared" si="78"/>
        <v>5</v>
      </c>
      <c r="AK285">
        <f t="shared" si="86"/>
        <v>9</v>
      </c>
      <c r="AL285" t="str">
        <f t="shared" si="87"/>
        <v>September</v>
      </c>
      <c r="AM285">
        <f t="shared" si="88"/>
        <v>2023</v>
      </c>
      <c r="AN285" t="str">
        <f t="shared" si="79"/>
        <v>15SKYWIN ENTERPRISE</v>
      </c>
      <c r="AO285">
        <f>IF(COUNTIF($AN$2:AN285, AN285)=1, 1, 0)</f>
        <v>0</v>
      </c>
      <c r="AP285" t="str">
        <f t="shared" si="89"/>
        <v>&gt;3</v>
      </c>
      <c r="AQ285" t="str">
        <f t="shared" si="90"/>
        <v>&gt;3</v>
      </c>
      <c r="AR285" t="str">
        <f t="shared" si="91"/>
        <v>&gt;3</v>
      </c>
    </row>
    <row r="286" spans="1:44" x14ac:dyDescent="0.3">
      <c r="A286" t="s">
        <v>111</v>
      </c>
      <c r="B286" t="s">
        <v>296</v>
      </c>
      <c r="C286" t="s">
        <v>194</v>
      </c>
      <c r="D286">
        <v>4661</v>
      </c>
      <c r="E286">
        <v>23220068</v>
      </c>
      <c r="F286" t="s">
        <v>375</v>
      </c>
      <c r="G286" t="s">
        <v>311</v>
      </c>
      <c r="H286">
        <v>100</v>
      </c>
      <c r="I286">
        <v>413</v>
      </c>
      <c r="J286">
        <v>41300</v>
      </c>
      <c r="K286" t="str">
        <f>IFERROR(IF(B286&lt;&gt;"", TEXT(VLOOKUP(B286, 'Expected Date'!A:B, 2, FALSE) + DATE(RIGHT(C286,2),MID(C286,4,2),LEFT(C286,2)), "dd/mm/yy"), ""), "")</f>
        <v>11/10/23</v>
      </c>
      <c r="L286" t="s">
        <v>38</v>
      </c>
      <c r="M286" t="s">
        <v>48</v>
      </c>
      <c r="N286" t="s">
        <v>538</v>
      </c>
      <c r="O286" t="s">
        <v>539</v>
      </c>
      <c r="P286">
        <v>23291687</v>
      </c>
      <c r="Q286" t="s">
        <v>375</v>
      </c>
      <c r="R286" t="s">
        <v>376</v>
      </c>
      <c r="S286">
        <v>100</v>
      </c>
      <c r="T286">
        <v>413</v>
      </c>
      <c r="U286">
        <v>41300</v>
      </c>
      <c r="V286" t="str">
        <f t="shared" si="75"/>
        <v>Accepted</v>
      </c>
      <c r="W286">
        <f>IFERROR(VLOOKUP(N286, Payment_Terms!A:B, 2, FALSE), "Payment term not found!")</f>
        <v>60</v>
      </c>
      <c r="X286" t="str">
        <f>IFERROR(VLOOKUP(R286, Item_Category!A:B, 2, FALSE), "Uncategorized")</f>
        <v>CROSSCARMELLOSE SODIUM</v>
      </c>
      <c r="Y286" s="5">
        <f t="shared" si="74"/>
        <v>0</v>
      </c>
      <c r="Z286">
        <f t="shared" si="80"/>
        <v>5</v>
      </c>
      <c r="AA286">
        <f t="shared" si="81"/>
        <v>1</v>
      </c>
      <c r="AB286">
        <f t="shared" si="82"/>
        <v>5</v>
      </c>
      <c r="AC286" s="10">
        <f t="shared" si="83"/>
        <v>16</v>
      </c>
      <c r="AD286" s="5">
        <f t="shared" si="76"/>
        <v>1</v>
      </c>
      <c r="AE286" s="5">
        <f t="shared" si="77"/>
        <v>1</v>
      </c>
      <c r="AF286" s="5">
        <f t="shared" si="84"/>
        <v>0</v>
      </c>
      <c r="AG286">
        <f>IF(B286&lt;&gt;"", COUNTIFS($B$2:B286, B286), "")</f>
        <v>8</v>
      </c>
      <c r="AH286">
        <f t="shared" si="85"/>
        <v>5</v>
      </c>
      <c r="AI286" t="str">
        <f>VLOOKUP(B286, Currency!A:B, 2, FALSE)</f>
        <v>INR</v>
      </c>
      <c r="AJ286">
        <f t="shared" si="78"/>
        <v>5</v>
      </c>
      <c r="AK286">
        <f t="shared" si="86"/>
        <v>9</v>
      </c>
      <c r="AL286" t="str">
        <f t="shared" si="87"/>
        <v>September</v>
      </c>
      <c r="AM286">
        <f t="shared" si="88"/>
        <v>2023</v>
      </c>
      <c r="AN286" t="str">
        <f t="shared" si="79"/>
        <v>60Ascot Pharmachem Pvt Ltd</v>
      </c>
      <c r="AO286">
        <f>IF(COUNTIF($AN$2:AN286, AN286)=1, 1, 0)</f>
        <v>0</v>
      </c>
      <c r="AP286" t="str">
        <f t="shared" si="89"/>
        <v>&gt;3</v>
      </c>
      <c r="AQ286" t="str">
        <f t="shared" si="90"/>
        <v>&gt;3</v>
      </c>
      <c r="AR286" t="str">
        <f t="shared" si="91"/>
        <v>&gt;3</v>
      </c>
    </row>
    <row r="287" spans="1:44" x14ac:dyDescent="0.3">
      <c r="A287" t="s">
        <v>33</v>
      </c>
      <c r="B287" t="s">
        <v>366</v>
      </c>
      <c r="C287" t="s">
        <v>540</v>
      </c>
      <c r="D287">
        <v>4056</v>
      </c>
      <c r="E287">
        <v>23210591</v>
      </c>
      <c r="F287" t="s">
        <v>392</v>
      </c>
      <c r="G287" t="s">
        <v>393</v>
      </c>
      <c r="H287">
        <v>100</v>
      </c>
      <c r="I287">
        <v>9850</v>
      </c>
      <c r="J287">
        <v>985000</v>
      </c>
      <c r="K287" t="str">
        <f>IFERROR(IF(B287&lt;&gt;"", TEXT(VLOOKUP(B287, 'Expected Date'!A:B, 2, FALSE) + DATE(RIGHT(C287,2),MID(C287,4,2),LEFT(C287,2)), "dd/mm/yy"), ""), "")</f>
        <v>29/08/23</v>
      </c>
      <c r="L287" t="s">
        <v>38</v>
      </c>
      <c r="M287" t="s">
        <v>48</v>
      </c>
      <c r="N287" t="s">
        <v>370</v>
      </c>
      <c r="O287" t="s">
        <v>163</v>
      </c>
      <c r="P287">
        <v>23291266</v>
      </c>
      <c r="Q287" t="s">
        <v>392</v>
      </c>
      <c r="R287" t="s">
        <v>393</v>
      </c>
      <c r="S287">
        <v>28.84</v>
      </c>
      <c r="T287">
        <v>9850</v>
      </c>
      <c r="U287">
        <v>284074</v>
      </c>
      <c r="V287" t="str">
        <f t="shared" si="75"/>
        <v>Accepted</v>
      </c>
      <c r="W287">
        <f>IFERROR(VLOOKUP(N287, Payment_Terms!A:B, 2, FALSE), "Payment term not found!")</f>
        <v>15</v>
      </c>
      <c r="X287" t="str">
        <f>IFERROR(VLOOKUP(R287, Item_Category!A:B, 2, FALSE), "Uncategorized")</f>
        <v>Coal materials</v>
      </c>
      <c r="Y287" s="5">
        <f t="shared" si="74"/>
        <v>0</v>
      </c>
      <c r="Z287">
        <f t="shared" si="80"/>
        <v>5</v>
      </c>
      <c r="AA287">
        <f t="shared" si="81"/>
        <v>1</v>
      </c>
      <c r="AB287">
        <f t="shared" si="82"/>
        <v>5</v>
      </c>
      <c r="AC287" s="10">
        <f t="shared" si="83"/>
        <v>3</v>
      </c>
      <c r="AD287" s="5">
        <f t="shared" si="76"/>
        <v>1</v>
      </c>
      <c r="AE287" s="5">
        <f t="shared" si="77"/>
        <v>1</v>
      </c>
      <c r="AF287" s="5">
        <f t="shared" si="84"/>
        <v>0</v>
      </c>
      <c r="AG287">
        <f>IF(B287&lt;&gt;"", COUNTIFS($B$2:B287, B287), "")</f>
        <v>57</v>
      </c>
      <c r="AH287">
        <f t="shared" si="85"/>
        <v>5</v>
      </c>
      <c r="AI287" t="str">
        <f>VLOOKUP(B287, Currency!A:B, 2, FALSE)</f>
        <v>INR</v>
      </c>
      <c r="AJ287">
        <f t="shared" si="78"/>
        <v>5</v>
      </c>
      <c r="AK287">
        <f t="shared" si="86"/>
        <v>8</v>
      </c>
      <c r="AL287" t="str">
        <f t="shared" si="87"/>
        <v>August</v>
      </c>
      <c r="AM287">
        <f t="shared" si="88"/>
        <v>2023</v>
      </c>
      <c r="AN287" t="str">
        <f t="shared" si="79"/>
        <v>15SKYWIN ENTERPRISE</v>
      </c>
      <c r="AO287">
        <f>IF(COUNTIF($AN$2:AN287, AN287)=1, 1, 0)</f>
        <v>0</v>
      </c>
      <c r="AP287" t="str">
        <f t="shared" si="89"/>
        <v>&gt;3</v>
      </c>
      <c r="AQ287" t="str">
        <f t="shared" si="90"/>
        <v>&gt;3</v>
      </c>
      <c r="AR287" t="str">
        <f t="shared" si="91"/>
        <v>&gt;3</v>
      </c>
    </row>
    <row r="288" spans="1:44" x14ac:dyDescent="0.3">
      <c r="A288" t="s">
        <v>33</v>
      </c>
      <c r="B288" t="s">
        <v>366</v>
      </c>
      <c r="C288" t="s">
        <v>540</v>
      </c>
      <c r="D288">
        <v>4056</v>
      </c>
      <c r="E288">
        <v>23210591</v>
      </c>
      <c r="F288" t="s">
        <v>392</v>
      </c>
      <c r="G288" t="s">
        <v>393</v>
      </c>
      <c r="H288">
        <v>100</v>
      </c>
      <c r="I288">
        <v>9850</v>
      </c>
      <c r="J288">
        <v>985000</v>
      </c>
      <c r="K288" t="str">
        <f>IFERROR(IF(B288&lt;&gt;"", TEXT(VLOOKUP(B288, 'Expected Date'!A:B, 2, FALSE) + DATE(RIGHT(C288,2),MID(C288,4,2),LEFT(C288,2)), "dd/mm/yy"), ""), "")</f>
        <v>29/08/23</v>
      </c>
      <c r="L288" t="s">
        <v>38</v>
      </c>
      <c r="M288" t="s">
        <v>48</v>
      </c>
      <c r="N288" t="s">
        <v>370</v>
      </c>
      <c r="O288" t="s">
        <v>191</v>
      </c>
      <c r="P288">
        <v>23291269</v>
      </c>
      <c r="Q288" t="s">
        <v>392</v>
      </c>
      <c r="R288" t="s">
        <v>393</v>
      </c>
      <c r="S288">
        <v>28.55</v>
      </c>
      <c r="T288">
        <v>9850</v>
      </c>
      <c r="U288">
        <v>281217.5</v>
      </c>
      <c r="V288" t="str">
        <f t="shared" si="75"/>
        <v>Accepted</v>
      </c>
      <c r="W288">
        <f>IFERROR(VLOOKUP(N288, Payment_Terms!A:B, 2, FALSE), "Payment term not found!")</f>
        <v>15</v>
      </c>
      <c r="X288" t="str">
        <f>IFERROR(VLOOKUP(R288, Item_Category!A:B, 2, FALSE), "Uncategorized")</f>
        <v>Coal materials</v>
      </c>
      <c r="Y288" s="5">
        <f t="shared" si="74"/>
        <v>0</v>
      </c>
      <c r="Z288">
        <f t="shared" si="80"/>
        <v>5</v>
      </c>
      <c r="AA288">
        <f t="shared" si="81"/>
        <v>-1</v>
      </c>
      <c r="AB288">
        <f t="shared" si="82"/>
        <v>5</v>
      </c>
      <c r="AC288" s="10">
        <f t="shared" si="83"/>
        <v>1</v>
      </c>
      <c r="AD288" s="5">
        <f t="shared" si="76"/>
        <v>1</v>
      </c>
      <c r="AE288" s="5">
        <f t="shared" si="77"/>
        <v>1</v>
      </c>
      <c r="AF288" s="5">
        <f t="shared" si="84"/>
        <v>0</v>
      </c>
      <c r="AG288">
        <f>IF(B288&lt;&gt;"", COUNTIFS($B$2:B288, B288), "")</f>
        <v>58</v>
      </c>
      <c r="AH288">
        <f t="shared" si="85"/>
        <v>5</v>
      </c>
      <c r="AI288" t="str">
        <f>VLOOKUP(B288, Currency!A:B, 2, FALSE)</f>
        <v>INR</v>
      </c>
      <c r="AJ288">
        <f t="shared" si="78"/>
        <v>5</v>
      </c>
      <c r="AK288">
        <f t="shared" si="86"/>
        <v>8</v>
      </c>
      <c r="AL288" t="str">
        <f t="shared" si="87"/>
        <v>August</v>
      </c>
      <c r="AM288">
        <f t="shared" si="88"/>
        <v>2023</v>
      </c>
      <c r="AN288" t="str">
        <f t="shared" si="79"/>
        <v>15SKYWIN ENTERPRISE</v>
      </c>
      <c r="AO288">
        <f>IF(COUNTIF($AN$2:AN288, AN288)=1, 1, 0)</f>
        <v>0</v>
      </c>
      <c r="AP288" t="str">
        <f t="shared" si="89"/>
        <v>&gt;3</v>
      </c>
      <c r="AQ288" t="str">
        <f t="shared" si="90"/>
        <v>&gt;3</v>
      </c>
      <c r="AR288" t="str">
        <f t="shared" si="91"/>
        <v>&gt;3</v>
      </c>
    </row>
    <row r="289" spans="1:44" x14ac:dyDescent="0.3">
      <c r="A289" t="s">
        <v>33</v>
      </c>
      <c r="B289" t="str">
        <f>B2</f>
        <v>Ami Enterprises</v>
      </c>
      <c r="C289" t="s">
        <v>270</v>
      </c>
      <c r="D289">
        <v>4418</v>
      </c>
      <c r="E289">
        <v>23210671</v>
      </c>
      <c r="F289" t="s">
        <v>460</v>
      </c>
      <c r="G289" t="s">
        <v>461</v>
      </c>
      <c r="H289">
        <v>15000</v>
      </c>
      <c r="I289">
        <v>33.5</v>
      </c>
      <c r="J289">
        <v>502500</v>
      </c>
      <c r="K289" t="str">
        <f>IFERROR(IF(B289&lt;&gt;"", TEXT(VLOOKUP(B289, 'Expected Date'!A:B, 2, FALSE) + DATE(RIGHT(C289,2),MID(C289,4,2),LEFT(C289,2)), "dd/mm/yy"), ""), "")</f>
        <v>26/09/23</v>
      </c>
      <c r="L289" t="s">
        <v>38</v>
      </c>
      <c r="M289" t="s">
        <v>39</v>
      </c>
      <c r="N289" t="s">
        <v>318</v>
      </c>
      <c r="O289" t="s">
        <v>156</v>
      </c>
      <c r="P289">
        <v>23291466</v>
      </c>
      <c r="Q289" t="s">
        <v>460</v>
      </c>
      <c r="R289" t="s">
        <v>461</v>
      </c>
      <c r="S289">
        <v>15200</v>
      </c>
      <c r="T289">
        <v>33.5</v>
      </c>
      <c r="U289">
        <v>509200</v>
      </c>
      <c r="V289" t="str">
        <f t="shared" si="75"/>
        <v>Accepted</v>
      </c>
      <c r="W289">
        <f>IFERROR(VLOOKUP(N289, Payment_Terms!A:B, 2, FALSE), "Payment term not found!")</f>
        <v>30</v>
      </c>
      <c r="X289" t="str">
        <f>IFERROR(VLOOKUP(R289, Item_Category!A:B, 2, FALSE), "Uncategorized")</f>
        <v>Bags</v>
      </c>
      <c r="Y289" s="5">
        <f t="shared" si="74"/>
        <v>0</v>
      </c>
      <c r="Z289">
        <f t="shared" si="80"/>
        <v>5</v>
      </c>
      <c r="AA289">
        <f t="shared" si="81"/>
        <v>-8</v>
      </c>
      <c r="AB289">
        <f t="shared" si="82"/>
        <v>5</v>
      </c>
      <c r="AC289" s="10">
        <f t="shared" si="83"/>
        <v>2</v>
      </c>
      <c r="AD289" s="5">
        <f t="shared" si="76"/>
        <v>1</v>
      </c>
      <c r="AE289" s="5">
        <f t="shared" si="77"/>
        <v>1</v>
      </c>
      <c r="AF289" s="5">
        <f t="shared" si="84"/>
        <v>0</v>
      </c>
      <c r="AG289">
        <f>IF(B289&lt;&gt;"", COUNTIFS($B$2:B289, B289), "")</f>
        <v>22</v>
      </c>
      <c r="AH289">
        <f t="shared" si="85"/>
        <v>5</v>
      </c>
      <c r="AI289" t="str">
        <f>VLOOKUP(B289, Currency!A:B, 2, FALSE)</f>
        <v>INR</v>
      </c>
      <c r="AJ289">
        <f t="shared" si="78"/>
        <v>5</v>
      </c>
      <c r="AK289">
        <f t="shared" si="86"/>
        <v>9</v>
      </c>
      <c r="AL289" t="str">
        <f t="shared" si="87"/>
        <v>September</v>
      </c>
      <c r="AM289">
        <f t="shared" si="88"/>
        <v>2023</v>
      </c>
      <c r="AN289" t="str">
        <f t="shared" si="79"/>
        <v>30Ami Enterprises</v>
      </c>
      <c r="AO289">
        <f>IF(COUNTIF($AN$2:AN289, AN289)=1, 1, 0)</f>
        <v>0</v>
      </c>
      <c r="AP289" t="str">
        <f t="shared" si="89"/>
        <v>&gt;3</v>
      </c>
      <c r="AQ289" t="str">
        <f t="shared" si="90"/>
        <v>&gt;3</v>
      </c>
      <c r="AR289" t="str">
        <f t="shared" si="91"/>
        <v>&gt;3</v>
      </c>
    </row>
    <row r="290" spans="1:44" x14ac:dyDescent="0.3">
      <c r="A290" t="s">
        <v>111</v>
      </c>
      <c r="B290" t="s">
        <v>296</v>
      </c>
      <c r="C290" t="s">
        <v>41</v>
      </c>
      <c r="D290">
        <v>1620</v>
      </c>
      <c r="E290">
        <v>23220013</v>
      </c>
      <c r="F290" t="s">
        <v>375</v>
      </c>
      <c r="G290" t="s">
        <v>311</v>
      </c>
      <c r="H290">
        <v>6000</v>
      </c>
      <c r="I290">
        <v>413</v>
      </c>
      <c r="J290">
        <v>2478000</v>
      </c>
      <c r="K290" t="str">
        <f>IFERROR(IF(B290&lt;&gt;"", TEXT(VLOOKUP(B290, 'Expected Date'!A:B, 2, FALSE) + DATE(RIGHT(C290,2),MID(C290,4,2),LEFT(C290,2)), "dd/mm/yy"), ""), "")</f>
        <v>14/05/23</v>
      </c>
      <c r="L290" t="s">
        <v>68</v>
      </c>
      <c r="M290" t="s">
        <v>48</v>
      </c>
      <c r="N290" t="s">
        <v>541</v>
      </c>
      <c r="O290" t="s">
        <v>539</v>
      </c>
      <c r="P290">
        <v>23291687</v>
      </c>
      <c r="Q290" t="s">
        <v>375</v>
      </c>
      <c r="R290" t="s">
        <v>376</v>
      </c>
      <c r="S290">
        <v>2000</v>
      </c>
      <c r="T290">
        <v>413</v>
      </c>
      <c r="U290">
        <v>826000</v>
      </c>
      <c r="V290" t="str">
        <f t="shared" si="75"/>
        <v>Accepted</v>
      </c>
      <c r="W290">
        <f>IFERROR(VLOOKUP(N290, Payment_Terms!A:B, 2, FALSE), "Payment term not found!")</f>
        <v>60</v>
      </c>
      <c r="X290" t="str">
        <f>IFERROR(VLOOKUP(R290, Item_Category!A:B, 2, FALSE), "Uncategorized")</f>
        <v>CROSSCARMELLOSE SODIUM</v>
      </c>
      <c r="Y290" s="5">
        <f t="shared" si="74"/>
        <v>0.33333333333333331</v>
      </c>
      <c r="Z290">
        <f t="shared" si="80"/>
        <v>1</v>
      </c>
      <c r="AA290">
        <f t="shared" si="81"/>
        <v>151</v>
      </c>
      <c r="AB290">
        <f t="shared" si="82"/>
        <v>1</v>
      </c>
      <c r="AC290" s="10">
        <f t="shared" si="83"/>
        <v>166</v>
      </c>
      <c r="AD290" s="5">
        <f t="shared" si="76"/>
        <v>1</v>
      </c>
      <c r="AE290" s="5">
        <f t="shared" si="77"/>
        <v>1</v>
      </c>
      <c r="AF290" s="5">
        <f t="shared" si="84"/>
        <v>0</v>
      </c>
      <c r="AG290">
        <f>IF(B290&lt;&gt;"", COUNTIFS($B$2:B290, B290), "")</f>
        <v>9</v>
      </c>
      <c r="AH290">
        <f t="shared" si="85"/>
        <v>5</v>
      </c>
      <c r="AI290" t="str">
        <f>VLOOKUP(B290, Currency!A:B, 2, FALSE)</f>
        <v>INR</v>
      </c>
      <c r="AJ290">
        <f t="shared" si="78"/>
        <v>3</v>
      </c>
      <c r="AK290">
        <f t="shared" si="86"/>
        <v>4</v>
      </c>
      <c r="AL290" t="str">
        <f t="shared" si="87"/>
        <v>April</v>
      </c>
      <c r="AM290">
        <f t="shared" si="88"/>
        <v>2023</v>
      </c>
      <c r="AN290" t="str">
        <f t="shared" si="79"/>
        <v>60Ascot Pharmachem Pvt Ltd</v>
      </c>
      <c r="AO290">
        <f>IF(COUNTIF($AN$2:AN290, AN290)=1, 1, 0)</f>
        <v>0</v>
      </c>
      <c r="AP290" t="str">
        <f t="shared" si="89"/>
        <v>&gt;3</v>
      </c>
      <c r="AQ290" t="str">
        <f t="shared" si="90"/>
        <v>&lt;=3</v>
      </c>
      <c r="AR290" t="str">
        <f t="shared" si="91"/>
        <v>&lt;=3</v>
      </c>
    </row>
    <row r="291" spans="1:44" x14ac:dyDescent="0.3">
      <c r="A291" t="s">
        <v>33</v>
      </c>
      <c r="B291" t="s">
        <v>382</v>
      </c>
      <c r="C291" t="s">
        <v>542</v>
      </c>
      <c r="D291">
        <v>3356</v>
      </c>
      <c r="E291">
        <v>23210455</v>
      </c>
      <c r="F291" t="s">
        <v>383</v>
      </c>
      <c r="G291" t="s">
        <v>384</v>
      </c>
      <c r="H291">
        <v>250</v>
      </c>
      <c r="I291">
        <v>96</v>
      </c>
      <c r="J291">
        <v>24000</v>
      </c>
      <c r="K291" t="str">
        <f>IFERROR(IF(B291&lt;&gt;"", TEXT(VLOOKUP(B291, 'Expected Date'!A:B, 2, FALSE) + DATE(RIGHT(C291,2),MID(C291,4,2),LEFT(C291,2)), "dd/mm/yy"), ""), "")</f>
        <v>06/08/23</v>
      </c>
      <c r="L291" t="s">
        <v>38</v>
      </c>
      <c r="M291" t="s">
        <v>48</v>
      </c>
      <c r="N291" t="s">
        <v>342</v>
      </c>
      <c r="O291" t="s">
        <v>543</v>
      </c>
      <c r="P291">
        <v>23290936</v>
      </c>
      <c r="Q291" t="s">
        <v>383</v>
      </c>
      <c r="R291" t="s">
        <v>384</v>
      </c>
      <c r="S291">
        <v>250</v>
      </c>
      <c r="T291">
        <v>96</v>
      </c>
      <c r="U291">
        <v>24000</v>
      </c>
      <c r="V291" t="str">
        <f t="shared" si="75"/>
        <v>Accepted</v>
      </c>
      <c r="W291">
        <f>IFERROR(VLOOKUP(N291, Payment_Terms!A:B, 2, FALSE), "Payment term not found!")</f>
        <v>30</v>
      </c>
      <c r="X291" t="str">
        <f>IFERROR(VLOOKUP(R291, Item_Category!A:B, 2, FALSE), "Uncategorized")</f>
        <v>Gas</v>
      </c>
      <c r="Y291" s="5">
        <f t="shared" si="74"/>
        <v>0</v>
      </c>
      <c r="Z291">
        <f t="shared" si="80"/>
        <v>5</v>
      </c>
      <c r="AA291">
        <f t="shared" si="81"/>
        <v>-9</v>
      </c>
      <c r="AB291">
        <f t="shared" si="82"/>
        <v>5</v>
      </c>
      <c r="AC291" s="10">
        <f t="shared" si="83"/>
        <v>1</v>
      </c>
      <c r="AD291" s="5">
        <f t="shared" si="76"/>
        <v>1</v>
      </c>
      <c r="AE291" s="5">
        <f t="shared" si="77"/>
        <v>1</v>
      </c>
      <c r="AF291" s="5">
        <f t="shared" si="84"/>
        <v>0</v>
      </c>
      <c r="AG291">
        <f>IF(B291&lt;&gt;"", COUNTIFS($B$2:B291, B291), "")</f>
        <v>18</v>
      </c>
      <c r="AH291">
        <f t="shared" si="85"/>
        <v>5</v>
      </c>
      <c r="AI291" t="str">
        <f>VLOOKUP(B291, Currency!A:B, 2, FALSE)</f>
        <v>INR</v>
      </c>
      <c r="AJ291">
        <f t="shared" si="78"/>
        <v>5</v>
      </c>
      <c r="AK291">
        <f t="shared" si="86"/>
        <v>7</v>
      </c>
      <c r="AL291" t="str">
        <f t="shared" si="87"/>
        <v>July</v>
      </c>
      <c r="AM291">
        <f t="shared" si="88"/>
        <v>2023</v>
      </c>
      <c r="AN291" t="str">
        <f t="shared" si="79"/>
        <v>30Aerochem Laboratories</v>
      </c>
      <c r="AO291">
        <f>IF(COUNTIF($AN$2:AN291, AN291)=1, 1, 0)</f>
        <v>0</v>
      </c>
      <c r="AP291" t="str">
        <f t="shared" si="89"/>
        <v>&gt;3</v>
      </c>
      <c r="AQ291" t="str">
        <f t="shared" si="90"/>
        <v>&gt;3</v>
      </c>
      <c r="AR291" t="str">
        <f t="shared" si="91"/>
        <v>&gt;3</v>
      </c>
    </row>
    <row r="292" spans="1:44" x14ac:dyDescent="0.3">
      <c r="A292" t="str">
        <f>A279</f>
        <v>Woodpulp</v>
      </c>
      <c r="B292" t="s">
        <v>140</v>
      </c>
      <c r="C292" t="s">
        <v>198</v>
      </c>
      <c r="D292">
        <v>3453</v>
      </c>
      <c r="E292">
        <v>23220052</v>
      </c>
      <c r="F292" t="s">
        <v>359</v>
      </c>
      <c r="G292" t="s">
        <v>360</v>
      </c>
      <c r="H292">
        <v>100</v>
      </c>
      <c r="I292">
        <v>830</v>
      </c>
      <c r="J292">
        <v>6739600</v>
      </c>
      <c r="K292" t="str">
        <f>IFERROR(IF(B292&lt;&gt;"", TEXT(VLOOKUP(B292, 'Expected Date'!A:B, 2, FALSE) + DATE(RIGHT(C292,2),MID(C292,4,2),LEFT(C292,2)), "dd/mm/yy"), ""), "")</f>
        <v>14/09/23</v>
      </c>
      <c r="L292" t="s">
        <v>68</v>
      </c>
      <c r="M292" t="str">
        <f>M73</f>
        <v>MT</v>
      </c>
      <c r="N292" t="s">
        <v>245</v>
      </c>
      <c r="O292" t="s">
        <v>94</v>
      </c>
      <c r="P292">
        <v>23291102</v>
      </c>
      <c r="Q292" t="s">
        <v>359</v>
      </c>
      <c r="R292" t="s">
        <v>360</v>
      </c>
      <c r="S292">
        <v>98.307000000000002</v>
      </c>
      <c r="T292">
        <v>830</v>
      </c>
      <c r="U292">
        <v>6682614.9400000004</v>
      </c>
      <c r="V292" t="str">
        <f t="shared" si="75"/>
        <v>Accepted</v>
      </c>
      <c r="W292">
        <f>IFERROR(VLOOKUP(N292, Payment_Terms!A:B, 2, FALSE), "Payment term not found!")</f>
        <v>0</v>
      </c>
      <c r="X292" t="str">
        <f>IFERROR(VLOOKUP(R292, Item_Category!A:B, 2, FALSE), "Uncategorized")</f>
        <v>Wood pulp</v>
      </c>
      <c r="Y292" s="5">
        <f t="shared" si="74"/>
        <v>1.692999999999998E-2</v>
      </c>
      <c r="Z292">
        <f t="shared" si="80"/>
        <v>4</v>
      </c>
      <c r="AA292">
        <f t="shared" si="81"/>
        <v>-38</v>
      </c>
      <c r="AB292">
        <f t="shared" si="82"/>
        <v>5</v>
      </c>
      <c r="AC292" s="10">
        <f t="shared" si="83"/>
        <v>7</v>
      </c>
      <c r="AD292" s="5">
        <f t="shared" si="76"/>
        <v>1</v>
      </c>
      <c r="AE292" s="5">
        <f t="shared" si="77"/>
        <v>1</v>
      </c>
      <c r="AF292" s="5">
        <f t="shared" si="84"/>
        <v>0</v>
      </c>
      <c r="AG292">
        <f>IF(B292&lt;&gt;"", COUNTIFS($B$2:B292, B292), "")</f>
        <v>14</v>
      </c>
      <c r="AH292">
        <f t="shared" si="85"/>
        <v>5</v>
      </c>
      <c r="AI292" t="str">
        <f>VLOOKUP(B292, Currency!A:B, 2, FALSE)</f>
        <v>USD</v>
      </c>
      <c r="AJ292">
        <f t="shared" si="78"/>
        <v>5</v>
      </c>
      <c r="AK292">
        <f t="shared" si="86"/>
        <v>7</v>
      </c>
      <c r="AL292" t="str">
        <f t="shared" si="87"/>
        <v>July</v>
      </c>
      <c r="AM292">
        <f t="shared" si="88"/>
        <v>2023</v>
      </c>
      <c r="AN292" t="str">
        <f t="shared" si="79"/>
        <v>0Sappi Paper Holdings GMBH</v>
      </c>
      <c r="AO292">
        <f>IF(COUNTIF($AN$2:AN292, AN292)=1, 1, 0)</f>
        <v>0</v>
      </c>
      <c r="AP292" t="str">
        <f t="shared" si="89"/>
        <v>&gt;3</v>
      </c>
      <c r="AQ292" t="str">
        <f t="shared" si="90"/>
        <v>&gt;3</v>
      </c>
      <c r="AR292" t="str">
        <f t="shared" si="91"/>
        <v>&gt;3</v>
      </c>
    </row>
    <row r="293" spans="1:44" x14ac:dyDescent="0.3">
      <c r="A293" t="s">
        <v>33</v>
      </c>
      <c r="B293" t="s">
        <v>395</v>
      </c>
      <c r="C293" t="s">
        <v>501</v>
      </c>
      <c r="D293">
        <v>4036</v>
      </c>
      <c r="E293">
        <v>23210586</v>
      </c>
      <c r="F293" t="s">
        <v>392</v>
      </c>
      <c r="G293" t="s">
        <v>393</v>
      </c>
      <c r="H293">
        <v>100</v>
      </c>
      <c r="I293">
        <v>10425</v>
      </c>
      <c r="J293">
        <v>1042500</v>
      </c>
      <c r="K293" t="str">
        <f>IFERROR(IF(B293&lt;&gt;"", TEXT(VLOOKUP(B293, 'Expected Date'!A:B, 2, FALSE) + DATE(RIGHT(C293,2),MID(C293,4,2),LEFT(C293,2)), "dd/mm/yy"), ""), "")</f>
        <v>25/08/23</v>
      </c>
      <c r="L293" t="s">
        <v>68</v>
      </c>
      <c r="M293" t="s">
        <v>48</v>
      </c>
      <c r="N293" t="s">
        <v>370</v>
      </c>
      <c r="O293" t="s">
        <v>164</v>
      </c>
      <c r="P293">
        <v>23291352</v>
      </c>
      <c r="Q293" t="s">
        <v>392</v>
      </c>
      <c r="R293" t="s">
        <v>393</v>
      </c>
      <c r="S293">
        <v>23.36</v>
      </c>
      <c r="T293">
        <v>10425</v>
      </c>
      <c r="U293">
        <v>243528</v>
      </c>
      <c r="V293" t="str">
        <f t="shared" si="75"/>
        <v>Accepted</v>
      </c>
      <c r="W293">
        <f>IFERROR(VLOOKUP(N293, Payment_Terms!A:B, 2, FALSE), "Payment term not found!")</f>
        <v>15</v>
      </c>
      <c r="X293" t="str">
        <f>IFERROR(VLOOKUP(R293, Item_Category!A:B, 2, FALSE), "Uncategorized")</f>
        <v>Coal materials</v>
      </c>
      <c r="Y293" s="5">
        <f t="shared" si="74"/>
        <v>0.22800000000000012</v>
      </c>
      <c r="Z293">
        <f t="shared" si="80"/>
        <v>1</v>
      </c>
      <c r="AA293">
        <f t="shared" si="81"/>
        <v>14</v>
      </c>
      <c r="AB293">
        <f t="shared" si="82"/>
        <v>1</v>
      </c>
      <c r="AC293" s="10">
        <f t="shared" si="83"/>
        <v>19</v>
      </c>
      <c r="AD293" s="5">
        <f t="shared" si="76"/>
        <v>1</v>
      </c>
      <c r="AE293" s="5">
        <f t="shared" si="77"/>
        <v>1</v>
      </c>
      <c r="AF293" s="5">
        <f t="shared" si="84"/>
        <v>0</v>
      </c>
      <c r="AG293">
        <f>IF(B293&lt;&gt;"", COUNTIFS($B$2:B293, B293), "")</f>
        <v>24</v>
      </c>
      <c r="AH293">
        <f t="shared" si="85"/>
        <v>5</v>
      </c>
      <c r="AI293" t="str">
        <f>VLOOKUP(B293, Currency!A:B, 2, FALSE)</f>
        <v>INR</v>
      </c>
      <c r="AJ293">
        <f t="shared" si="78"/>
        <v>3</v>
      </c>
      <c r="AK293">
        <f t="shared" si="86"/>
        <v>8</v>
      </c>
      <c r="AL293" t="str">
        <f t="shared" si="87"/>
        <v>August</v>
      </c>
      <c r="AM293">
        <f t="shared" si="88"/>
        <v>2023</v>
      </c>
      <c r="AN293" t="str">
        <f t="shared" si="79"/>
        <v>15Crystal coal corporation</v>
      </c>
      <c r="AO293">
        <f>IF(COUNTIF($AN$2:AN293, AN293)=1, 1, 0)</f>
        <v>0</v>
      </c>
      <c r="AP293" t="str">
        <f t="shared" si="89"/>
        <v>&gt;3</v>
      </c>
      <c r="AQ293" t="str">
        <f t="shared" si="90"/>
        <v>&lt;=3</v>
      </c>
      <c r="AR293" t="str">
        <f t="shared" si="91"/>
        <v>&lt;=3</v>
      </c>
    </row>
    <row r="294" spans="1:44" x14ac:dyDescent="0.3">
      <c r="A294" t="s">
        <v>33</v>
      </c>
      <c r="B294" t="s">
        <v>395</v>
      </c>
      <c r="C294" t="s">
        <v>501</v>
      </c>
      <c r="D294">
        <v>4036</v>
      </c>
      <c r="E294">
        <v>23210586</v>
      </c>
      <c r="F294" t="s">
        <v>392</v>
      </c>
      <c r="G294" t="s">
        <v>393</v>
      </c>
      <c r="H294">
        <v>100</v>
      </c>
      <c r="I294">
        <v>10425</v>
      </c>
      <c r="J294">
        <v>1042500</v>
      </c>
      <c r="K294" t="str">
        <f>IFERROR(IF(B294&lt;&gt;"", TEXT(VLOOKUP(B294, 'Expected Date'!A:B, 2, FALSE) + DATE(RIGHT(C294,2),MID(C294,4,2),LEFT(C294,2)), "dd/mm/yy"), ""), "")</f>
        <v>25/08/23</v>
      </c>
      <c r="L294" t="s">
        <v>68</v>
      </c>
      <c r="M294" t="s">
        <v>48</v>
      </c>
      <c r="N294" t="s">
        <v>370</v>
      </c>
      <c r="O294" t="s">
        <v>226</v>
      </c>
      <c r="P294">
        <v>23291396</v>
      </c>
      <c r="Q294" t="s">
        <v>392</v>
      </c>
      <c r="R294" t="s">
        <v>393</v>
      </c>
      <c r="S294">
        <v>29.93</v>
      </c>
      <c r="T294">
        <v>10425</v>
      </c>
      <c r="U294">
        <v>312020.25</v>
      </c>
      <c r="V294" t="str">
        <f t="shared" si="75"/>
        <v>Accepted</v>
      </c>
      <c r="W294">
        <f>IFERROR(VLOOKUP(N294, Payment_Terms!A:B, 2, FALSE), "Payment term not found!")</f>
        <v>15</v>
      </c>
      <c r="X294" t="str">
        <f>IFERROR(VLOOKUP(R294, Item_Category!A:B, 2, FALSE), "Uncategorized")</f>
        <v>Coal materials</v>
      </c>
      <c r="Y294" s="5">
        <f t="shared" si="74"/>
        <v>0.22800000000000012</v>
      </c>
      <c r="Z294">
        <f t="shared" si="80"/>
        <v>1</v>
      </c>
      <c r="AA294">
        <f t="shared" si="81"/>
        <v>17</v>
      </c>
      <c r="AB294">
        <f t="shared" si="82"/>
        <v>1</v>
      </c>
      <c r="AC294" s="10">
        <f t="shared" si="83"/>
        <v>22</v>
      </c>
      <c r="AD294" s="5">
        <f t="shared" si="76"/>
        <v>1</v>
      </c>
      <c r="AE294" s="5">
        <f t="shared" si="77"/>
        <v>1</v>
      </c>
      <c r="AF294" s="5">
        <f t="shared" si="84"/>
        <v>0</v>
      </c>
      <c r="AG294">
        <f>IF(B294&lt;&gt;"", COUNTIFS($B$2:B294, B294), "")</f>
        <v>25</v>
      </c>
      <c r="AH294">
        <f t="shared" si="85"/>
        <v>5</v>
      </c>
      <c r="AI294" t="str">
        <f>VLOOKUP(B294, Currency!A:B, 2, FALSE)</f>
        <v>INR</v>
      </c>
      <c r="AJ294">
        <f t="shared" si="78"/>
        <v>3</v>
      </c>
      <c r="AK294">
        <f t="shared" si="86"/>
        <v>8</v>
      </c>
      <c r="AL294" t="str">
        <f t="shared" si="87"/>
        <v>August</v>
      </c>
      <c r="AM294">
        <f t="shared" si="88"/>
        <v>2023</v>
      </c>
      <c r="AN294" t="str">
        <f t="shared" si="79"/>
        <v>15Crystal coal corporation</v>
      </c>
      <c r="AO294">
        <f>IF(COUNTIF($AN$2:AN294, AN294)=1, 1, 0)</f>
        <v>0</v>
      </c>
      <c r="AP294" t="str">
        <f t="shared" si="89"/>
        <v>&gt;3</v>
      </c>
      <c r="AQ294" t="str">
        <f t="shared" si="90"/>
        <v>&lt;=3</v>
      </c>
      <c r="AR294" t="str">
        <f t="shared" si="91"/>
        <v>&lt;=3</v>
      </c>
    </row>
    <row r="295" spans="1:44" x14ac:dyDescent="0.3">
      <c r="A295" t="str">
        <f>A292</f>
        <v>Woodpulp</v>
      </c>
      <c r="B295" t="s">
        <v>140</v>
      </c>
      <c r="C295" t="s">
        <v>193</v>
      </c>
      <c r="D295">
        <v>3160</v>
      </c>
      <c r="E295">
        <v>23220049</v>
      </c>
      <c r="F295" t="s">
        <v>359</v>
      </c>
      <c r="G295" t="s">
        <v>360</v>
      </c>
      <c r="H295">
        <v>125</v>
      </c>
      <c r="I295">
        <v>830</v>
      </c>
      <c r="J295">
        <v>8460812.5</v>
      </c>
      <c r="K295" t="str">
        <f>IFERROR(IF(B295&lt;&gt;"", TEXT(VLOOKUP(B295, 'Expected Date'!A:B, 2, FALSE) + DATE(RIGHT(C295,2),MID(C295,4,2),LEFT(C295,2)), "dd/mm/yy"), ""), "")</f>
        <v>31/08/23</v>
      </c>
      <c r="L295" t="s">
        <v>68</v>
      </c>
      <c r="M295" t="str">
        <f>M73</f>
        <v>MT</v>
      </c>
      <c r="N295" t="s">
        <v>144</v>
      </c>
      <c r="O295" t="s">
        <v>246</v>
      </c>
      <c r="P295">
        <v>23291401</v>
      </c>
      <c r="Q295" t="s">
        <v>359</v>
      </c>
      <c r="R295" t="s">
        <v>360</v>
      </c>
      <c r="S295">
        <v>120.03100000000001</v>
      </c>
      <c r="T295">
        <v>830</v>
      </c>
      <c r="U295">
        <v>8189235.0099999998</v>
      </c>
      <c r="V295" t="str">
        <f t="shared" si="75"/>
        <v>Accepted</v>
      </c>
      <c r="W295">
        <f>IFERROR(VLOOKUP(N295, Payment_Terms!A:B, 2, FALSE), "Payment term not found!")</f>
        <v>30</v>
      </c>
      <c r="X295" t="str">
        <f>IFERROR(VLOOKUP(R295, Item_Category!A:B, 2, FALSE), "Uncategorized")</f>
        <v>Wood pulp</v>
      </c>
      <c r="Y295" s="5">
        <f t="shared" si="74"/>
        <v>3.9751999999999954E-2</v>
      </c>
      <c r="Z295">
        <f t="shared" si="80"/>
        <v>3</v>
      </c>
      <c r="AA295">
        <f t="shared" si="81"/>
        <v>12</v>
      </c>
      <c r="AB295">
        <f t="shared" si="82"/>
        <v>1</v>
      </c>
      <c r="AC295" s="10">
        <f t="shared" si="83"/>
        <v>57</v>
      </c>
      <c r="AD295" s="5">
        <f t="shared" si="76"/>
        <v>1</v>
      </c>
      <c r="AE295" s="5">
        <f t="shared" si="77"/>
        <v>1</v>
      </c>
      <c r="AF295" s="5">
        <f t="shared" si="84"/>
        <v>0</v>
      </c>
      <c r="AG295">
        <f>IF(B295&lt;&gt;"", COUNTIFS($B$2:B295, B295), "")</f>
        <v>15</v>
      </c>
      <c r="AH295">
        <f t="shared" si="85"/>
        <v>5</v>
      </c>
      <c r="AI295" t="str">
        <f>VLOOKUP(B295, Currency!A:B, 2, FALSE)</f>
        <v>USD</v>
      </c>
      <c r="AJ295">
        <f t="shared" si="78"/>
        <v>4</v>
      </c>
      <c r="AK295">
        <f t="shared" si="86"/>
        <v>7</v>
      </c>
      <c r="AL295" t="str">
        <f t="shared" si="87"/>
        <v>July</v>
      </c>
      <c r="AM295">
        <f t="shared" si="88"/>
        <v>2023</v>
      </c>
      <c r="AN295" t="str">
        <f t="shared" si="79"/>
        <v>30Sappi Paper Holdings GMBH</v>
      </c>
      <c r="AO295">
        <f>IF(COUNTIF($AN$2:AN295, AN295)=1, 1, 0)</f>
        <v>0</v>
      </c>
      <c r="AP295" t="str">
        <f t="shared" si="89"/>
        <v>&gt;3</v>
      </c>
      <c r="AQ295" t="str">
        <f t="shared" si="90"/>
        <v>&lt;=3</v>
      </c>
      <c r="AR295" t="str">
        <f t="shared" si="91"/>
        <v>&lt;=3</v>
      </c>
    </row>
    <row r="296" spans="1:44" x14ac:dyDescent="0.3">
      <c r="A296" t="s">
        <v>33</v>
      </c>
      <c r="B296" t="s">
        <v>395</v>
      </c>
      <c r="C296" t="s">
        <v>88</v>
      </c>
      <c r="D296">
        <v>2928</v>
      </c>
      <c r="E296">
        <v>23210383</v>
      </c>
      <c r="F296" t="s">
        <v>392</v>
      </c>
      <c r="G296" t="s">
        <v>393</v>
      </c>
      <c r="H296">
        <v>200</v>
      </c>
      <c r="I296">
        <v>10700</v>
      </c>
      <c r="J296">
        <v>2140000</v>
      </c>
      <c r="K296" t="str">
        <f>IFERROR(IF(B296&lt;&gt;"", TEXT(VLOOKUP(B296, 'Expected Date'!A:B, 2, FALSE) + DATE(RIGHT(C296,2),MID(C296,4,2),LEFT(C296,2)), "dd/mm/yy"), ""), "")</f>
        <v>09/07/23</v>
      </c>
      <c r="L296" t="s">
        <v>68</v>
      </c>
      <c r="M296" t="s">
        <v>48</v>
      </c>
      <c r="N296" t="s">
        <v>370</v>
      </c>
      <c r="O296" t="s">
        <v>391</v>
      </c>
      <c r="P296">
        <v>23290786</v>
      </c>
      <c r="Q296" t="s">
        <v>392</v>
      </c>
      <c r="R296" t="s">
        <v>393</v>
      </c>
      <c r="S296">
        <v>30.5</v>
      </c>
      <c r="T296">
        <v>10700</v>
      </c>
      <c r="U296">
        <v>326350</v>
      </c>
      <c r="V296" t="str">
        <f t="shared" si="75"/>
        <v>Accepted</v>
      </c>
      <c r="W296">
        <f>IFERROR(VLOOKUP(N296, Payment_Terms!A:B, 2, FALSE), "Payment term not found!")</f>
        <v>15</v>
      </c>
      <c r="X296" t="str">
        <f>IFERROR(VLOOKUP(R296, Item_Category!A:B, 2, FALSE), "Uncategorized")</f>
        <v>Coal materials</v>
      </c>
      <c r="Y296" s="5">
        <f t="shared" si="74"/>
        <v>5.1500000000000053E-3</v>
      </c>
      <c r="Z296">
        <f t="shared" si="80"/>
        <v>4</v>
      </c>
      <c r="AA296">
        <f t="shared" si="81"/>
        <v>5</v>
      </c>
      <c r="AB296">
        <f t="shared" si="82"/>
        <v>3</v>
      </c>
      <c r="AC296" s="10">
        <f t="shared" si="83"/>
        <v>10</v>
      </c>
      <c r="AD296" s="5">
        <f t="shared" si="76"/>
        <v>1</v>
      </c>
      <c r="AE296" s="5">
        <f t="shared" si="77"/>
        <v>1</v>
      </c>
      <c r="AF296" s="5">
        <f t="shared" si="84"/>
        <v>0</v>
      </c>
      <c r="AG296">
        <f>IF(B296&lt;&gt;"", COUNTIFS($B$2:B296, B296), "")</f>
        <v>26</v>
      </c>
      <c r="AH296">
        <f t="shared" si="85"/>
        <v>5</v>
      </c>
      <c r="AI296" t="str">
        <f>VLOOKUP(B296, Currency!A:B, 2, FALSE)</f>
        <v>INR</v>
      </c>
      <c r="AJ296">
        <f t="shared" si="78"/>
        <v>5</v>
      </c>
      <c r="AK296">
        <f t="shared" si="86"/>
        <v>7</v>
      </c>
      <c r="AL296" t="str">
        <f t="shared" si="87"/>
        <v>July</v>
      </c>
      <c r="AM296">
        <f t="shared" si="88"/>
        <v>2023</v>
      </c>
      <c r="AN296" t="str">
        <f t="shared" si="79"/>
        <v>15Crystal coal corporation</v>
      </c>
      <c r="AO296">
        <f>IF(COUNTIF($AN$2:AN296, AN296)=1, 1, 0)</f>
        <v>0</v>
      </c>
      <c r="AP296" t="str">
        <f t="shared" si="89"/>
        <v>&gt;3</v>
      </c>
      <c r="AQ296" t="str">
        <f t="shared" si="90"/>
        <v>&gt;3</v>
      </c>
      <c r="AR296" t="str">
        <f t="shared" si="91"/>
        <v>&lt;=3</v>
      </c>
    </row>
    <row r="297" spans="1:44" x14ac:dyDescent="0.3">
      <c r="A297" t="s">
        <v>33</v>
      </c>
      <c r="B297" t="s">
        <v>395</v>
      </c>
      <c r="C297" t="s">
        <v>120</v>
      </c>
      <c r="D297">
        <v>3445</v>
      </c>
      <c r="E297">
        <v>23210471</v>
      </c>
      <c r="F297" t="s">
        <v>392</v>
      </c>
      <c r="G297" t="s">
        <v>393</v>
      </c>
      <c r="H297">
        <v>200</v>
      </c>
      <c r="I297">
        <v>10500</v>
      </c>
      <c r="J297">
        <v>2100000</v>
      </c>
      <c r="K297" t="str">
        <f>IFERROR(IF(B297&lt;&gt;"", TEXT(VLOOKUP(B297, 'Expected Date'!A:B, 2, FALSE) + DATE(RIGHT(C297,2),MID(C297,4,2),LEFT(C297,2)), "dd/mm/yy"), ""), "")</f>
        <v>25/07/23</v>
      </c>
      <c r="L297" t="s">
        <v>68</v>
      </c>
      <c r="M297" t="s">
        <v>48</v>
      </c>
      <c r="N297" t="s">
        <v>370</v>
      </c>
      <c r="O297" t="s">
        <v>74</v>
      </c>
      <c r="P297">
        <v>23291093</v>
      </c>
      <c r="Q297" t="s">
        <v>392</v>
      </c>
      <c r="R297" t="s">
        <v>393</v>
      </c>
      <c r="S297">
        <v>29.27</v>
      </c>
      <c r="T297">
        <v>10500</v>
      </c>
      <c r="U297">
        <v>307335</v>
      </c>
      <c r="V297" t="str">
        <f t="shared" si="75"/>
        <v>Accepted</v>
      </c>
      <c r="W297">
        <f>IFERROR(VLOOKUP(N297, Payment_Terms!A:B, 2, FALSE), "Payment term not found!")</f>
        <v>15</v>
      </c>
      <c r="X297" t="str">
        <f>IFERROR(VLOOKUP(R297, Item_Category!A:B, 2, FALSE), "Uncategorized")</f>
        <v>Coal materials</v>
      </c>
      <c r="Y297" s="5">
        <f t="shared" si="74"/>
        <v>4.2950000000000016E-2</v>
      </c>
      <c r="Z297">
        <f t="shared" si="80"/>
        <v>3</v>
      </c>
      <c r="AA297">
        <f t="shared" si="81"/>
        <v>17</v>
      </c>
      <c r="AB297">
        <f t="shared" si="82"/>
        <v>1</v>
      </c>
      <c r="AC297" s="10">
        <f t="shared" si="83"/>
        <v>22</v>
      </c>
      <c r="AD297" s="5">
        <f t="shared" si="76"/>
        <v>1</v>
      </c>
      <c r="AE297" s="5">
        <f t="shared" si="77"/>
        <v>1</v>
      </c>
      <c r="AF297" s="5">
        <f t="shared" si="84"/>
        <v>0</v>
      </c>
      <c r="AG297">
        <f>IF(B297&lt;&gt;"", COUNTIFS($B$2:B297, B297), "")</f>
        <v>27</v>
      </c>
      <c r="AH297">
        <f t="shared" si="85"/>
        <v>5</v>
      </c>
      <c r="AI297" t="str">
        <f>VLOOKUP(B297, Currency!A:B, 2, FALSE)</f>
        <v>INR</v>
      </c>
      <c r="AJ297">
        <f t="shared" si="78"/>
        <v>4</v>
      </c>
      <c r="AK297">
        <f t="shared" si="86"/>
        <v>7</v>
      </c>
      <c r="AL297" t="str">
        <f t="shared" si="87"/>
        <v>July</v>
      </c>
      <c r="AM297">
        <f t="shared" si="88"/>
        <v>2023</v>
      </c>
      <c r="AN297" t="str">
        <f t="shared" si="79"/>
        <v>15Crystal coal corporation</v>
      </c>
      <c r="AO297">
        <f>IF(COUNTIF($AN$2:AN297, AN297)=1, 1, 0)</f>
        <v>0</v>
      </c>
      <c r="AP297" t="str">
        <f t="shared" si="89"/>
        <v>&gt;3</v>
      </c>
      <c r="AQ297" t="str">
        <f t="shared" si="90"/>
        <v>&lt;=3</v>
      </c>
      <c r="AR297" t="str">
        <f t="shared" si="91"/>
        <v>&lt;=3</v>
      </c>
    </row>
    <row r="298" spans="1:44" x14ac:dyDescent="0.3">
      <c r="A298" t="str">
        <f>A22</f>
        <v>Woodpulp</v>
      </c>
      <c r="B298" t="s">
        <v>96</v>
      </c>
      <c r="C298" t="s">
        <v>97</v>
      </c>
      <c r="D298">
        <v>1244</v>
      </c>
      <c r="E298">
        <v>23220008</v>
      </c>
      <c r="F298" t="s">
        <v>389</v>
      </c>
      <c r="G298" t="s">
        <v>390</v>
      </c>
      <c r="H298">
        <v>75</v>
      </c>
      <c r="I298">
        <v>1025</v>
      </c>
      <c r="J298">
        <v>6234562.5</v>
      </c>
      <c r="K298" t="str">
        <f>IFERROR(IF(B298&lt;&gt;"", TEXT(VLOOKUP(B298, 'Expected Date'!A:B, 2, FALSE) + DATE(RIGHT(C298,2),MID(C298,4,2),LEFT(C298,2)), "dd/mm/yy"), ""), "")</f>
        <v>10/06/23</v>
      </c>
      <c r="L298" t="s">
        <v>68</v>
      </c>
      <c r="M298" t="str">
        <f>M73</f>
        <v>MT</v>
      </c>
      <c r="N298" t="s">
        <v>102</v>
      </c>
      <c r="O298" t="s">
        <v>496</v>
      </c>
      <c r="P298">
        <v>23291304</v>
      </c>
      <c r="Q298" t="s">
        <v>389</v>
      </c>
      <c r="R298" t="s">
        <v>390</v>
      </c>
      <c r="S298">
        <v>72.891000000000005</v>
      </c>
      <c r="T298">
        <v>1025</v>
      </c>
      <c r="U298">
        <v>6141431.6200000001</v>
      </c>
      <c r="V298" t="str">
        <f t="shared" si="75"/>
        <v>Accepted</v>
      </c>
      <c r="W298">
        <f>IFERROR(VLOOKUP(N298, Payment_Terms!A:B, 2, FALSE), "Payment term not found!")</f>
        <v>60</v>
      </c>
      <c r="X298" t="str">
        <f>IFERROR(VLOOKUP(R298, Item_Category!A:B, 2, FALSE), "Uncategorized")</f>
        <v>Wood pulp</v>
      </c>
      <c r="Y298" s="5">
        <f t="shared" si="74"/>
        <v>2.811999999999993E-2</v>
      </c>
      <c r="Z298">
        <f t="shared" si="80"/>
        <v>3</v>
      </c>
      <c r="AA298">
        <f t="shared" si="81"/>
        <v>84</v>
      </c>
      <c r="AB298">
        <f t="shared" si="82"/>
        <v>1</v>
      </c>
      <c r="AC298" s="10">
        <f t="shared" si="83"/>
        <v>144</v>
      </c>
      <c r="AD298" s="5">
        <f t="shared" si="76"/>
        <v>1</v>
      </c>
      <c r="AE298" s="5">
        <f t="shared" si="77"/>
        <v>1</v>
      </c>
      <c r="AF298" s="5">
        <f t="shared" si="84"/>
        <v>0</v>
      </c>
      <c r="AG298">
        <f>IF(B298&lt;&gt;"", COUNTIFS($B$2:B298, B298), "")</f>
        <v>8</v>
      </c>
      <c r="AH298">
        <f t="shared" si="85"/>
        <v>5</v>
      </c>
      <c r="AI298" t="str">
        <f>VLOOKUP(B298, Currency!A:B, 2, FALSE)</f>
        <v>USD</v>
      </c>
      <c r="AJ298">
        <f t="shared" si="78"/>
        <v>4</v>
      </c>
      <c r="AK298">
        <f t="shared" si="86"/>
        <v>4</v>
      </c>
      <c r="AL298" t="str">
        <f t="shared" si="87"/>
        <v>April</v>
      </c>
      <c r="AM298">
        <f t="shared" si="88"/>
        <v>2023</v>
      </c>
      <c r="AN298" t="str">
        <f t="shared" si="79"/>
        <v>60G P Cellulose GMBH</v>
      </c>
      <c r="AO298">
        <f>IF(COUNTIF($AN$2:AN298, AN298)=1, 1, 0)</f>
        <v>0</v>
      </c>
      <c r="AP298" t="str">
        <f t="shared" si="89"/>
        <v>&gt;3</v>
      </c>
      <c r="AQ298" t="str">
        <f t="shared" si="90"/>
        <v>&lt;=3</v>
      </c>
      <c r="AR298" t="str">
        <f t="shared" si="91"/>
        <v>&lt;=3</v>
      </c>
    </row>
    <row r="299" spans="1:44" x14ac:dyDescent="0.3">
      <c r="A299" t="s">
        <v>33</v>
      </c>
      <c r="B299" t="s">
        <v>366</v>
      </c>
      <c r="C299" t="s">
        <v>246</v>
      </c>
      <c r="D299">
        <v>4322</v>
      </c>
      <c r="E299">
        <v>23210653</v>
      </c>
      <c r="F299" t="s">
        <v>392</v>
      </c>
      <c r="G299" t="s">
        <v>393</v>
      </c>
      <c r="H299">
        <v>100</v>
      </c>
      <c r="I299">
        <v>11100</v>
      </c>
      <c r="J299">
        <v>1110000</v>
      </c>
      <c r="K299" t="str">
        <f>IFERROR(IF(B299&lt;&gt;"", TEXT(VLOOKUP(B299, 'Expected Date'!A:B, 2, FALSE) + DATE(RIGHT(C299,2),MID(C299,4,2),LEFT(C299,2)), "dd/mm/yy"), ""), "")</f>
        <v>14/09/23</v>
      </c>
      <c r="L299" t="s">
        <v>38</v>
      </c>
      <c r="M299" t="s">
        <v>48</v>
      </c>
      <c r="N299" t="s">
        <v>370</v>
      </c>
      <c r="O299" t="s">
        <v>154</v>
      </c>
      <c r="P299">
        <v>23291492</v>
      </c>
      <c r="Q299" t="s">
        <v>392</v>
      </c>
      <c r="R299" t="s">
        <v>393</v>
      </c>
      <c r="S299">
        <v>29.19</v>
      </c>
      <c r="T299">
        <v>11100</v>
      </c>
      <c r="U299">
        <v>324009</v>
      </c>
      <c r="V299" t="str">
        <f t="shared" si="75"/>
        <v>Accepted</v>
      </c>
      <c r="W299">
        <f>IFERROR(VLOOKUP(N299, Payment_Terms!A:B, 2, FALSE), "Payment term not found!")</f>
        <v>15</v>
      </c>
      <c r="X299" t="str">
        <f>IFERROR(VLOOKUP(R299, Item_Category!A:B, 2, FALSE), "Uncategorized")</f>
        <v>Coal materials</v>
      </c>
      <c r="Y299" s="5">
        <f t="shared" ref="Y299:Y335" si="92">IFERROR(IF(AND(E299&lt;&gt;"", G299&lt;&gt;""), MAX(0, (H299-SUMIFS(S:S, E:E, E299, G:G, G299))/H299), ""), (H299-S299)/H299)</f>
        <v>0</v>
      </c>
      <c r="Z299">
        <f t="shared" si="80"/>
        <v>5</v>
      </c>
      <c r="AA299">
        <f t="shared" si="81"/>
        <v>6</v>
      </c>
      <c r="AB299">
        <f t="shared" si="82"/>
        <v>3</v>
      </c>
      <c r="AC299" s="10">
        <f t="shared" si="83"/>
        <v>8</v>
      </c>
      <c r="AD299" s="5">
        <f t="shared" si="76"/>
        <v>1</v>
      </c>
      <c r="AE299" s="5">
        <f t="shared" si="77"/>
        <v>1</v>
      </c>
      <c r="AF299" s="5">
        <f t="shared" si="84"/>
        <v>0</v>
      </c>
      <c r="AG299">
        <f>IF(B299&lt;&gt;"", COUNTIFS($B$2:B299, B299), "")</f>
        <v>59</v>
      </c>
      <c r="AH299">
        <f t="shared" si="85"/>
        <v>5</v>
      </c>
      <c r="AI299" t="str">
        <f>VLOOKUP(B299, Currency!A:B, 2, FALSE)</f>
        <v>INR</v>
      </c>
      <c r="AJ299">
        <f t="shared" si="78"/>
        <v>5</v>
      </c>
      <c r="AK299">
        <f t="shared" si="86"/>
        <v>9</v>
      </c>
      <c r="AL299" t="str">
        <f t="shared" si="87"/>
        <v>September</v>
      </c>
      <c r="AM299">
        <f t="shared" si="88"/>
        <v>2023</v>
      </c>
      <c r="AN299" t="str">
        <f t="shared" si="79"/>
        <v>15SKYWIN ENTERPRISE</v>
      </c>
      <c r="AO299">
        <f>IF(COUNTIF($AN$2:AN299, AN299)=1, 1, 0)</f>
        <v>0</v>
      </c>
      <c r="AP299" t="str">
        <f t="shared" si="89"/>
        <v>&gt;3</v>
      </c>
      <c r="AQ299" t="str">
        <f t="shared" si="90"/>
        <v>&gt;3</v>
      </c>
      <c r="AR299" t="str">
        <f t="shared" si="91"/>
        <v>&lt;=3</v>
      </c>
    </row>
    <row r="300" spans="1:44" x14ac:dyDescent="0.3">
      <c r="A300" t="s">
        <v>111</v>
      </c>
      <c r="B300" t="s">
        <v>296</v>
      </c>
      <c r="C300" t="s">
        <v>41</v>
      </c>
      <c r="D300">
        <v>1620</v>
      </c>
      <c r="E300">
        <v>23220013</v>
      </c>
      <c r="F300" t="s">
        <v>375</v>
      </c>
      <c r="G300" t="s">
        <v>311</v>
      </c>
      <c r="H300">
        <v>6000</v>
      </c>
      <c r="I300">
        <v>413</v>
      </c>
      <c r="J300">
        <v>2478000</v>
      </c>
      <c r="K300" t="str">
        <f>IFERROR(IF(B300&lt;&gt;"", TEXT(VLOOKUP(B300, 'Expected Date'!A:B, 2, FALSE) + DATE(RIGHT(C300,2),MID(C300,4,2),LEFT(C300,2)), "dd/mm/yy"), ""), "")</f>
        <v>14/05/23</v>
      </c>
      <c r="L300" t="s">
        <v>68</v>
      </c>
      <c r="M300" t="s">
        <v>48</v>
      </c>
      <c r="N300" t="s">
        <v>541</v>
      </c>
      <c r="O300" t="s">
        <v>254</v>
      </c>
      <c r="P300">
        <v>23291744</v>
      </c>
      <c r="Q300" t="s">
        <v>375</v>
      </c>
      <c r="R300" t="s">
        <v>376</v>
      </c>
      <c r="S300">
        <v>2000</v>
      </c>
      <c r="T300">
        <v>413</v>
      </c>
      <c r="U300">
        <v>826000</v>
      </c>
      <c r="V300" t="str">
        <f t="shared" si="75"/>
        <v>Accepted</v>
      </c>
      <c r="W300">
        <f>IFERROR(VLOOKUP(N300, Payment_Terms!A:B, 2, FALSE), "Payment term not found!")</f>
        <v>60</v>
      </c>
      <c r="X300" t="str">
        <f>IFERROR(VLOOKUP(R300, Item_Category!A:B, 2, FALSE), "Uncategorized")</f>
        <v>CROSSCARMELLOSE SODIUM</v>
      </c>
      <c r="Y300" s="5">
        <f t="shared" si="92"/>
        <v>0.33333333333333331</v>
      </c>
      <c r="Z300">
        <f t="shared" si="80"/>
        <v>1</v>
      </c>
      <c r="AA300">
        <f t="shared" si="81"/>
        <v>153</v>
      </c>
      <c r="AB300">
        <f t="shared" si="82"/>
        <v>1</v>
      </c>
      <c r="AC300" s="10">
        <f t="shared" si="83"/>
        <v>168</v>
      </c>
      <c r="AD300" s="5">
        <f t="shared" si="76"/>
        <v>1</v>
      </c>
      <c r="AE300" s="5">
        <f t="shared" si="77"/>
        <v>1</v>
      </c>
      <c r="AF300" s="5">
        <f t="shared" si="84"/>
        <v>0</v>
      </c>
      <c r="AG300">
        <f>IF(B300&lt;&gt;"", COUNTIFS($B$2:B300, B300), "")</f>
        <v>10</v>
      </c>
      <c r="AH300">
        <f t="shared" si="85"/>
        <v>5</v>
      </c>
      <c r="AI300" t="str">
        <f>VLOOKUP(B300, Currency!A:B, 2, FALSE)</f>
        <v>INR</v>
      </c>
      <c r="AJ300">
        <f t="shared" si="78"/>
        <v>3</v>
      </c>
      <c r="AK300">
        <f t="shared" si="86"/>
        <v>4</v>
      </c>
      <c r="AL300" t="str">
        <f t="shared" si="87"/>
        <v>April</v>
      </c>
      <c r="AM300">
        <f t="shared" si="88"/>
        <v>2023</v>
      </c>
      <c r="AN300" t="str">
        <f t="shared" si="79"/>
        <v>60Ascot Pharmachem Pvt Ltd</v>
      </c>
      <c r="AO300">
        <f>IF(COUNTIF($AN$2:AN300, AN300)=1, 1, 0)</f>
        <v>0</v>
      </c>
      <c r="AP300" t="str">
        <f t="shared" si="89"/>
        <v>&gt;3</v>
      </c>
      <c r="AQ300" t="str">
        <f t="shared" si="90"/>
        <v>&lt;=3</v>
      </c>
      <c r="AR300" t="str">
        <f t="shared" si="91"/>
        <v>&lt;=3</v>
      </c>
    </row>
    <row r="301" spans="1:44" x14ac:dyDescent="0.3">
      <c r="A301" t="s">
        <v>33</v>
      </c>
      <c r="B301" t="s">
        <v>366</v>
      </c>
      <c r="C301" t="s">
        <v>540</v>
      </c>
      <c r="D301">
        <v>4056</v>
      </c>
      <c r="E301">
        <v>23210591</v>
      </c>
      <c r="F301" t="s">
        <v>392</v>
      </c>
      <c r="G301" t="s">
        <v>393</v>
      </c>
      <c r="H301">
        <v>100</v>
      </c>
      <c r="I301">
        <v>9850</v>
      </c>
      <c r="J301">
        <v>985000</v>
      </c>
      <c r="K301" t="str">
        <f>IFERROR(IF(B301&lt;&gt;"", TEXT(VLOOKUP(B301, 'Expected Date'!A:B, 2, FALSE) + DATE(RIGHT(C301,2),MID(C301,4,2),LEFT(C301,2)), "dd/mm/yy"), ""), "")</f>
        <v>29/08/23</v>
      </c>
      <c r="L301" t="s">
        <v>38</v>
      </c>
      <c r="M301" t="s">
        <v>48</v>
      </c>
      <c r="N301" t="s">
        <v>370</v>
      </c>
      <c r="O301" t="s">
        <v>286</v>
      </c>
      <c r="P301">
        <v>23291280</v>
      </c>
      <c r="Q301" t="s">
        <v>392</v>
      </c>
      <c r="R301" t="s">
        <v>393</v>
      </c>
      <c r="S301">
        <v>29.19</v>
      </c>
      <c r="T301">
        <v>9850</v>
      </c>
      <c r="U301">
        <v>287521.5</v>
      </c>
      <c r="V301" t="str">
        <f t="shared" si="75"/>
        <v>Accepted</v>
      </c>
      <c r="W301">
        <f>IFERROR(VLOOKUP(N301, Payment_Terms!A:B, 2, FALSE), "Payment term not found!")</f>
        <v>15</v>
      </c>
      <c r="X301" t="str">
        <f>IFERROR(VLOOKUP(R301, Item_Category!A:B, 2, FALSE), "Uncategorized")</f>
        <v>Coal materials</v>
      </c>
      <c r="Y301" s="5">
        <f t="shared" si="92"/>
        <v>0</v>
      </c>
      <c r="Z301">
        <f t="shared" si="80"/>
        <v>5</v>
      </c>
      <c r="AA301">
        <f t="shared" si="81"/>
        <v>2</v>
      </c>
      <c r="AB301">
        <f t="shared" si="82"/>
        <v>5</v>
      </c>
      <c r="AC301" s="10">
        <f t="shared" si="83"/>
        <v>4</v>
      </c>
      <c r="AD301" s="5">
        <f t="shared" si="76"/>
        <v>1</v>
      </c>
      <c r="AE301" s="5">
        <f t="shared" si="77"/>
        <v>1</v>
      </c>
      <c r="AF301" s="5">
        <f t="shared" si="84"/>
        <v>0</v>
      </c>
      <c r="AG301">
        <f>IF(B301&lt;&gt;"", COUNTIFS($B$2:B301, B301), "")</f>
        <v>60</v>
      </c>
      <c r="AH301">
        <f t="shared" si="85"/>
        <v>5</v>
      </c>
      <c r="AI301" t="str">
        <f>VLOOKUP(B301, Currency!A:B, 2, FALSE)</f>
        <v>INR</v>
      </c>
      <c r="AJ301">
        <f t="shared" si="78"/>
        <v>5</v>
      </c>
      <c r="AK301">
        <f t="shared" si="86"/>
        <v>8</v>
      </c>
      <c r="AL301" t="str">
        <f t="shared" si="87"/>
        <v>August</v>
      </c>
      <c r="AM301">
        <f t="shared" si="88"/>
        <v>2023</v>
      </c>
      <c r="AN301" t="str">
        <f t="shared" si="79"/>
        <v>15SKYWIN ENTERPRISE</v>
      </c>
      <c r="AO301">
        <f>IF(COUNTIF($AN$2:AN301, AN301)=1, 1, 0)</f>
        <v>0</v>
      </c>
      <c r="AP301" t="str">
        <f t="shared" si="89"/>
        <v>&gt;3</v>
      </c>
      <c r="AQ301" t="str">
        <f t="shared" si="90"/>
        <v>&gt;3</v>
      </c>
      <c r="AR301" t="str">
        <f t="shared" si="91"/>
        <v>&gt;3</v>
      </c>
    </row>
    <row r="302" spans="1:44" x14ac:dyDescent="0.3">
      <c r="A302" t="str">
        <f>A22</f>
        <v>Woodpulp</v>
      </c>
      <c r="B302" t="s">
        <v>96</v>
      </c>
      <c r="C302" t="s">
        <v>71</v>
      </c>
      <c r="D302">
        <v>2701</v>
      </c>
      <c r="E302">
        <v>23220028</v>
      </c>
      <c r="F302" t="s">
        <v>443</v>
      </c>
      <c r="G302" t="s">
        <v>99</v>
      </c>
      <c r="H302">
        <v>52</v>
      </c>
      <c r="I302">
        <v>670</v>
      </c>
      <c r="J302">
        <v>2846428</v>
      </c>
      <c r="K302" t="str">
        <f>IFERROR(IF(B302&lt;&gt;"", TEXT(VLOOKUP(B302, 'Expected Date'!A:B, 2, FALSE) + DATE(RIGHT(C302,2),MID(C302,4,2),LEFT(C302,2)), "dd/mm/yy"), ""), "")</f>
        <v>21/08/23</v>
      </c>
      <c r="L302" t="s">
        <v>68</v>
      </c>
      <c r="M302" t="str">
        <f>M73</f>
        <v>MT</v>
      </c>
      <c r="N302" t="s">
        <v>102</v>
      </c>
      <c r="O302" t="s">
        <v>544</v>
      </c>
      <c r="P302">
        <v>23291832</v>
      </c>
      <c r="Q302" t="s">
        <v>443</v>
      </c>
      <c r="R302" t="s">
        <v>444</v>
      </c>
      <c r="S302">
        <v>51.406999999999996</v>
      </c>
      <c r="T302">
        <v>670</v>
      </c>
      <c r="U302">
        <v>2838077.66</v>
      </c>
      <c r="V302" t="str">
        <f t="shared" si="75"/>
        <v>Accepted</v>
      </c>
      <c r="W302">
        <f>IFERROR(VLOOKUP(N302, Payment_Terms!A:B, 2, FALSE), "Payment term not found!")</f>
        <v>60</v>
      </c>
      <c r="X302" t="str">
        <f>IFERROR(VLOOKUP(R302, Item_Category!A:B, 2, FALSE), "Uncategorized")</f>
        <v>Wood pulp</v>
      </c>
      <c r="Y302" s="5">
        <f t="shared" si="92"/>
        <v>1.1403846153846221E-2</v>
      </c>
      <c r="Z302">
        <f t="shared" si="80"/>
        <v>4</v>
      </c>
      <c r="AA302">
        <f t="shared" si="81"/>
        <v>60</v>
      </c>
      <c r="AB302">
        <f t="shared" si="82"/>
        <v>1</v>
      </c>
      <c r="AC302" s="10">
        <f t="shared" si="83"/>
        <v>120</v>
      </c>
      <c r="AD302" s="5">
        <f t="shared" si="76"/>
        <v>1</v>
      </c>
      <c r="AE302" s="5">
        <f t="shared" si="77"/>
        <v>1</v>
      </c>
      <c r="AF302" s="5">
        <f t="shared" si="84"/>
        <v>0</v>
      </c>
      <c r="AG302">
        <f>IF(B302&lt;&gt;"", COUNTIFS($B$2:B302, B302), "")</f>
        <v>9</v>
      </c>
      <c r="AH302">
        <f t="shared" si="85"/>
        <v>5</v>
      </c>
      <c r="AI302" t="str">
        <f>VLOOKUP(B302, Currency!A:B, 2, FALSE)</f>
        <v>USD</v>
      </c>
      <c r="AJ302">
        <f t="shared" si="78"/>
        <v>4</v>
      </c>
      <c r="AK302">
        <f t="shared" si="86"/>
        <v>6</v>
      </c>
      <c r="AL302" t="str">
        <f t="shared" si="87"/>
        <v>June</v>
      </c>
      <c r="AM302">
        <f t="shared" si="88"/>
        <v>2023</v>
      </c>
      <c r="AN302" t="str">
        <f t="shared" si="79"/>
        <v>60G P Cellulose GMBH</v>
      </c>
      <c r="AO302">
        <f>IF(COUNTIF($AN$2:AN302, AN302)=1, 1, 0)</f>
        <v>0</v>
      </c>
      <c r="AP302" t="str">
        <f t="shared" si="89"/>
        <v>&gt;3</v>
      </c>
      <c r="AQ302" t="str">
        <f t="shared" si="90"/>
        <v>&gt;3</v>
      </c>
      <c r="AR302" t="str">
        <f t="shared" si="91"/>
        <v>&lt;=3</v>
      </c>
    </row>
    <row r="303" spans="1:44" x14ac:dyDescent="0.3">
      <c r="A303" t="s">
        <v>33</v>
      </c>
      <c r="B303" t="str">
        <f>B2</f>
        <v>Ami Enterprises</v>
      </c>
      <c r="C303" t="s">
        <v>182</v>
      </c>
      <c r="D303">
        <v>2978</v>
      </c>
      <c r="E303">
        <v>23210397</v>
      </c>
      <c r="F303" t="s">
        <v>460</v>
      </c>
      <c r="G303" t="s">
        <v>461</v>
      </c>
      <c r="H303">
        <v>7000</v>
      </c>
      <c r="I303">
        <v>35</v>
      </c>
      <c r="J303">
        <v>245000</v>
      </c>
      <c r="K303" t="str">
        <f>IFERROR(IF(B303&lt;&gt;"", TEXT(VLOOKUP(B303, 'Expected Date'!A:B, 2, FALSE) + DATE(RIGHT(C303,2),MID(C303,4,2),LEFT(C303,2)), "dd/mm/yy"), ""), "")</f>
        <v>23/06/23</v>
      </c>
      <c r="L303" t="s">
        <v>38</v>
      </c>
      <c r="M303" t="s">
        <v>39</v>
      </c>
      <c r="N303" t="s">
        <v>318</v>
      </c>
      <c r="O303" t="s">
        <v>328</v>
      </c>
      <c r="P303">
        <v>23290782</v>
      </c>
      <c r="Q303" t="s">
        <v>460</v>
      </c>
      <c r="R303" t="s">
        <v>461</v>
      </c>
      <c r="S303">
        <v>7000</v>
      </c>
      <c r="T303">
        <v>35</v>
      </c>
      <c r="U303">
        <v>245000</v>
      </c>
      <c r="V303" t="str">
        <f t="shared" si="75"/>
        <v>Accepted</v>
      </c>
      <c r="W303">
        <f>IFERROR(VLOOKUP(N303, Payment_Terms!A:B, 2, FALSE), "Payment term not found!")</f>
        <v>30</v>
      </c>
      <c r="X303" t="str">
        <f>IFERROR(VLOOKUP(R303, Item_Category!A:B, 2, FALSE), "Uncategorized")</f>
        <v>Bags</v>
      </c>
      <c r="Y303" s="5">
        <f t="shared" si="92"/>
        <v>0</v>
      </c>
      <c r="Z303">
        <f t="shared" si="80"/>
        <v>5</v>
      </c>
      <c r="AA303">
        <f t="shared" si="81"/>
        <v>-9</v>
      </c>
      <c r="AB303">
        <f t="shared" si="82"/>
        <v>5</v>
      </c>
      <c r="AC303" s="10">
        <f t="shared" si="83"/>
        <v>1</v>
      </c>
      <c r="AD303" s="5">
        <f t="shared" si="76"/>
        <v>1</v>
      </c>
      <c r="AE303" s="5">
        <f t="shared" si="77"/>
        <v>1</v>
      </c>
      <c r="AF303" s="5">
        <f t="shared" si="84"/>
        <v>0</v>
      </c>
      <c r="AG303">
        <f>IF(B303&lt;&gt;"", COUNTIFS($B$2:B303, B303), "")</f>
        <v>23</v>
      </c>
      <c r="AH303">
        <f t="shared" si="85"/>
        <v>5</v>
      </c>
      <c r="AI303" t="str">
        <f>VLOOKUP(B303, Currency!A:B, 2, FALSE)</f>
        <v>INR</v>
      </c>
      <c r="AJ303">
        <f t="shared" si="78"/>
        <v>5</v>
      </c>
      <c r="AK303">
        <f t="shared" si="86"/>
        <v>6</v>
      </c>
      <c r="AL303" t="str">
        <f t="shared" si="87"/>
        <v>June</v>
      </c>
      <c r="AM303">
        <f t="shared" si="88"/>
        <v>2023</v>
      </c>
      <c r="AN303" t="str">
        <f t="shared" si="79"/>
        <v>30Ami Enterprises</v>
      </c>
      <c r="AO303">
        <f>IF(COUNTIF($AN$2:AN303, AN303)=1, 1, 0)</f>
        <v>0</v>
      </c>
      <c r="AP303" t="str">
        <f t="shared" si="89"/>
        <v>&gt;3</v>
      </c>
      <c r="AQ303" t="str">
        <f t="shared" si="90"/>
        <v>&gt;3</v>
      </c>
      <c r="AR303" t="str">
        <f t="shared" si="91"/>
        <v>&gt;3</v>
      </c>
    </row>
    <row r="304" spans="1:44" x14ac:dyDescent="0.3">
      <c r="A304" t="s">
        <v>33</v>
      </c>
      <c r="B304" t="s">
        <v>492</v>
      </c>
      <c r="C304" t="s">
        <v>89</v>
      </c>
      <c r="D304">
        <v>3006</v>
      </c>
      <c r="E304">
        <v>23210408</v>
      </c>
      <c r="F304" t="s">
        <v>450</v>
      </c>
      <c r="G304" t="s">
        <v>451</v>
      </c>
      <c r="H304">
        <v>440</v>
      </c>
      <c r="I304">
        <v>38</v>
      </c>
      <c r="J304">
        <v>16720</v>
      </c>
      <c r="K304" t="str">
        <f>IFERROR(IF(B304&lt;&gt;"", TEXT(VLOOKUP(B304, 'Expected Date'!A:B, 2, FALSE) + DATE(RIGHT(C304,2),MID(C304,4,2),LEFT(C304,2)), "dd/mm/yy"), ""), "")</f>
        <v>10/07/23</v>
      </c>
      <c r="L304" t="s">
        <v>38</v>
      </c>
      <c r="M304" t="s">
        <v>39</v>
      </c>
      <c r="N304" t="s">
        <v>342</v>
      </c>
      <c r="O304" t="s">
        <v>117</v>
      </c>
      <c r="P304">
        <v>23290784</v>
      </c>
      <c r="Q304" t="s">
        <v>450</v>
      </c>
      <c r="R304" t="s">
        <v>451</v>
      </c>
      <c r="S304">
        <v>440</v>
      </c>
      <c r="T304">
        <v>38</v>
      </c>
      <c r="U304">
        <v>16720</v>
      </c>
      <c r="V304" t="str">
        <f t="shared" si="75"/>
        <v>Accepted</v>
      </c>
      <c r="W304">
        <f>IFERROR(VLOOKUP(N304, Payment_Terms!A:B, 2, FALSE), "Payment term not found!")</f>
        <v>30</v>
      </c>
      <c r="X304" t="str">
        <f>IFERROR(VLOOKUP(R304, Item_Category!A:B, 2, FALSE), "Uncategorized")</f>
        <v>PP thread</v>
      </c>
      <c r="Y304" s="5">
        <f t="shared" si="92"/>
        <v>0</v>
      </c>
      <c r="Z304">
        <f t="shared" si="80"/>
        <v>5</v>
      </c>
      <c r="AA304">
        <f t="shared" si="81"/>
        <v>-3</v>
      </c>
      <c r="AB304">
        <f t="shared" si="82"/>
        <v>5</v>
      </c>
      <c r="AC304" s="10">
        <f t="shared" si="83"/>
        <v>2</v>
      </c>
      <c r="AD304" s="5">
        <f t="shared" si="76"/>
        <v>1</v>
      </c>
      <c r="AE304" s="5">
        <f t="shared" si="77"/>
        <v>1</v>
      </c>
      <c r="AF304" s="5">
        <f t="shared" si="84"/>
        <v>0</v>
      </c>
      <c r="AG304">
        <f>IF(B304&lt;&gt;"", COUNTIFS($B$2:B304, B304), "")</f>
        <v>3</v>
      </c>
      <c r="AH304">
        <f t="shared" si="85"/>
        <v>5</v>
      </c>
      <c r="AI304" t="str">
        <f>VLOOKUP(B304, Currency!A:B, 2, FALSE)</f>
        <v>INR</v>
      </c>
      <c r="AJ304">
        <f t="shared" si="78"/>
        <v>5</v>
      </c>
      <c r="AK304">
        <f t="shared" si="86"/>
        <v>7</v>
      </c>
      <c r="AL304" t="str">
        <f t="shared" si="87"/>
        <v>July</v>
      </c>
      <c r="AM304">
        <f t="shared" si="88"/>
        <v>2023</v>
      </c>
      <c r="AN304" t="str">
        <f t="shared" si="79"/>
        <v>30Avinashi Enterprise</v>
      </c>
      <c r="AO304">
        <f>IF(COUNTIF($AN$2:AN304, AN304)=1, 1, 0)</f>
        <v>0</v>
      </c>
      <c r="AP304" t="str">
        <f t="shared" si="89"/>
        <v>&gt;3</v>
      </c>
      <c r="AQ304" t="str">
        <f t="shared" si="90"/>
        <v>&gt;3</v>
      </c>
      <c r="AR304" t="str">
        <f t="shared" si="91"/>
        <v>&gt;3</v>
      </c>
    </row>
    <row r="305" spans="1:44" x14ac:dyDescent="0.3">
      <c r="A305" t="s">
        <v>33</v>
      </c>
      <c r="B305" t="s">
        <v>492</v>
      </c>
      <c r="C305" t="s">
        <v>89</v>
      </c>
      <c r="D305">
        <v>3006</v>
      </c>
      <c r="E305">
        <v>23210408</v>
      </c>
      <c r="F305" t="s">
        <v>494</v>
      </c>
      <c r="G305" t="s">
        <v>495</v>
      </c>
      <c r="H305">
        <v>120</v>
      </c>
      <c r="I305">
        <v>510</v>
      </c>
      <c r="J305">
        <v>61200</v>
      </c>
      <c r="K305" t="str">
        <f>IFERROR(IF(B305&lt;&gt;"", TEXT(VLOOKUP(B305, 'Expected Date'!A:B, 2, FALSE) + DATE(RIGHT(C305,2),MID(C305,4,2),LEFT(C305,2)), "dd/mm/yy"), ""), "")</f>
        <v>10/07/23</v>
      </c>
      <c r="L305" t="s">
        <v>38</v>
      </c>
      <c r="M305" t="s">
        <v>48</v>
      </c>
      <c r="N305" t="s">
        <v>342</v>
      </c>
      <c r="O305" t="s">
        <v>117</v>
      </c>
      <c r="P305">
        <v>23290784</v>
      </c>
      <c r="Q305" t="s">
        <v>494</v>
      </c>
      <c r="R305" t="s">
        <v>495</v>
      </c>
      <c r="S305">
        <v>120</v>
      </c>
      <c r="T305">
        <v>510</v>
      </c>
      <c r="U305">
        <v>61200</v>
      </c>
      <c r="V305" t="str">
        <f t="shared" si="75"/>
        <v>Accepted</v>
      </c>
      <c r="W305">
        <f>IFERROR(VLOOKUP(N305, Payment_Terms!A:B, 2, FALSE), "Payment term not found!")</f>
        <v>30</v>
      </c>
      <c r="X305" t="str">
        <f>IFERROR(VLOOKUP(R305, Item_Category!A:B, 2, FALSE), "Uncategorized")</f>
        <v>Strapping rolls</v>
      </c>
      <c r="Y305" s="5">
        <f t="shared" si="92"/>
        <v>0</v>
      </c>
      <c r="Z305">
        <f t="shared" si="80"/>
        <v>5</v>
      </c>
      <c r="AA305">
        <f t="shared" si="81"/>
        <v>-3</v>
      </c>
      <c r="AB305">
        <f t="shared" si="82"/>
        <v>5</v>
      </c>
      <c r="AC305" s="10">
        <f t="shared" si="83"/>
        <v>2</v>
      </c>
      <c r="AD305" s="5">
        <f t="shared" si="76"/>
        <v>1</v>
      </c>
      <c r="AE305" s="5">
        <f t="shared" si="77"/>
        <v>1</v>
      </c>
      <c r="AF305" s="5">
        <f t="shared" si="84"/>
        <v>0</v>
      </c>
      <c r="AG305">
        <f>IF(B305&lt;&gt;"", COUNTIFS($B$2:B305, B305), "")</f>
        <v>4</v>
      </c>
      <c r="AH305">
        <f t="shared" si="85"/>
        <v>5</v>
      </c>
      <c r="AI305" t="str">
        <f>VLOOKUP(B305, Currency!A:B, 2, FALSE)</f>
        <v>INR</v>
      </c>
      <c r="AJ305">
        <f t="shared" si="78"/>
        <v>5</v>
      </c>
      <c r="AK305">
        <f t="shared" si="86"/>
        <v>7</v>
      </c>
      <c r="AL305" t="str">
        <f t="shared" si="87"/>
        <v>July</v>
      </c>
      <c r="AM305">
        <f t="shared" si="88"/>
        <v>2023</v>
      </c>
      <c r="AN305" t="str">
        <f t="shared" si="79"/>
        <v>30Avinashi Enterprise</v>
      </c>
      <c r="AO305">
        <f>IF(COUNTIF($AN$2:AN305, AN305)=1, 1, 0)</f>
        <v>0</v>
      </c>
      <c r="AP305" t="str">
        <f t="shared" si="89"/>
        <v>&gt;3</v>
      </c>
      <c r="AQ305" t="str">
        <f t="shared" si="90"/>
        <v>&gt;3</v>
      </c>
      <c r="AR305" t="str">
        <f t="shared" si="91"/>
        <v>&gt;3</v>
      </c>
    </row>
    <row r="306" spans="1:44" x14ac:dyDescent="0.3">
      <c r="A306" t="s">
        <v>33</v>
      </c>
      <c r="B306" t="s">
        <v>386</v>
      </c>
      <c r="C306" t="s">
        <v>178</v>
      </c>
      <c r="D306">
        <v>4141</v>
      </c>
      <c r="E306">
        <v>23210604</v>
      </c>
      <c r="F306" t="s">
        <v>545</v>
      </c>
      <c r="G306" t="s">
        <v>546</v>
      </c>
      <c r="H306">
        <v>50</v>
      </c>
      <c r="I306">
        <v>28</v>
      </c>
      <c r="J306">
        <v>1400</v>
      </c>
      <c r="K306" t="str">
        <f>IFERROR(IF(B306&lt;&gt;"", TEXT(VLOOKUP(B306, 'Expected Date'!A:B, 2, FALSE) + DATE(RIGHT(C306,2),MID(C306,4,2),LEFT(C306,2)), "dd/mm/yy"), ""), "")</f>
        <v>06/09/23</v>
      </c>
      <c r="L306" t="s">
        <v>38</v>
      </c>
      <c r="M306" t="s">
        <v>48</v>
      </c>
      <c r="N306" t="s">
        <v>342</v>
      </c>
      <c r="O306" t="s">
        <v>496</v>
      </c>
      <c r="P306">
        <v>23291303</v>
      </c>
      <c r="Q306" t="s">
        <v>545</v>
      </c>
      <c r="R306" t="s">
        <v>546</v>
      </c>
      <c r="S306">
        <v>50</v>
      </c>
      <c r="T306">
        <v>28</v>
      </c>
      <c r="U306">
        <v>1400</v>
      </c>
      <c r="V306" t="str">
        <f t="shared" si="75"/>
        <v>Accepted</v>
      </c>
      <c r="W306">
        <f>IFERROR(VLOOKUP(N306, Payment_Terms!A:B, 2, FALSE), "Payment term not found!")</f>
        <v>30</v>
      </c>
      <c r="X306" t="str">
        <f>IFERROR(VLOOKUP(R306, Item_Category!A:B, 2, FALSE), "Uncategorized")</f>
        <v>Cotton waste</v>
      </c>
      <c r="Y306" s="5">
        <f t="shared" si="92"/>
        <v>0</v>
      </c>
      <c r="Z306">
        <f t="shared" si="80"/>
        <v>5</v>
      </c>
      <c r="AA306">
        <f t="shared" si="81"/>
        <v>-4</v>
      </c>
      <c r="AB306">
        <f t="shared" si="82"/>
        <v>5</v>
      </c>
      <c r="AC306" s="10">
        <f t="shared" si="83"/>
        <v>1</v>
      </c>
      <c r="AD306" s="5">
        <f t="shared" si="76"/>
        <v>1</v>
      </c>
      <c r="AE306" s="5">
        <f t="shared" si="77"/>
        <v>1</v>
      </c>
      <c r="AF306" s="5">
        <f t="shared" si="84"/>
        <v>0</v>
      </c>
      <c r="AG306">
        <f>IF(B306&lt;&gt;"", COUNTIFS($B$2:B306, B306), "")</f>
        <v>25</v>
      </c>
      <c r="AH306">
        <f t="shared" si="85"/>
        <v>5</v>
      </c>
      <c r="AI306" t="str">
        <f>VLOOKUP(B306, Currency!A:B, 2, FALSE)</f>
        <v>INR</v>
      </c>
      <c r="AJ306">
        <f t="shared" si="78"/>
        <v>5</v>
      </c>
      <c r="AK306">
        <f t="shared" si="86"/>
        <v>9</v>
      </c>
      <c r="AL306" t="str">
        <f t="shared" si="87"/>
        <v>September</v>
      </c>
      <c r="AM306">
        <f t="shared" si="88"/>
        <v>2023</v>
      </c>
      <c r="AN306" t="str">
        <f t="shared" si="79"/>
        <v>30Shree Shyam Enterprises</v>
      </c>
      <c r="AO306">
        <f>IF(COUNTIF($AN$2:AN306, AN306)=1, 1, 0)</f>
        <v>0</v>
      </c>
      <c r="AP306" t="str">
        <f t="shared" si="89"/>
        <v>&gt;3</v>
      </c>
      <c r="AQ306" t="str">
        <f t="shared" si="90"/>
        <v>&gt;3</v>
      </c>
      <c r="AR306" t="str">
        <f t="shared" si="91"/>
        <v>&gt;3</v>
      </c>
    </row>
    <row r="307" spans="1:44" x14ac:dyDescent="0.3">
      <c r="A307" t="s">
        <v>33</v>
      </c>
      <c r="B307" t="s">
        <v>386</v>
      </c>
      <c r="C307" t="s">
        <v>323</v>
      </c>
      <c r="D307">
        <v>4413</v>
      </c>
      <c r="E307">
        <v>23210667</v>
      </c>
      <c r="F307" t="s">
        <v>534</v>
      </c>
      <c r="G307" t="s">
        <v>535</v>
      </c>
      <c r="H307">
        <v>6626</v>
      </c>
      <c r="I307">
        <v>11.305</v>
      </c>
      <c r="J307">
        <v>74906.929999999993</v>
      </c>
      <c r="K307" t="str">
        <f>IFERROR(IF(B307&lt;&gt;"", TEXT(VLOOKUP(B307, 'Expected Date'!A:B, 2, FALSE) + DATE(RIGHT(C307,2),MID(C307,4,2),LEFT(C307,2)), "dd/mm/yy"), ""), "")</f>
        <v>20/09/23</v>
      </c>
      <c r="L307" t="s">
        <v>38</v>
      </c>
      <c r="M307" t="s">
        <v>48</v>
      </c>
      <c r="N307" t="s">
        <v>342</v>
      </c>
      <c r="O307" t="s">
        <v>323</v>
      </c>
      <c r="P307">
        <v>23291417</v>
      </c>
      <c r="Q307" t="s">
        <v>534</v>
      </c>
      <c r="R307" t="s">
        <v>535</v>
      </c>
      <c r="S307">
        <v>6626</v>
      </c>
      <c r="T307">
        <v>11.305</v>
      </c>
      <c r="U307">
        <v>74906.929999999993</v>
      </c>
      <c r="V307" t="str">
        <f t="shared" si="75"/>
        <v>Accepted</v>
      </c>
      <c r="W307">
        <f>IFERROR(VLOOKUP(N307, Payment_Terms!A:B, 2, FALSE), "Payment term not found!")</f>
        <v>30</v>
      </c>
      <c r="X307" t="str">
        <f>IFERROR(VLOOKUP(R307, Item_Category!A:B, 2, FALSE), "Uncategorized")</f>
        <v>Liner</v>
      </c>
      <c r="Y307" s="5">
        <f t="shared" si="92"/>
        <v>0</v>
      </c>
      <c r="Z307">
        <f t="shared" si="80"/>
        <v>5</v>
      </c>
      <c r="AA307">
        <f t="shared" si="81"/>
        <v>-5</v>
      </c>
      <c r="AB307">
        <f t="shared" si="82"/>
        <v>5</v>
      </c>
      <c r="AC307" s="10">
        <f t="shared" si="83"/>
        <v>0</v>
      </c>
      <c r="AD307" s="5">
        <f t="shared" si="76"/>
        <v>1</v>
      </c>
      <c r="AE307" s="5">
        <f t="shared" si="77"/>
        <v>1</v>
      </c>
      <c r="AF307" s="5">
        <f t="shared" si="84"/>
        <v>0</v>
      </c>
      <c r="AG307">
        <f>IF(B307&lt;&gt;"", COUNTIFS($B$2:B307, B307), "")</f>
        <v>26</v>
      </c>
      <c r="AH307">
        <f t="shared" si="85"/>
        <v>5</v>
      </c>
      <c r="AI307" t="str">
        <f>VLOOKUP(B307, Currency!A:B, 2, FALSE)</f>
        <v>INR</v>
      </c>
      <c r="AJ307">
        <f t="shared" si="78"/>
        <v>5</v>
      </c>
      <c r="AK307">
        <f t="shared" si="86"/>
        <v>9</v>
      </c>
      <c r="AL307" t="str">
        <f t="shared" si="87"/>
        <v>September</v>
      </c>
      <c r="AM307">
        <f t="shared" si="88"/>
        <v>2023</v>
      </c>
      <c r="AN307" t="str">
        <f t="shared" si="79"/>
        <v>30Shree Shyam Enterprises</v>
      </c>
      <c r="AO307">
        <f>IF(COUNTIF($AN$2:AN307, AN307)=1, 1, 0)</f>
        <v>0</v>
      </c>
      <c r="AP307" t="str">
        <f t="shared" si="89"/>
        <v>&gt;3</v>
      </c>
      <c r="AQ307" t="str">
        <f t="shared" si="90"/>
        <v>&gt;3</v>
      </c>
      <c r="AR307" t="str">
        <f t="shared" si="91"/>
        <v>&gt;3</v>
      </c>
    </row>
    <row r="308" spans="1:44" x14ac:dyDescent="0.3">
      <c r="A308" t="s">
        <v>33</v>
      </c>
      <c r="B308" t="s">
        <v>429</v>
      </c>
      <c r="C308" t="s">
        <v>164</v>
      </c>
      <c r="D308">
        <v>4244</v>
      </c>
      <c r="E308">
        <v>23210633</v>
      </c>
      <c r="F308" t="s">
        <v>430</v>
      </c>
      <c r="G308" t="s">
        <v>431</v>
      </c>
      <c r="H308">
        <v>5000</v>
      </c>
      <c r="I308">
        <v>8.3000000000000007</v>
      </c>
      <c r="J308">
        <v>41500</v>
      </c>
      <c r="K308" t="str">
        <f>IFERROR(IF(B308&lt;&gt;"", TEXT(VLOOKUP(B308, 'Expected Date'!A:B, 2, FALSE) + DATE(RIGHT(C308,2),MID(C308,4,2),LEFT(C308,2)), "dd/mm/yy"), ""), "")</f>
        <v>13/09/23</v>
      </c>
      <c r="L308" t="s">
        <v>38</v>
      </c>
      <c r="M308" t="s">
        <v>48</v>
      </c>
      <c r="N308" t="s">
        <v>299</v>
      </c>
      <c r="O308" t="s">
        <v>512</v>
      </c>
      <c r="P308">
        <v>23291498</v>
      </c>
      <c r="Q308" t="s">
        <v>430</v>
      </c>
      <c r="R308" t="s">
        <v>431</v>
      </c>
      <c r="S308">
        <v>2580</v>
      </c>
      <c r="T308">
        <v>8.3000000000000007</v>
      </c>
      <c r="U308">
        <v>21414</v>
      </c>
      <c r="V308" t="str">
        <f t="shared" si="75"/>
        <v>Accepted</v>
      </c>
      <c r="W308">
        <f>IFERROR(VLOOKUP(N308, Payment_Terms!A:B, 2, FALSE), "Payment term not found!")</f>
        <v>60</v>
      </c>
      <c r="X308" t="str">
        <f>IFERROR(VLOOKUP(R308, Item_Category!A:B, 2, FALSE), "Uncategorized")</f>
        <v>Lime</v>
      </c>
      <c r="Y308" s="5">
        <f t="shared" si="92"/>
        <v>0</v>
      </c>
      <c r="Z308">
        <f t="shared" si="80"/>
        <v>5</v>
      </c>
      <c r="AA308">
        <f t="shared" si="81"/>
        <v>11</v>
      </c>
      <c r="AB308">
        <f t="shared" si="82"/>
        <v>1</v>
      </c>
      <c r="AC308" s="10">
        <f t="shared" si="83"/>
        <v>16</v>
      </c>
      <c r="AD308" s="5">
        <f t="shared" si="76"/>
        <v>1</v>
      </c>
      <c r="AE308" s="5">
        <f t="shared" si="77"/>
        <v>1</v>
      </c>
      <c r="AF308" s="5">
        <f t="shared" si="84"/>
        <v>0</v>
      </c>
      <c r="AG308">
        <f>IF(B308&lt;&gt;"", COUNTIFS($B$2:B308, B308), "")</f>
        <v>9</v>
      </c>
      <c r="AH308">
        <f t="shared" si="85"/>
        <v>5</v>
      </c>
      <c r="AI308" t="str">
        <f>VLOOKUP(B308, Currency!A:B, 2, FALSE)</f>
        <v>INR</v>
      </c>
      <c r="AJ308">
        <f t="shared" si="78"/>
        <v>4</v>
      </c>
      <c r="AK308">
        <f t="shared" si="86"/>
        <v>9</v>
      </c>
      <c r="AL308" t="str">
        <f t="shared" si="87"/>
        <v>September</v>
      </c>
      <c r="AM308">
        <f t="shared" si="88"/>
        <v>2023</v>
      </c>
      <c r="AN308" t="str">
        <f t="shared" si="79"/>
        <v>60HELIK ENTERPRISE</v>
      </c>
      <c r="AO308">
        <f>IF(COUNTIF($AN$2:AN308, AN308)=1, 1, 0)</f>
        <v>0</v>
      </c>
      <c r="AP308" t="str">
        <f t="shared" si="89"/>
        <v>&gt;3</v>
      </c>
      <c r="AQ308" t="str">
        <f t="shared" si="90"/>
        <v>&gt;3</v>
      </c>
      <c r="AR308" t="str">
        <f t="shared" si="91"/>
        <v>&lt;=3</v>
      </c>
    </row>
    <row r="309" spans="1:44" x14ac:dyDescent="0.3">
      <c r="A309" t="s">
        <v>33</v>
      </c>
      <c r="B309" t="s">
        <v>382</v>
      </c>
      <c r="C309" t="s">
        <v>221</v>
      </c>
      <c r="D309">
        <v>3889</v>
      </c>
      <c r="E309">
        <v>23210559</v>
      </c>
      <c r="F309" t="s">
        <v>383</v>
      </c>
      <c r="G309" t="s">
        <v>384</v>
      </c>
      <c r="H309">
        <v>250</v>
      </c>
      <c r="I309">
        <v>96</v>
      </c>
      <c r="J309">
        <v>24000</v>
      </c>
      <c r="K309" t="str">
        <f>IFERROR(IF(B309&lt;&gt;"", TEXT(VLOOKUP(B309, 'Expected Date'!A:B, 2, FALSE) + DATE(RIGHT(C309,2),MID(C309,4,2),LEFT(C309,2)), "dd/mm/yy"), ""), "")</f>
        <v>31/08/23</v>
      </c>
      <c r="L309" t="s">
        <v>38</v>
      </c>
      <c r="M309" t="s">
        <v>48</v>
      </c>
      <c r="N309" t="s">
        <v>342</v>
      </c>
      <c r="O309" t="s">
        <v>78</v>
      </c>
      <c r="P309">
        <v>23291217</v>
      </c>
      <c r="Q309" t="s">
        <v>383</v>
      </c>
      <c r="R309" t="s">
        <v>384</v>
      </c>
      <c r="S309">
        <v>250</v>
      </c>
      <c r="T309">
        <v>96</v>
      </c>
      <c r="U309">
        <v>24000</v>
      </c>
      <c r="V309" t="str">
        <f t="shared" si="75"/>
        <v>Accepted</v>
      </c>
      <c r="W309">
        <f>IFERROR(VLOOKUP(N309, Payment_Terms!A:B, 2, FALSE), "Payment term not found!")</f>
        <v>30</v>
      </c>
      <c r="X309" t="str">
        <f>IFERROR(VLOOKUP(R309, Item_Category!A:B, 2, FALSE), "Uncategorized")</f>
        <v>Gas</v>
      </c>
      <c r="Y309" s="5">
        <f t="shared" si="92"/>
        <v>0</v>
      </c>
      <c r="Z309">
        <f t="shared" si="80"/>
        <v>5</v>
      </c>
      <c r="AA309">
        <f t="shared" si="81"/>
        <v>-7</v>
      </c>
      <c r="AB309">
        <f t="shared" si="82"/>
        <v>5</v>
      </c>
      <c r="AC309" s="10">
        <f t="shared" si="83"/>
        <v>3</v>
      </c>
      <c r="AD309" s="5">
        <f t="shared" si="76"/>
        <v>1</v>
      </c>
      <c r="AE309" s="5">
        <f t="shared" si="77"/>
        <v>1</v>
      </c>
      <c r="AF309" s="5">
        <f t="shared" si="84"/>
        <v>0</v>
      </c>
      <c r="AG309">
        <f>IF(B309&lt;&gt;"", COUNTIFS($B$2:B309, B309), "")</f>
        <v>19</v>
      </c>
      <c r="AH309">
        <f t="shared" si="85"/>
        <v>5</v>
      </c>
      <c r="AI309" t="str">
        <f>VLOOKUP(B309, Currency!A:B, 2, FALSE)</f>
        <v>INR</v>
      </c>
      <c r="AJ309">
        <f t="shared" si="78"/>
        <v>5</v>
      </c>
      <c r="AK309">
        <f t="shared" si="86"/>
        <v>8</v>
      </c>
      <c r="AL309" t="str">
        <f t="shared" si="87"/>
        <v>August</v>
      </c>
      <c r="AM309">
        <f t="shared" si="88"/>
        <v>2023</v>
      </c>
      <c r="AN309" t="str">
        <f t="shared" si="79"/>
        <v>30Aerochem Laboratories</v>
      </c>
      <c r="AO309">
        <f>IF(COUNTIF($AN$2:AN309, AN309)=1, 1, 0)</f>
        <v>0</v>
      </c>
      <c r="AP309" t="str">
        <f t="shared" si="89"/>
        <v>&gt;3</v>
      </c>
      <c r="AQ309" t="str">
        <f t="shared" si="90"/>
        <v>&gt;3</v>
      </c>
      <c r="AR309" t="str">
        <f t="shared" si="91"/>
        <v>&gt;3</v>
      </c>
    </row>
    <row r="310" spans="1:44" x14ac:dyDescent="0.3">
      <c r="A310" t="s">
        <v>33</v>
      </c>
      <c r="B310" t="s">
        <v>366</v>
      </c>
      <c r="C310" t="s">
        <v>272</v>
      </c>
      <c r="D310">
        <v>4670</v>
      </c>
      <c r="E310">
        <v>23210706</v>
      </c>
      <c r="F310" t="s">
        <v>392</v>
      </c>
      <c r="G310" t="s">
        <v>393</v>
      </c>
      <c r="H310">
        <v>100</v>
      </c>
      <c r="I310">
        <v>8400</v>
      </c>
      <c r="J310">
        <v>840000</v>
      </c>
      <c r="K310" t="str">
        <f>IFERROR(IF(B310&lt;&gt;"", TEXT(VLOOKUP(B310, 'Expected Date'!A:B, 2, FALSE) + DATE(RIGHT(C310,2),MID(C310,4,2),LEFT(C310,2)), "dd/mm/yy"), ""), "")</f>
        <v>27/09/23</v>
      </c>
      <c r="L310" t="s">
        <v>38</v>
      </c>
      <c r="M310" t="s">
        <v>48</v>
      </c>
      <c r="N310" t="s">
        <v>532</v>
      </c>
      <c r="O310" t="s">
        <v>320</v>
      </c>
      <c r="P310">
        <v>23291546</v>
      </c>
      <c r="Q310" t="s">
        <v>392</v>
      </c>
      <c r="R310" t="s">
        <v>393</v>
      </c>
      <c r="S310">
        <v>30.02</v>
      </c>
      <c r="T310">
        <v>8400</v>
      </c>
      <c r="U310">
        <v>252168</v>
      </c>
      <c r="V310" t="str">
        <f t="shared" si="75"/>
        <v>Accepted</v>
      </c>
      <c r="W310">
        <f>IFERROR(VLOOKUP(N310, Payment_Terms!A:B, 2, FALSE), "Payment term not found!")</f>
        <v>15</v>
      </c>
      <c r="X310" t="str">
        <f>IFERROR(VLOOKUP(R310, Item_Category!A:B, 2, FALSE), "Uncategorized")</f>
        <v>Coal materials</v>
      </c>
      <c r="Y310" s="5">
        <f t="shared" si="92"/>
        <v>0</v>
      </c>
      <c r="Z310">
        <f t="shared" si="80"/>
        <v>5</v>
      </c>
      <c r="AA310">
        <f t="shared" si="81"/>
        <v>1</v>
      </c>
      <c r="AB310">
        <f t="shared" si="82"/>
        <v>5</v>
      </c>
      <c r="AC310" s="10">
        <f t="shared" si="83"/>
        <v>3</v>
      </c>
      <c r="AD310" s="5">
        <f t="shared" si="76"/>
        <v>1</v>
      </c>
      <c r="AE310" s="5">
        <f t="shared" si="77"/>
        <v>1</v>
      </c>
      <c r="AF310" s="5">
        <f t="shared" si="84"/>
        <v>0</v>
      </c>
      <c r="AG310">
        <f>IF(B310&lt;&gt;"", COUNTIFS($B$2:B310, B310), "")</f>
        <v>61</v>
      </c>
      <c r="AH310">
        <f t="shared" si="85"/>
        <v>5</v>
      </c>
      <c r="AI310" t="str">
        <f>VLOOKUP(B310, Currency!A:B, 2, FALSE)</f>
        <v>INR</v>
      </c>
      <c r="AJ310">
        <f t="shared" si="78"/>
        <v>5</v>
      </c>
      <c r="AK310">
        <f t="shared" si="86"/>
        <v>9</v>
      </c>
      <c r="AL310" t="str">
        <f t="shared" si="87"/>
        <v>September</v>
      </c>
      <c r="AM310">
        <f t="shared" si="88"/>
        <v>2023</v>
      </c>
      <c r="AN310" t="str">
        <f t="shared" si="79"/>
        <v>15SKYWIN ENTERPRISE</v>
      </c>
      <c r="AO310">
        <f>IF(COUNTIF($AN$2:AN310, AN310)=1, 1, 0)</f>
        <v>0</v>
      </c>
      <c r="AP310" t="str">
        <f t="shared" si="89"/>
        <v>&gt;3</v>
      </c>
      <c r="AQ310" t="str">
        <f t="shared" si="90"/>
        <v>&gt;3</v>
      </c>
      <c r="AR310" t="str">
        <f t="shared" si="91"/>
        <v>&gt;3</v>
      </c>
    </row>
    <row r="311" spans="1:44" x14ac:dyDescent="0.3">
      <c r="A311" t="s">
        <v>33</v>
      </c>
      <c r="B311" t="s">
        <v>366</v>
      </c>
      <c r="C311" t="s">
        <v>272</v>
      </c>
      <c r="D311">
        <v>4670</v>
      </c>
      <c r="E311">
        <v>23210706</v>
      </c>
      <c r="F311" t="s">
        <v>392</v>
      </c>
      <c r="G311" t="s">
        <v>393</v>
      </c>
      <c r="H311">
        <v>100</v>
      </c>
      <c r="I311">
        <v>8400</v>
      </c>
      <c r="J311">
        <v>840000</v>
      </c>
      <c r="K311" t="str">
        <f>IFERROR(IF(B311&lt;&gt;"", TEXT(VLOOKUP(B311, 'Expected Date'!A:B, 2, FALSE) + DATE(RIGHT(C311,2),MID(C311,4,2),LEFT(C311,2)), "dd/mm/yy"), ""), "")</f>
        <v>27/09/23</v>
      </c>
      <c r="L311" t="s">
        <v>38</v>
      </c>
      <c r="M311" t="s">
        <v>48</v>
      </c>
      <c r="N311" t="s">
        <v>532</v>
      </c>
      <c r="O311" t="s">
        <v>194</v>
      </c>
      <c r="P311">
        <v>23291547</v>
      </c>
      <c r="Q311" t="s">
        <v>392</v>
      </c>
      <c r="R311" t="s">
        <v>393</v>
      </c>
      <c r="S311">
        <v>29.89</v>
      </c>
      <c r="T311">
        <v>8400</v>
      </c>
      <c r="U311">
        <v>251076</v>
      </c>
      <c r="V311" t="str">
        <f t="shared" si="75"/>
        <v>Accepted</v>
      </c>
      <c r="W311">
        <f>IFERROR(VLOOKUP(N311, Payment_Terms!A:B, 2, FALSE), "Payment term not found!")</f>
        <v>15</v>
      </c>
      <c r="X311" t="str">
        <f>IFERROR(VLOOKUP(R311, Item_Category!A:B, 2, FALSE), "Uncategorized")</f>
        <v>Coal materials</v>
      </c>
      <c r="Y311" s="5">
        <f t="shared" si="92"/>
        <v>0</v>
      </c>
      <c r="Z311">
        <f t="shared" si="80"/>
        <v>5</v>
      </c>
      <c r="AA311">
        <f t="shared" si="81"/>
        <v>-1</v>
      </c>
      <c r="AB311">
        <f t="shared" si="82"/>
        <v>5</v>
      </c>
      <c r="AC311" s="10">
        <f t="shared" si="83"/>
        <v>1</v>
      </c>
      <c r="AD311" s="5">
        <f t="shared" si="76"/>
        <v>1</v>
      </c>
      <c r="AE311" s="5">
        <f t="shared" si="77"/>
        <v>1</v>
      </c>
      <c r="AF311" s="5">
        <f t="shared" si="84"/>
        <v>0</v>
      </c>
      <c r="AG311">
        <f>IF(B311&lt;&gt;"", COUNTIFS($B$2:B311, B311), "")</f>
        <v>62</v>
      </c>
      <c r="AH311">
        <f t="shared" si="85"/>
        <v>5</v>
      </c>
      <c r="AI311" t="str">
        <f>VLOOKUP(B311, Currency!A:B, 2, FALSE)</f>
        <v>INR</v>
      </c>
      <c r="AJ311">
        <f t="shared" si="78"/>
        <v>5</v>
      </c>
      <c r="AK311">
        <f t="shared" si="86"/>
        <v>9</v>
      </c>
      <c r="AL311" t="str">
        <f t="shared" si="87"/>
        <v>September</v>
      </c>
      <c r="AM311">
        <f t="shared" si="88"/>
        <v>2023</v>
      </c>
      <c r="AN311" t="str">
        <f t="shared" si="79"/>
        <v>15SKYWIN ENTERPRISE</v>
      </c>
      <c r="AO311">
        <f>IF(COUNTIF($AN$2:AN311, AN311)=1, 1, 0)</f>
        <v>0</v>
      </c>
      <c r="AP311" t="str">
        <f t="shared" si="89"/>
        <v>&gt;3</v>
      </c>
      <c r="AQ311" t="str">
        <f t="shared" si="90"/>
        <v>&gt;3</v>
      </c>
      <c r="AR311" t="str">
        <f t="shared" si="91"/>
        <v>&gt;3</v>
      </c>
    </row>
    <row r="312" spans="1:44" x14ac:dyDescent="0.3">
      <c r="A312" t="s">
        <v>33</v>
      </c>
      <c r="B312" t="str">
        <f>B2</f>
        <v>Ami Enterprises</v>
      </c>
      <c r="C312" t="s">
        <v>320</v>
      </c>
      <c r="D312">
        <v>4705</v>
      </c>
      <c r="E312">
        <v>23210714</v>
      </c>
      <c r="F312" t="s">
        <v>471</v>
      </c>
      <c r="G312" t="s">
        <v>472</v>
      </c>
      <c r="H312">
        <v>510</v>
      </c>
      <c r="I312">
        <v>33.5</v>
      </c>
      <c r="J312">
        <v>17085</v>
      </c>
      <c r="K312" t="str">
        <f>IFERROR(IF(B312&lt;&gt;"", TEXT(VLOOKUP(B312, 'Expected Date'!A:B, 2, FALSE) + DATE(RIGHT(C312,2),MID(C312,4,2),LEFT(C312,2)), "dd/mm/yy"), ""), "")</f>
        <v>08/10/23</v>
      </c>
      <c r="L312" t="s">
        <v>38</v>
      </c>
      <c r="M312" t="s">
        <v>39</v>
      </c>
      <c r="N312" t="s">
        <v>342</v>
      </c>
      <c r="O312" t="s">
        <v>519</v>
      </c>
      <c r="P312">
        <v>23291553</v>
      </c>
      <c r="Q312" t="s">
        <v>471</v>
      </c>
      <c r="R312" t="s">
        <v>472</v>
      </c>
      <c r="S312">
        <v>510</v>
      </c>
      <c r="T312">
        <v>33.5</v>
      </c>
      <c r="U312">
        <v>17085</v>
      </c>
      <c r="V312" t="str">
        <f t="shared" si="75"/>
        <v>Accepted</v>
      </c>
      <c r="W312">
        <f>IFERROR(VLOOKUP(N312, Payment_Terms!A:B, 2, FALSE), "Payment term not found!")</f>
        <v>30</v>
      </c>
      <c r="X312" t="str">
        <f>IFERROR(VLOOKUP(R312, Item_Category!A:B, 2, FALSE), "Uncategorized")</f>
        <v>Bags</v>
      </c>
      <c r="Y312" s="5">
        <f t="shared" si="92"/>
        <v>0</v>
      </c>
      <c r="Z312">
        <f t="shared" si="80"/>
        <v>5</v>
      </c>
      <c r="AA312">
        <f t="shared" si="81"/>
        <v>-9</v>
      </c>
      <c r="AB312">
        <f t="shared" si="82"/>
        <v>5</v>
      </c>
      <c r="AC312" s="10">
        <f t="shared" si="83"/>
        <v>1</v>
      </c>
      <c r="AD312" s="5">
        <f t="shared" si="76"/>
        <v>1</v>
      </c>
      <c r="AE312" s="5">
        <f t="shared" si="77"/>
        <v>1</v>
      </c>
      <c r="AF312" s="5">
        <f t="shared" si="84"/>
        <v>0</v>
      </c>
      <c r="AG312">
        <f>IF(B312&lt;&gt;"", COUNTIFS($B$2:B312, B312), "")</f>
        <v>24</v>
      </c>
      <c r="AH312">
        <f t="shared" si="85"/>
        <v>5</v>
      </c>
      <c r="AI312" t="str">
        <f>VLOOKUP(B312, Currency!A:B, 2, FALSE)</f>
        <v>INR</v>
      </c>
      <c r="AJ312">
        <f t="shared" si="78"/>
        <v>5</v>
      </c>
      <c r="AK312">
        <f t="shared" si="86"/>
        <v>9</v>
      </c>
      <c r="AL312" t="str">
        <f t="shared" si="87"/>
        <v>September</v>
      </c>
      <c r="AM312">
        <f t="shared" si="88"/>
        <v>2023</v>
      </c>
      <c r="AN312" t="str">
        <f t="shared" si="79"/>
        <v>30Ami Enterprises</v>
      </c>
      <c r="AO312">
        <f>IF(COUNTIF($AN$2:AN312, AN312)=1, 1, 0)</f>
        <v>0</v>
      </c>
      <c r="AP312" t="str">
        <f t="shared" si="89"/>
        <v>&gt;3</v>
      </c>
      <c r="AQ312" t="str">
        <f t="shared" si="90"/>
        <v>&gt;3</v>
      </c>
      <c r="AR312" t="str">
        <f t="shared" si="91"/>
        <v>&gt;3</v>
      </c>
    </row>
    <row r="313" spans="1:44" x14ac:dyDescent="0.3">
      <c r="A313" t="s">
        <v>33</v>
      </c>
      <c r="B313" t="s">
        <v>366</v>
      </c>
      <c r="C313" t="s">
        <v>272</v>
      </c>
      <c r="D313">
        <v>4670</v>
      </c>
      <c r="E313">
        <v>23210706</v>
      </c>
      <c r="F313" t="s">
        <v>392</v>
      </c>
      <c r="G313" t="s">
        <v>393</v>
      </c>
      <c r="H313">
        <v>100</v>
      </c>
      <c r="I313">
        <v>8400</v>
      </c>
      <c r="J313">
        <v>840000</v>
      </c>
      <c r="K313" t="str">
        <f>IFERROR(IF(B313&lt;&gt;"", TEXT(VLOOKUP(B313, 'Expected Date'!A:B, 2, FALSE) + DATE(RIGHT(C313,2),MID(C313,4,2),LEFT(C313,2)), "dd/mm/yy"), ""), "")</f>
        <v>27/09/23</v>
      </c>
      <c r="L313" t="s">
        <v>38</v>
      </c>
      <c r="M313" t="s">
        <v>48</v>
      </c>
      <c r="N313" t="s">
        <v>532</v>
      </c>
      <c r="O313" t="s">
        <v>229</v>
      </c>
      <c r="P313">
        <v>23291566</v>
      </c>
      <c r="Q313" t="s">
        <v>392</v>
      </c>
      <c r="R313" t="s">
        <v>393</v>
      </c>
      <c r="S313">
        <v>29.91</v>
      </c>
      <c r="T313">
        <v>8400</v>
      </c>
      <c r="U313">
        <v>251244</v>
      </c>
      <c r="V313" t="str">
        <f t="shared" si="75"/>
        <v>Accepted</v>
      </c>
      <c r="W313">
        <f>IFERROR(VLOOKUP(N313, Payment_Terms!A:B, 2, FALSE), "Payment term not found!")</f>
        <v>15</v>
      </c>
      <c r="X313" t="str">
        <f>IFERROR(VLOOKUP(R313, Item_Category!A:B, 2, FALSE), "Uncategorized")</f>
        <v>Coal materials</v>
      </c>
      <c r="Y313" s="5">
        <f t="shared" si="92"/>
        <v>0</v>
      </c>
      <c r="Z313">
        <f t="shared" si="80"/>
        <v>5</v>
      </c>
      <c r="AA313">
        <f t="shared" si="81"/>
        <v>3</v>
      </c>
      <c r="AB313">
        <f t="shared" si="82"/>
        <v>4</v>
      </c>
      <c r="AC313" s="10">
        <f t="shared" si="83"/>
        <v>5</v>
      </c>
      <c r="AD313" s="5">
        <f t="shared" si="76"/>
        <v>1</v>
      </c>
      <c r="AE313" s="5">
        <f t="shared" si="77"/>
        <v>1</v>
      </c>
      <c r="AF313" s="5">
        <f t="shared" si="84"/>
        <v>0</v>
      </c>
      <c r="AG313">
        <f>IF(B313&lt;&gt;"", COUNTIFS($B$2:B313, B313), "")</f>
        <v>63</v>
      </c>
      <c r="AH313">
        <f t="shared" si="85"/>
        <v>5</v>
      </c>
      <c r="AI313" t="str">
        <f>VLOOKUP(B313, Currency!A:B, 2, FALSE)</f>
        <v>INR</v>
      </c>
      <c r="AJ313">
        <f t="shared" si="78"/>
        <v>5</v>
      </c>
      <c r="AK313">
        <f t="shared" si="86"/>
        <v>9</v>
      </c>
      <c r="AL313" t="str">
        <f t="shared" si="87"/>
        <v>September</v>
      </c>
      <c r="AM313">
        <f t="shared" si="88"/>
        <v>2023</v>
      </c>
      <c r="AN313" t="str">
        <f t="shared" si="79"/>
        <v>15SKYWIN ENTERPRISE</v>
      </c>
      <c r="AO313">
        <f>IF(COUNTIF($AN$2:AN313, AN313)=1, 1, 0)</f>
        <v>0</v>
      </c>
      <c r="AP313" t="str">
        <f t="shared" si="89"/>
        <v>&gt;3</v>
      </c>
      <c r="AQ313" t="str">
        <f t="shared" si="90"/>
        <v>&gt;3</v>
      </c>
      <c r="AR313" t="str">
        <f t="shared" si="91"/>
        <v>&gt;3</v>
      </c>
    </row>
    <row r="314" spans="1:44" x14ac:dyDescent="0.3">
      <c r="A314" t="s">
        <v>33</v>
      </c>
      <c r="B314" t="s">
        <v>386</v>
      </c>
      <c r="C314" t="s">
        <v>178</v>
      </c>
      <c r="D314">
        <v>4141</v>
      </c>
      <c r="E314">
        <v>23210604</v>
      </c>
      <c r="F314" t="s">
        <v>440</v>
      </c>
      <c r="G314" t="s">
        <v>441</v>
      </c>
      <c r="H314">
        <v>82.7</v>
      </c>
      <c r="I314">
        <v>130</v>
      </c>
      <c r="J314">
        <v>10751</v>
      </c>
      <c r="K314" t="str">
        <f>IFERROR(IF(B314&lt;&gt;"", TEXT(VLOOKUP(B314, 'Expected Date'!A:B, 2, FALSE) + DATE(RIGHT(C314,2),MID(C314,4,2),LEFT(C314,2)), "dd/mm/yy"), ""), "")</f>
        <v>06/09/23</v>
      </c>
      <c r="L314" t="s">
        <v>38</v>
      </c>
      <c r="M314" t="s">
        <v>48</v>
      </c>
      <c r="N314" t="s">
        <v>342</v>
      </c>
      <c r="O314" t="s">
        <v>496</v>
      </c>
      <c r="P314">
        <v>23291303</v>
      </c>
      <c r="Q314" t="s">
        <v>440</v>
      </c>
      <c r="R314" t="s">
        <v>441</v>
      </c>
      <c r="S314">
        <v>82.7</v>
      </c>
      <c r="T314">
        <v>130</v>
      </c>
      <c r="U314">
        <v>10751</v>
      </c>
      <c r="V314" t="str">
        <f t="shared" si="75"/>
        <v>Accepted</v>
      </c>
      <c r="W314">
        <f>IFERROR(VLOOKUP(N314, Payment_Terms!A:B, 2, FALSE), "Payment term not found!")</f>
        <v>30</v>
      </c>
      <c r="X314" t="str">
        <f>IFERROR(VLOOKUP(R314, Item_Category!A:B, 2, FALSE), "Uncategorized")</f>
        <v>PP rope</v>
      </c>
      <c r="Y314" s="5">
        <f t="shared" si="92"/>
        <v>0</v>
      </c>
      <c r="Z314">
        <f t="shared" si="80"/>
        <v>5</v>
      </c>
      <c r="AA314">
        <f t="shared" si="81"/>
        <v>-4</v>
      </c>
      <c r="AB314">
        <f t="shared" si="82"/>
        <v>5</v>
      </c>
      <c r="AC314" s="10">
        <f t="shared" si="83"/>
        <v>1</v>
      </c>
      <c r="AD314" s="5">
        <f t="shared" si="76"/>
        <v>1</v>
      </c>
      <c r="AE314" s="5">
        <f t="shared" si="77"/>
        <v>1</v>
      </c>
      <c r="AF314" s="5">
        <f t="shared" si="84"/>
        <v>0</v>
      </c>
      <c r="AG314">
        <f>IF(B314&lt;&gt;"", COUNTIFS($B$2:B314, B314), "")</f>
        <v>27</v>
      </c>
      <c r="AH314">
        <f t="shared" si="85"/>
        <v>5</v>
      </c>
      <c r="AI314" t="str">
        <f>VLOOKUP(B314, Currency!A:B, 2, FALSE)</f>
        <v>INR</v>
      </c>
      <c r="AJ314">
        <f t="shared" si="78"/>
        <v>5</v>
      </c>
      <c r="AK314">
        <f t="shared" si="86"/>
        <v>9</v>
      </c>
      <c r="AL314" t="str">
        <f t="shared" si="87"/>
        <v>September</v>
      </c>
      <c r="AM314">
        <f t="shared" si="88"/>
        <v>2023</v>
      </c>
      <c r="AN314" t="str">
        <f t="shared" si="79"/>
        <v>30Shree Shyam Enterprises</v>
      </c>
      <c r="AO314">
        <f>IF(COUNTIF($AN$2:AN314, AN314)=1, 1, 0)</f>
        <v>0</v>
      </c>
      <c r="AP314" t="str">
        <f t="shared" si="89"/>
        <v>&gt;3</v>
      </c>
      <c r="AQ314" t="str">
        <f t="shared" si="90"/>
        <v>&gt;3</v>
      </c>
      <c r="AR314" t="str">
        <f t="shared" si="91"/>
        <v>&gt;3</v>
      </c>
    </row>
    <row r="315" spans="1:44" x14ac:dyDescent="0.3">
      <c r="A315" t="s">
        <v>33</v>
      </c>
      <c r="B315" t="s">
        <v>366</v>
      </c>
      <c r="C315" t="s">
        <v>540</v>
      </c>
      <c r="D315">
        <v>4056</v>
      </c>
      <c r="E315">
        <v>23210591</v>
      </c>
      <c r="F315" t="s">
        <v>392</v>
      </c>
      <c r="G315" t="s">
        <v>393</v>
      </c>
      <c r="H315">
        <v>100</v>
      </c>
      <c r="I315">
        <v>9850</v>
      </c>
      <c r="J315">
        <v>985000</v>
      </c>
      <c r="K315" t="str">
        <f>IFERROR(IF(B315&lt;&gt;"", TEXT(VLOOKUP(B315, 'Expected Date'!A:B, 2, FALSE) + DATE(RIGHT(C315,2),MID(C315,4,2),LEFT(C315,2)), "dd/mm/yy"), ""), "")</f>
        <v>29/08/23</v>
      </c>
      <c r="L315" t="s">
        <v>38</v>
      </c>
      <c r="M315" t="s">
        <v>48</v>
      </c>
      <c r="N315" t="s">
        <v>370</v>
      </c>
      <c r="O315" t="s">
        <v>178</v>
      </c>
      <c r="P315">
        <v>23291306</v>
      </c>
      <c r="Q315" t="s">
        <v>392</v>
      </c>
      <c r="R315" t="s">
        <v>393</v>
      </c>
      <c r="S315">
        <v>13.42</v>
      </c>
      <c r="T315">
        <v>9850</v>
      </c>
      <c r="U315">
        <v>132187</v>
      </c>
      <c r="V315" t="str">
        <f t="shared" si="75"/>
        <v>Accepted</v>
      </c>
      <c r="W315">
        <f>IFERROR(VLOOKUP(N315, Payment_Terms!A:B, 2, FALSE), "Payment term not found!")</f>
        <v>15</v>
      </c>
      <c r="X315" t="str">
        <f>IFERROR(VLOOKUP(R315, Item_Category!A:B, 2, FALSE), "Uncategorized")</f>
        <v>Coal materials</v>
      </c>
      <c r="Y315" s="5">
        <f t="shared" si="92"/>
        <v>0</v>
      </c>
      <c r="Z315">
        <f t="shared" si="80"/>
        <v>5</v>
      </c>
      <c r="AA315">
        <f t="shared" si="81"/>
        <v>3</v>
      </c>
      <c r="AB315">
        <f t="shared" si="82"/>
        <v>4</v>
      </c>
      <c r="AC315" s="10">
        <f t="shared" si="83"/>
        <v>5</v>
      </c>
      <c r="AD315" s="5">
        <f t="shared" si="76"/>
        <v>1</v>
      </c>
      <c r="AE315" s="5">
        <f t="shared" si="77"/>
        <v>1</v>
      </c>
      <c r="AF315" s="5">
        <f t="shared" si="84"/>
        <v>0</v>
      </c>
      <c r="AG315">
        <f>IF(B315&lt;&gt;"", COUNTIFS($B$2:B315, B315), "")</f>
        <v>64</v>
      </c>
      <c r="AH315">
        <f t="shared" si="85"/>
        <v>5</v>
      </c>
      <c r="AI315" t="str">
        <f>VLOOKUP(B315, Currency!A:B, 2, FALSE)</f>
        <v>INR</v>
      </c>
      <c r="AJ315">
        <f t="shared" si="78"/>
        <v>5</v>
      </c>
      <c r="AK315">
        <f t="shared" si="86"/>
        <v>8</v>
      </c>
      <c r="AL315" t="str">
        <f t="shared" si="87"/>
        <v>August</v>
      </c>
      <c r="AM315">
        <f t="shared" si="88"/>
        <v>2023</v>
      </c>
      <c r="AN315" t="str">
        <f t="shared" si="79"/>
        <v>15SKYWIN ENTERPRISE</v>
      </c>
      <c r="AO315">
        <f>IF(COUNTIF($AN$2:AN315, AN315)=1, 1, 0)</f>
        <v>0</v>
      </c>
      <c r="AP315" t="str">
        <f t="shared" si="89"/>
        <v>&gt;3</v>
      </c>
      <c r="AQ315" t="str">
        <f t="shared" si="90"/>
        <v>&gt;3</v>
      </c>
      <c r="AR315" t="str">
        <f t="shared" si="91"/>
        <v>&gt;3</v>
      </c>
    </row>
    <row r="316" spans="1:44" x14ac:dyDescent="0.3">
      <c r="A316" t="str">
        <f>A22</f>
        <v>Woodpulp</v>
      </c>
      <c r="B316" t="s">
        <v>96</v>
      </c>
      <c r="C316" t="s">
        <v>71</v>
      </c>
      <c r="D316">
        <v>2706</v>
      </c>
      <c r="E316">
        <v>23220032</v>
      </c>
      <c r="F316" t="s">
        <v>389</v>
      </c>
      <c r="G316" t="s">
        <v>390</v>
      </c>
      <c r="H316">
        <v>78</v>
      </c>
      <c r="I316">
        <v>950</v>
      </c>
      <c r="J316">
        <v>6053970</v>
      </c>
      <c r="K316" t="str">
        <f>IFERROR(IF(B316&lt;&gt;"", TEXT(VLOOKUP(B316, 'Expected Date'!A:B, 2, FALSE) + DATE(RIGHT(C316,2),MID(C316,4,2),LEFT(C316,2)), "dd/mm/yy"), ""), "")</f>
        <v>21/08/23</v>
      </c>
      <c r="L316" t="s">
        <v>68</v>
      </c>
      <c r="M316" t="str">
        <f>M73</f>
        <v>MT</v>
      </c>
      <c r="N316" t="s">
        <v>102</v>
      </c>
      <c r="O316" t="s">
        <v>547</v>
      </c>
      <c r="P316">
        <v>23291810</v>
      </c>
      <c r="Q316" t="s">
        <v>389</v>
      </c>
      <c r="R316" t="s">
        <v>390</v>
      </c>
      <c r="S316">
        <v>76.647000000000006</v>
      </c>
      <c r="T316">
        <v>950</v>
      </c>
      <c r="U316">
        <v>5999927.1600000001</v>
      </c>
      <c r="V316" t="str">
        <f t="shared" si="75"/>
        <v>Accepted</v>
      </c>
      <c r="W316">
        <f>IFERROR(VLOOKUP(N316, Payment_Terms!A:B, 2, FALSE), "Payment term not found!")</f>
        <v>60</v>
      </c>
      <c r="X316" t="str">
        <f>IFERROR(VLOOKUP(R316, Item_Category!A:B, 2, FALSE), "Uncategorized")</f>
        <v>Wood pulp</v>
      </c>
      <c r="Y316" s="5">
        <f t="shared" si="92"/>
        <v>1.7346153846153775E-2</v>
      </c>
      <c r="Z316">
        <f t="shared" si="80"/>
        <v>4</v>
      </c>
      <c r="AA316">
        <f t="shared" si="81"/>
        <v>59</v>
      </c>
      <c r="AB316">
        <f t="shared" si="82"/>
        <v>1</v>
      </c>
      <c r="AC316" s="10">
        <f t="shared" si="83"/>
        <v>119</v>
      </c>
      <c r="AD316" s="5">
        <f t="shared" si="76"/>
        <v>1</v>
      </c>
      <c r="AE316" s="5">
        <f t="shared" si="77"/>
        <v>1</v>
      </c>
      <c r="AF316" s="5">
        <f t="shared" si="84"/>
        <v>0</v>
      </c>
      <c r="AG316">
        <f>IF(B316&lt;&gt;"", COUNTIFS($B$2:B316, B316), "")</f>
        <v>10</v>
      </c>
      <c r="AH316">
        <f t="shared" si="85"/>
        <v>5</v>
      </c>
      <c r="AI316" t="str">
        <f>VLOOKUP(B316, Currency!A:B, 2, FALSE)</f>
        <v>USD</v>
      </c>
      <c r="AJ316">
        <f t="shared" si="78"/>
        <v>4</v>
      </c>
      <c r="AK316">
        <f t="shared" si="86"/>
        <v>6</v>
      </c>
      <c r="AL316" t="str">
        <f t="shared" si="87"/>
        <v>June</v>
      </c>
      <c r="AM316">
        <f t="shared" si="88"/>
        <v>2023</v>
      </c>
      <c r="AN316" t="str">
        <f t="shared" si="79"/>
        <v>60G P Cellulose GMBH</v>
      </c>
      <c r="AO316">
        <f>IF(COUNTIF($AN$2:AN316, AN316)=1, 1, 0)</f>
        <v>0</v>
      </c>
      <c r="AP316" t="str">
        <f t="shared" si="89"/>
        <v>&gt;3</v>
      </c>
      <c r="AQ316" t="str">
        <f t="shared" si="90"/>
        <v>&gt;3</v>
      </c>
      <c r="AR316" t="str">
        <f t="shared" si="91"/>
        <v>&lt;=3</v>
      </c>
    </row>
    <row r="317" spans="1:44" x14ac:dyDescent="0.3">
      <c r="A317" t="s">
        <v>33</v>
      </c>
      <c r="B317" t="s">
        <v>122</v>
      </c>
      <c r="C317" t="s">
        <v>324</v>
      </c>
      <c r="D317">
        <v>2545</v>
      </c>
      <c r="E317">
        <v>23210316</v>
      </c>
      <c r="F317" t="s">
        <v>362</v>
      </c>
      <c r="G317" t="s">
        <v>363</v>
      </c>
      <c r="H317">
        <v>400</v>
      </c>
      <c r="I317">
        <v>1900</v>
      </c>
      <c r="J317">
        <v>760000</v>
      </c>
      <c r="K317" t="str">
        <f>IFERROR(IF(B317&lt;&gt;"", TEXT(VLOOKUP(B317, 'Expected Date'!A:B, 2, FALSE) + DATE(RIGHT(C317,2),MID(C317,4,2),LEFT(C317,2)), "dd/mm/yy"), ""), "")</f>
        <v>05/07/23</v>
      </c>
      <c r="L317" t="s">
        <v>38</v>
      </c>
      <c r="M317" t="s">
        <v>39</v>
      </c>
      <c r="N317" t="s">
        <v>364</v>
      </c>
      <c r="O317" t="s">
        <v>59</v>
      </c>
      <c r="P317">
        <v>23291022</v>
      </c>
      <c r="Q317" t="s">
        <v>362</v>
      </c>
      <c r="R317" t="s">
        <v>363</v>
      </c>
      <c r="S317">
        <v>80</v>
      </c>
      <c r="T317">
        <v>1900</v>
      </c>
      <c r="U317">
        <v>152000</v>
      </c>
      <c r="V317" t="str">
        <f t="shared" si="75"/>
        <v>Accepted</v>
      </c>
      <c r="W317">
        <f>IFERROR(VLOOKUP(N317, Payment_Terms!A:B, 2, FALSE), "Payment term not found!")</f>
        <v>30</v>
      </c>
      <c r="X317" t="str">
        <f>IFERROR(VLOOKUP(R317, Item_Category!A:B, 2, FALSE), "Uncategorized")</f>
        <v>Pallets</v>
      </c>
      <c r="Y317" s="5">
        <f t="shared" si="92"/>
        <v>0</v>
      </c>
      <c r="Z317">
        <f t="shared" si="80"/>
        <v>5</v>
      </c>
      <c r="AA317">
        <f t="shared" si="81"/>
        <v>31</v>
      </c>
      <c r="AB317">
        <f t="shared" si="82"/>
        <v>1</v>
      </c>
      <c r="AC317" s="10">
        <f t="shared" si="83"/>
        <v>46</v>
      </c>
      <c r="AD317" s="5">
        <f t="shared" si="76"/>
        <v>1</v>
      </c>
      <c r="AE317" s="5">
        <f t="shared" si="77"/>
        <v>1</v>
      </c>
      <c r="AF317" s="5">
        <f t="shared" si="84"/>
        <v>0</v>
      </c>
      <c r="AG317">
        <f>IF(B317&lt;&gt;"", COUNTIFS($B$2:B317, B317), "")</f>
        <v>31</v>
      </c>
      <c r="AH317">
        <f t="shared" si="85"/>
        <v>5</v>
      </c>
      <c r="AI317" t="str">
        <f>VLOOKUP(B317, Currency!A:B, 2, FALSE)</f>
        <v>INR</v>
      </c>
      <c r="AJ317">
        <f t="shared" si="78"/>
        <v>4</v>
      </c>
      <c r="AK317">
        <f t="shared" si="86"/>
        <v>6</v>
      </c>
      <c r="AL317" t="str">
        <f t="shared" si="87"/>
        <v>June</v>
      </c>
      <c r="AM317">
        <f t="shared" si="88"/>
        <v>2023</v>
      </c>
      <c r="AN317" t="str">
        <f t="shared" si="79"/>
        <v>30Plastocon Industries Pvt Ltd</v>
      </c>
      <c r="AO317">
        <f>IF(COUNTIF($AN$2:AN317, AN317)=1, 1, 0)</f>
        <v>0</v>
      </c>
      <c r="AP317" t="str">
        <f t="shared" si="89"/>
        <v>&gt;3</v>
      </c>
      <c r="AQ317" t="str">
        <f t="shared" si="90"/>
        <v>&gt;3</v>
      </c>
      <c r="AR317" t="str">
        <f t="shared" si="91"/>
        <v>&lt;=3</v>
      </c>
    </row>
    <row r="318" spans="1:44" x14ac:dyDescent="0.3">
      <c r="A318" t="s">
        <v>33</v>
      </c>
      <c r="B318" t="s">
        <v>122</v>
      </c>
      <c r="C318" t="s">
        <v>281</v>
      </c>
      <c r="D318">
        <v>4184</v>
      </c>
      <c r="E318">
        <v>23210616</v>
      </c>
      <c r="F318" t="s">
        <v>405</v>
      </c>
      <c r="G318" t="s">
        <v>406</v>
      </c>
      <c r="H318">
        <v>600</v>
      </c>
      <c r="I318">
        <v>930</v>
      </c>
      <c r="J318">
        <v>558000</v>
      </c>
      <c r="K318" t="str">
        <f>IFERROR(IF(B318&lt;&gt;"", TEXT(VLOOKUP(B318, 'Expected Date'!A:B, 2, FALSE) + DATE(RIGHT(C318,2),MID(C318,4,2),LEFT(C318,2)), "dd/mm/yy"), ""), "")</f>
        <v>20/09/23</v>
      </c>
      <c r="L318" t="s">
        <v>38</v>
      </c>
      <c r="M318" t="s">
        <v>39</v>
      </c>
      <c r="N318" t="s">
        <v>364</v>
      </c>
      <c r="O318" t="s">
        <v>229</v>
      </c>
      <c r="P318">
        <v>23291564</v>
      </c>
      <c r="Q318" t="s">
        <v>405</v>
      </c>
      <c r="R318" t="s">
        <v>406</v>
      </c>
      <c r="S318">
        <v>110</v>
      </c>
      <c r="T318">
        <v>930</v>
      </c>
      <c r="U318">
        <v>102300</v>
      </c>
      <c r="V318" t="str">
        <f t="shared" si="75"/>
        <v>Accepted</v>
      </c>
      <c r="W318">
        <f>IFERROR(VLOOKUP(N318, Payment_Terms!A:B, 2, FALSE), "Payment term not found!")</f>
        <v>30</v>
      </c>
      <c r="X318" t="str">
        <f>IFERROR(VLOOKUP(R318, Item_Category!A:B, 2, FALSE), "Uncategorized")</f>
        <v>Pallets</v>
      </c>
      <c r="Y318" s="5">
        <f t="shared" si="92"/>
        <v>0</v>
      </c>
      <c r="Z318">
        <f t="shared" si="80"/>
        <v>5</v>
      </c>
      <c r="AA318">
        <f t="shared" si="81"/>
        <v>10</v>
      </c>
      <c r="AB318">
        <f t="shared" si="82"/>
        <v>2</v>
      </c>
      <c r="AC318" s="10">
        <f t="shared" si="83"/>
        <v>25</v>
      </c>
      <c r="AD318" s="5">
        <f t="shared" si="76"/>
        <v>1</v>
      </c>
      <c r="AE318" s="5">
        <f t="shared" si="77"/>
        <v>1</v>
      </c>
      <c r="AF318" s="5">
        <f t="shared" si="84"/>
        <v>0</v>
      </c>
      <c r="AG318">
        <f>IF(B318&lt;&gt;"", COUNTIFS($B$2:B318, B318), "")</f>
        <v>32</v>
      </c>
      <c r="AH318">
        <f t="shared" si="85"/>
        <v>5</v>
      </c>
      <c r="AI318" t="str">
        <f>VLOOKUP(B318, Currency!A:B, 2, FALSE)</f>
        <v>INR</v>
      </c>
      <c r="AJ318">
        <f t="shared" si="78"/>
        <v>5</v>
      </c>
      <c r="AK318">
        <f t="shared" si="86"/>
        <v>9</v>
      </c>
      <c r="AL318" t="str">
        <f t="shared" si="87"/>
        <v>September</v>
      </c>
      <c r="AM318">
        <f t="shared" si="88"/>
        <v>2023</v>
      </c>
      <c r="AN318" t="str">
        <f t="shared" si="79"/>
        <v>30Plastocon Industries Pvt Ltd</v>
      </c>
      <c r="AO318">
        <f>IF(COUNTIF($AN$2:AN318, AN318)=1, 1, 0)</f>
        <v>0</v>
      </c>
      <c r="AP318" t="str">
        <f t="shared" si="89"/>
        <v>&gt;3</v>
      </c>
      <c r="AQ318" t="str">
        <f t="shared" si="90"/>
        <v>&gt;3</v>
      </c>
      <c r="AR318" t="str">
        <f t="shared" si="91"/>
        <v>&lt;=3</v>
      </c>
    </row>
    <row r="319" spans="1:44" x14ac:dyDescent="0.3">
      <c r="A319" t="s">
        <v>33</v>
      </c>
      <c r="B319" t="s">
        <v>122</v>
      </c>
      <c r="C319" t="s">
        <v>519</v>
      </c>
      <c r="D319">
        <v>4691</v>
      </c>
      <c r="E319">
        <v>23210710</v>
      </c>
      <c r="F319" t="s">
        <v>362</v>
      </c>
      <c r="G319" t="s">
        <v>363</v>
      </c>
      <c r="H319">
        <v>400</v>
      </c>
      <c r="I319">
        <v>1900</v>
      </c>
      <c r="J319">
        <v>760000</v>
      </c>
      <c r="K319" t="str">
        <f>IFERROR(IF(B319&lt;&gt;"", TEXT(VLOOKUP(B319, 'Expected Date'!A:B, 2, FALSE) + DATE(RIGHT(C319,2),MID(C319,4,2),LEFT(C319,2)), "dd/mm/yy"), ""), "")</f>
        <v>14/10/23</v>
      </c>
      <c r="L319" t="s">
        <v>38</v>
      </c>
      <c r="M319" t="s">
        <v>39</v>
      </c>
      <c r="N319" t="s">
        <v>364</v>
      </c>
      <c r="O319" t="s">
        <v>547</v>
      </c>
      <c r="P319">
        <v>23291806</v>
      </c>
      <c r="Q319" t="s">
        <v>362</v>
      </c>
      <c r="R319" t="s">
        <v>363</v>
      </c>
      <c r="S319">
        <v>170</v>
      </c>
      <c r="T319">
        <v>1900</v>
      </c>
      <c r="U319">
        <v>323000</v>
      </c>
      <c r="V319" t="str">
        <f t="shared" si="75"/>
        <v>Accepted</v>
      </c>
      <c r="W319">
        <f>IFERROR(VLOOKUP(N319, Payment_Terms!A:B, 2, FALSE), "Payment term not found!")</f>
        <v>30</v>
      </c>
      <c r="X319" t="str">
        <f>IFERROR(VLOOKUP(R319, Item_Category!A:B, 2, FALSE), "Uncategorized")</f>
        <v>Pallets</v>
      </c>
      <c r="Y319" s="5">
        <f t="shared" si="92"/>
        <v>0</v>
      </c>
      <c r="Z319">
        <f t="shared" si="80"/>
        <v>5</v>
      </c>
      <c r="AA319">
        <f t="shared" si="81"/>
        <v>5</v>
      </c>
      <c r="AB319">
        <f t="shared" si="82"/>
        <v>3</v>
      </c>
      <c r="AC319" s="10">
        <f t="shared" si="83"/>
        <v>20</v>
      </c>
      <c r="AD319" s="5">
        <f t="shared" si="76"/>
        <v>1</v>
      </c>
      <c r="AE319" s="5">
        <f t="shared" si="77"/>
        <v>1</v>
      </c>
      <c r="AF319" s="5">
        <f t="shared" si="84"/>
        <v>0</v>
      </c>
      <c r="AG319">
        <f>IF(B319&lt;&gt;"", COUNTIFS($B$2:B319, B319), "")</f>
        <v>33</v>
      </c>
      <c r="AH319">
        <f t="shared" si="85"/>
        <v>5</v>
      </c>
      <c r="AI319" t="str">
        <f>VLOOKUP(B319, Currency!A:B, 2, FALSE)</f>
        <v>INR</v>
      </c>
      <c r="AJ319">
        <f t="shared" si="78"/>
        <v>5</v>
      </c>
      <c r="AK319">
        <f t="shared" si="86"/>
        <v>9</v>
      </c>
      <c r="AL319" t="str">
        <f t="shared" si="87"/>
        <v>September</v>
      </c>
      <c r="AM319">
        <f t="shared" si="88"/>
        <v>2023</v>
      </c>
      <c r="AN319" t="str">
        <f t="shared" si="79"/>
        <v>30Plastocon Industries Pvt Ltd</v>
      </c>
      <c r="AO319">
        <f>IF(COUNTIF($AN$2:AN319, AN319)=1, 1, 0)</f>
        <v>0</v>
      </c>
      <c r="AP319" t="str">
        <f t="shared" si="89"/>
        <v>&gt;3</v>
      </c>
      <c r="AQ319" t="str">
        <f t="shared" si="90"/>
        <v>&gt;3</v>
      </c>
      <c r="AR319" t="str">
        <f t="shared" si="91"/>
        <v>&lt;=3</v>
      </c>
    </row>
    <row r="320" spans="1:44" x14ac:dyDescent="0.3">
      <c r="A320" t="s">
        <v>33</v>
      </c>
      <c r="B320" t="s">
        <v>122</v>
      </c>
      <c r="C320" t="s">
        <v>536</v>
      </c>
      <c r="D320">
        <v>4671</v>
      </c>
      <c r="E320">
        <v>23210707</v>
      </c>
      <c r="F320" t="s">
        <v>405</v>
      </c>
      <c r="G320" t="s">
        <v>406</v>
      </c>
      <c r="H320">
        <v>600</v>
      </c>
      <c r="I320">
        <v>930</v>
      </c>
      <c r="J320">
        <v>558000</v>
      </c>
      <c r="K320" t="str">
        <f>IFERROR(IF(B320&lt;&gt;"", TEXT(VLOOKUP(B320, 'Expected Date'!A:B, 2, FALSE) + DATE(RIGHT(C320,2),MID(C320,4,2),LEFT(C320,2)), "dd/mm/yy"), ""), "")</f>
        <v>12/10/23</v>
      </c>
      <c r="L320" t="s">
        <v>68</v>
      </c>
      <c r="M320" t="s">
        <v>39</v>
      </c>
      <c r="N320" t="s">
        <v>364</v>
      </c>
      <c r="O320" t="s">
        <v>544</v>
      </c>
      <c r="P320">
        <v>23291811</v>
      </c>
      <c r="Q320" t="s">
        <v>405</v>
      </c>
      <c r="R320" t="s">
        <v>406</v>
      </c>
      <c r="S320">
        <v>180</v>
      </c>
      <c r="T320">
        <v>930</v>
      </c>
      <c r="U320">
        <v>167400</v>
      </c>
      <c r="V320" t="str">
        <f t="shared" si="75"/>
        <v>Accepted</v>
      </c>
      <c r="W320">
        <f>IFERROR(VLOOKUP(N320, Payment_Terms!A:B, 2, FALSE), "Payment term not found!")</f>
        <v>30</v>
      </c>
      <c r="X320" t="str">
        <f>IFERROR(VLOOKUP(R320, Item_Category!A:B, 2, FALSE), "Uncategorized")</f>
        <v>Pallets</v>
      </c>
      <c r="Y320" s="5">
        <f t="shared" si="92"/>
        <v>0.28333333333333333</v>
      </c>
      <c r="Z320">
        <f t="shared" si="80"/>
        <v>1</v>
      </c>
      <c r="AA320">
        <f t="shared" si="81"/>
        <v>8</v>
      </c>
      <c r="AB320">
        <f t="shared" si="82"/>
        <v>2</v>
      </c>
      <c r="AC320" s="10">
        <f t="shared" si="83"/>
        <v>23</v>
      </c>
      <c r="AD320" s="5">
        <f t="shared" si="76"/>
        <v>1</v>
      </c>
      <c r="AE320" s="5">
        <f t="shared" si="77"/>
        <v>1</v>
      </c>
      <c r="AF320" s="5">
        <f t="shared" si="84"/>
        <v>0</v>
      </c>
      <c r="AG320">
        <f>IF(B320&lt;&gt;"", COUNTIFS($B$2:B320, B320), "")</f>
        <v>34</v>
      </c>
      <c r="AH320">
        <f t="shared" si="85"/>
        <v>5</v>
      </c>
      <c r="AI320" t="str">
        <f>VLOOKUP(B320, Currency!A:B, 2, FALSE)</f>
        <v>INR</v>
      </c>
      <c r="AJ320">
        <f t="shared" si="78"/>
        <v>3</v>
      </c>
      <c r="AK320">
        <f t="shared" si="86"/>
        <v>9</v>
      </c>
      <c r="AL320" t="str">
        <f t="shared" si="87"/>
        <v>September</v>
      </c>
      <c r="AM320">
        <f t="shared" si="88"/>
        <v>2023</v>
      </c>
      <c r="AN320" t="str">
        <f t="shared" si="79"/>
        <v>30Plastocon Industries Pvt Ltd</v>
      </c>
      <c r="AO320">
        <f>IF(COUNTIF($AN$2:AN320, AN320)=1, 1, 0)</f>
        <v>0</v>
      </c>
      <c r="AP320" t="str">
        <f t="shared" si="89"/>
        <v>&gt;3</v>
      </c>
      <c r="AQ320" t="str">
        <f t="shared" si="90"/>
        <v>&lt;=3</v>
      </c>
      <c r="AR320" t="str">
        <f t="shared" si="91"/>
        <v>&lt;=3</v>
      </c>
    </row>
    <row r="321" spans="1:44" x14ac:dyDescent="0.3">
      <c r="A321" t="s">
        <v>33</v>
      </c>
      <c r="B321" t="s">
        <v>386</v>
      </c>
      <c r="C321" t="s">
        <v>519</v>
      </c>
      <c r="D321">
        <v>4703</v>
      </c>
      <c r="E321">
        <v>23210713</v>
      </c>
      <c r="F321" t="s">
        <v>410</v>
      </c>
      <c r="G321" t="s">
        <v>411</v>
      </c>
      <c r="H321">
        <v>801.89</v>
      </c>
      <c r="I321">
        <v>125</v>
      </c>
      <c r="J321">
        <v>100236.25</v>
      </c>
      <c r="K321" t="str">
        <f>IFERROR(IF(B321&lt;&gt;"", TEXT(VLOOKUP(B321, 'Expected Date'!A:B, 2, FALSE) + DATE(RIGHT(C321,2),MID(C321,4,2),LEFT(C321,2)), "dd/mm/yy"), ""), "")</f>
        <v>04/10/23</v>
      </c>
      <c r="L321" t="s">
        <v>38</v>
      </c>
      <c r="M321" t="s">
        <v>48</v>
      </c>
      <c r="N321" t="s">
        <v>342</v>
      </c>
      <c r="O321" t="s">
        <v>519</v>
      </c>
      <c r="P321">
        <v>23291552</v>
      </c>
      <c r="Q321" t="s">
        <v>410</v>
      </c>
      <c r="R321" t="s">
        <v>411</v>
      </c>
      <c r="S321">
        <v>801.89</v>
      </c>
      <c r="T321">
        <v>125</v>
      </c>
      <c r="U321">
        <v>100236.25</v>
      </c>
      <c r="V321" t="str">
        <f t="shared" si="75"/>
        <v>Accepted</v>
      </c>
      <c r="W321">
        <f>IFERROR(VLOOKUP(N321, Payment_Terms!A:B, 2, FALSE), "Payment term not found!")</f>
        <v>30</v>
      </c>
      <c r="X321" t="str">
        <f>IFERROR(VLOOKUP(R321, Item_Category!A:B, 2, FALSE), "Uncategorized")</f>
        <v>Wrapping 23</v>
      </c>
      <c r="Y321" s="5">
        <f t="shared" si="92"/>
        <v>0</v>
      </c>
      <c r="Z321">
        <f t="shared" si="80"/>
        <v>5</v>
      </c>
      <c r="AA321">
        <f t="shared" si="81"/>
        <v>-5</v>
      </c>
      <c r="AB321">
        <f t="shared" si="82"/>
        <v>5</v>
      </c>
      <c r="AC321" s="10">
        <f t="shared" si="83"/>
        <v>0</v>
      </c>
      <c r="AD321" s="5">
        <f t="shared" si="76"/>
        <v>1</v>
      </c>
      <c r="AE321" s="5">
        <f t="shared" si="77"/>
        <v>1</v>
      </c>
      <c r="AF321" s="5">
        <f t="shared" si="84"/>
        <v>0</v>
      </c>
      <c r="AG321">
        <f>IF(B321&lt;&gt;"", COUNTIFS($B$2:B321, B321), "")</f>
        <v>28</v>
      </c>
      <c r="AH321">
        <f t="shared" si="85"/>
        <v>5</v>
      </c>
      <c r="AI321" t="str">
        <f>VLOOKUP(B321, Currency!A:B, 2, FALSE)</f>
        <v>INR</v>
      </c>
      <c r="AJ321">
        <f t="shared" si="78"/>
        <v>5</v>
      </c>
      <c r="AK321">
        <f t="shared" si="86"/>
        <v>9</v>
      </c>
      <c r="AL321" t="str">
        <f t="shared" si="87"/>
        <v>September</v>
      </c>
      <c r="AM321">
        <f t="shared" si="88"/>
        <v>2023</v>
      </c>
      <c r="AN321" t="str">
        <f t="shared" si="79"/>
        <v>30Shree Shyam Enterprises</v>
      </c>
      <c r="AO321">
        <f>IF(COUNTIF($AN$2:AN321, AN321)=1, 1, 0)</f>
        <v>0</v>
      </c>
      <c r="AP321" t="str">
        <f t="shared" si="89"/>
        <v>&gt;3</v>
      </c>
      <c r="AQ321" t="str">
        <f t="shared" si="90"/>
        <v>&gt;3</v>
      </c>
      <c r="AR321" t="str">
        <f t="shared" si="91"/>
        <v>&gt;3</v>
      </c>
    </row>
    <row r="322" spans="1:44" x14ac:dyDescent="0.3">
      <c r="A322" t="s">
        <v>111</v>
      </c>
      <c r="B322" t="s">
        <v>296</v>
      </c>
      <c r="C322" t="s">
        <v>154</v>
      </c>
      <c r="D322">
        <v>4497</v>
      </c>
      <c r="E322">
        <v>23220059</v>
      </c>
      <c r="F322" t="s">
        <v>445</v>
      </c>
      <c r="G322" t="s">
        <v>446</v>
      </c>
      <c r="H322">
        <v>2000</v>
      </c>
      <c r="I322">
        <v>205</v>
      </c>
      <c r="J322">
        <v>410000</v>
      </c>
      <c r="K322" t="str">
        <f>IFERROR(IF(B322&lt;&gt;"", TEXT(VLOOKUP(B322, 'Expected Date'!A:B, 2, FALSE) + DATE(RIGHT(C322,2),MID(C322,4,2),LEFT(C322,2)), "dd/mm/yy"), ""), "")</f>
        <v>05/10/23</v>
      </c>
      <c r="L322" t="s">
        <v>38</v>
      </c>
      <c r="M322" t="s">
        <v>48</v>
      </c>
      <c r="N322" t="s">
        <v>381</v>
      </c>
      <c r="O322" t="s">
        <v>548</v>
      </c>
      <c r="P322">
        <v>23291558</v>
      </c>
      <c r="Q322" t="s">
        <v>445</v>
      </c>
      <c r="R322" t="s">
        <v>446</v>
      </c>
      <c r="S322">
        <v>2000</v>
      </c>
      <c r="T322">
        <v>205</v>
      </c>
      <c r="U322">
        <v>410000</v>
      </c>
      <c r="V322" t="str">
        <f t="shared" ref="V322:V341" si="93">V321</f>
        <v>Accepted</v>
      </c>
      <c r="W322">
        <f>IFERROR(VLOOKUP(N322, Payment_Terms!A:B, 2, FALSE), "Payment term not found!")</f>
        <v>30</v>
      </c>
      <c r="X322" t="str">
        <f>IFERROR(VLOOKUP(R322, Item_Category!A:B, 2, FALSE), "Uncategorized")</f>
        <v>SSG - Potato</v>
      </c>
      <c r="Y322" s="5">
        <f t="shared" si="92"/>
        <v>0</v>
      </c>
      <c r="Z322">
        <f t="shared" si="80"/>
        <v>5</v>
      </c>
      <c r="AA322">
        <f t="shared" si="81"/>
        <v>-3</v>
      </c>
      <c r="AB322">
        <f t="shared" si="82"/>
        <v>5</v>
      </c>
      <c r="AC322" s="10">
        <f t="shared" si="83"/>
        <v>12</v>
      </c>
      <c r="AD322" s="5">
        <f t="shared" ref="AD322:AD341" si="94">IF(V322="Accepted",1,0)</f>
        <v>1</v>
      </c>
      <c r="AE322" s="5">
        <f t="shared" ref="AE322:AE341" si="95">ROUNDUP((SUMIFS(S:S, B:B, B322, V:V, "Accepted")/SUMIF(B:B,B322,S:S)),2)</f>
        <v>1</v>
      </c>
      <c r="AF322" s="5">
        <f t="shared" si="84"/>
        <v>0</v>
      </c>
      <c r="AG322">
        <f>IF(B322&lt;&gt;"", COUNTIFS($B$2:B322, B322), "")</f>
        <v>11</v>
      </c>
      <c r="AH322">
        <f t="shared" si="85"/>
        <v>5</v>
      </c>
      <c r="AI322" t="str">
        <f>VLOOKUP(B322, Currency!A:B, 2, FALSE)</f>
        <v>INR</v>
      </c>
      <c r="AJ322">
        <f t="shared" ref="AJ322:AJ341" si="96">_xlfn.CEILING.MATH(((0.4*AH322)+(0.3*Z322)+(0.3*AB322)),1)</f>
        <v>5</v>
      </c>
      <c r="AK322">
        <f t="shared" si="86"/>
        <v>9</v>
      </c>
      <c r="AL322" t="str">
        <f t="shared" si="87"/>
        <v>September</v>
      </c>
      <c r="AM322">
        <f t="shared" si="88"/>
        <v>2023</v>
      </c>
      <c r="AN322" t="str">
        <f t="shared" si="79"/>
        <v>30Ascot Pharmachem Pvt Ltd</v>
      </c>
      <c r="AO322">
        <f>IF(COUNTIF($AN$2:AN322, AN322)=1, 1, 0)</f>
        <v>0</v>
      </c>
      <c r="AP322" t="str">
        <f t="shared" si="89"/>
        <v>&gt;3</v>
      </c>
      <c r="AQ322" t="str">
        <f t="shared" si="90"/>
        <v>&gt;3</v>
      </c>
      <c r="AR322" t="str">
        <f t="shared" si="91"/>
        <v>&gt;3</v>
      </c>
    </row>
    <row r="323" spans="1:44" x14ac:dyDescent="0.3">
      <c r="A323" t="s">
        <v>33</v>
      </c>
      <c r="B323" t="str">
        <f>B2</f>
        <v>Ami Enterprises</v>
      </c>
      <c r="C323" t="s">
        <v>320</v>
      </c>
      <c r="D323">
        <v>4705</v>
      </c>
      <c r="E323">
        <v>23210714</v>
      </c>
      <c r="F323" t="s">
        <v>485</v>
      </c>
      <c r="G323" t="s">
        <v>486</v>
      </c>
      <c r="H323">
        <v>810</v>
      </c>
      <c r="I323">
        <v>27.5</v>
      </c>
      <c r="J323">
        <v>22275</v>
      </c>
      <c r="K323" t="str">
        <f>IFERROR(IF(B323&lt;&gt;"", TEXT(VLOOKUP(B323, 'Expected Date'!A:B, 2, FALSE) + DATE(RIGHT(C323,2),MID(C323,4,2),LEFT(C323,2)), "dd/mm/yy"), ""), "")</f>
        <v>08/10/23</v>
      </c>
      <c r="L323" t="s">
        <v>38</v>
      </c>
      <c r="M323" t="s">
        <v>39</v>
      </c>
      <c r="N323" t="s">
        <v>342</v>
      </c>
      <c r="O323" t="s">
        <v>519</v>
      </c>
      <c r="P323">
        <v>23291553</v>
      </c>
      <c r="Q323" t="s">
        <v>485</v>
      </c>
      <c r="R323" t="s">
        <v>486</v>
      </c>
      <c r="S323">
        <v>810</v>
      </c>
      <c r="T323">
        <v>27.5</v>
      </c>
      <c r="U323">
        <v>22275</v>
      </c>
      <c r="V323" t="str">
        <f t="shared" si="93"/>
        <v>Accepted</v>
      </c>
      <c r="W323">
        <f>IFERROR(VLOOKUP(N323, Payment_Terms!A:B, 2, FALSE), "Payment term not found!")</f>
        <v>30</v>
      </c>
      <c r="X323" t="str">
        <f>IFERROR(VLOOKUP(R323, Item_Category!A:B, 2, FALSE), "Uncategorized")</f>
        <v>Liner</v>
      </c>
      <c r="Y323" s="5">
        <f t="shared" si="92"/>
        <v>0</v>
      </c>
      <c r="Z323">
        <f t="shared" ref="Z323:Z341" si="97">IF(Y323&lt;=0%,5,(IF(AND(Y323&gt;0%,Y323&lt;=2%),4,IF(AND(Y323&gt;2%,Y323&lt;=5%),3,IF(AND(Y323&gt;5%,Y323&lt;10%),2,1)))))</f>
        <v>5</v>
      </c>
      <c r="AA323">
        <f t="shared" ref="AA323:AA341" si="98">DATE(RIGHT(O323,2),MID(O323,4,2),LEFT(O323,2)) - DATE(RIGHT(K323,2),MID(K323,4,2),LEFT(K323,2))</f>
        <v>-9</v>
      </c>
      <c r="AB323">
        <f t="shared" ref="AB323:AB341" si="99">IF(AA323 &lt;= 2, 5, IF(AA323 &lt;= 4, 4, IF(AA323 &lt;= 7, 3, IF(AA323&lt;=10,2,1))))</f>
        <v>5</v>
      </c>
      <c r="AC323" s="10">
        <f t="shared" ref="AC323:AC341" si="100">ABS(DATE(RIGHT(O323,2),MID(O323,4,2),LEFT(O323,2)) - DATE(RIGHT(C323,2),MID(C323,4,2),LEFT(C323,2)))</f>
        <v>1</v>
      </c>
      <c r="AD323" s="5">
        <f t="shared" si="94"/>
        <v>1</v>
      </c>
      <c r="AE323" s="5">
        <f t="shared" si="95"/>
        <v>1</v>
      </c>
      <c r="AF323" s="5">
        <f t="shared" ref="AF323:AF341" si="101">ROUNDUP(ABS(100%-AE323),2)</f>
        <v>0</v>
      </c>
      <c r="AG323">
        <f>IF(B323&lt;&gt;"", COUNTIFS($B$2:B323, B323), "")</f>
        <v>25</v>
      </c>
      <c r="AH323">
        <f t="shared" ref="AH323:AH341" si="102">IF(AF323=0%,5,IF(AND(AF323&gt;0%,AF323&lt;=2%),4,IF(AND(AF323&gt;2%,AF323&lt;=5%),3,IF(AND(AF323&gt;5%,AF323&lt;10%),2,1))))</f>
        <v>5</v>
      </c>
      <c r="AI323" t="str">
        <f>VLOOKUP(B323, Currency!A:B, 2, FALSE)</f>
        <v>INR</v>
      </c>
      <c r="AJ323">
        <f t="shared" si="96"/>
        <v>5</v>
      </c>
      <c r="AK323">
        <f t="shared" ref="AK323:AK341" si="103">MONTH(DATE(RIGHT(C323,2),MID(C323,4,2),LEFT(C323,2)))</f>
        <v>9</v>
      </c>
      <c r="AL323" t="str">
        <f t="shared" ref="AL323:AL341" si="104">TEXT(DATE(RIGHT(C323,2),MID(C323,4,2),LEFT(C323,2)),"mmmm")</f>
        <v>September</v>
      </c>
      <c r="AM323">
        <f t="shared" ref="AM323:AM341" si="105">YEAR(DATE(VALUE(MID(C323,7,2))+2000, MID(C323,4,2), MID(C323,1,2)))</f>
        <v>2023</v>
      </c>
      <c r="AN323" t="str">
        <f t="shared" ref="AN323:AN341" si="106">W323&amp;B323</f>
        <v>30Ami Enterprises</v>
      </c>
      <c r="AO323">
        <f>IF(COUNTIF($AN$2:AN323, AN323)=1, 1, 0)</f>
        <v>0</v>
      </c>
      <c r="AP323" t="str">
        <f t="shared" ref="AP323:AP341" si="107">IF(AH323&lt;=3,"&lt;=3","&gt;3")</f>
        <v>&gt;3</v>
      </c>
      <c r="AQ323" t="str">
        <f t="shared" ref="AQ323:AQ341" si="108">IF(Z323&lt;=3,"&lt;=3","&gt;3")</f>
        <v>&gt;3</v>
      </c>
      <c r="AR323" t="str">
        <f t="shared" ref="AR323:AR341" si="109">IF(AB323&lt;=3,"&lt;=3","&gt;3")</f>
        <v>&gt;3</v>
      </c>
    </row>
    <row r="324" spans="1:44" x14ac:dyDescent="0.3">
      <c r="A324" t="s">
        <v>33</v>
      </c>
      <c r="B324" t="s">
        <v>358</v>
      </c>
      <c r="C324" t="s">
        <v>229</v>
      </c>
      <c r="D324">
        <v>4730</v>
      </c>
      <c r="E324">
        <v>23220070</v>
      </c>
      <c r="F324" t="s">
        <v>443</v>
      </c>
      <c r="G324" t="s">
        <v>99</v>
      </c>
      <c r="H324">
        <v>40</v>
      </c>
      <c r="I324">
        <v>72090</v>
      </c>
      <c r="J324">
        <v>2883600</v>
      </c>
      <c r="K324" t="str">
        <f>IFERROR(IF(B324&lt;&gt;"", TEXT(VLOOKUP(B324, 'Expected Date'!A:B, 2, FALSE) + DATE(RIGHT(C324,2),MID(C324,4,2),LEFT(C324,2)), "dd/mm/yy"), ""), "")</f>
        <v>02/10/23</v>
      </c>
      <c r="L324" t="s">
        <v>38</v>
      </c>
      <c r="M324" t="s">
        <v>48</v>
      </c>
      <c r="N324" t="s">
        <v>361</v>
      </c>
      <c r="O324" t="s">
        <v>516</v>
      </c>
      <c r="P324">
        <v>23291561</v>
      </c>
      <c r="Q324" t="s">
        <v>443</v>
      </c>
      <c r="R324" t="s">
        <v>444</v>
      </c>
      <c r="S324">
        <v>20.268000000000001</v>
      </c>
      <c r="T324">
        <v>72090</v>
      </c>
      <c r="U324">
        <v>1461120.12</v>
      </c>
      <c r="V324" t="str">
        <f t="shared" si="93"/>
        <v>Accepted</v>
      </c>
      <c r="W324">
        <f>IFERROR(VLOOKUP(N324, Payment_Terms!A:B, 2, FALSE), "Payment term not found!")</f>
        <v>0</v>
      </c>
      <c r="X324" t="str">
        <f>IFERROR(VLOOKUP(R324, Item_Category!A:B, 2, FALSE), "Uncategorized")</f>
        <v>Wood pulp</v>
      </c>
      <c r="Y324" s="5">
        <f t="shared" si="92"/>
        <v>0</v>
      </c>
      <c r="Z324">
        <f t="shared" si="97"/>
        <v>5</v>
      </c>
      <c r="AA324">
        <f t="shared" si="98"/>
        <v>-1</v>
      </c>
      <c r="AB324">
        <f t="shared" si="99"/>
        <v>5</v>
      </c>
      <c r="AC324" s="10">
        <f t="shared" si="100"/>
        <v>1</v>
      </c>
      <c r="AD324" s="5">
        <f t="shared" si="94"/>
        <v>1</v>
      </c>
      <c r="AE324" s="5">
        <f t="shared" si="95"/>
        <v>1</v>
      </c>
      <c r="AF324" s="5">
        <f t="shared" si="101"/>
        <v>0</v>
      </c>
      <c r="AG324">
        <f>IF(B324&lt;&gt;"", COUNTIFS($B$2:B324, B324), "")</f>
        <v>4</v>
      </c>
      <c r="AH324">
        <f t="shared" si="102"/>
        <v>5</v>
      </c>
      <c r="AI324" t="str">
        <f>VLOOKUP(B324, Currency!A:B, 2, FALSE)</f>
        <v>INR</v>
      </c>
      <c r="AJ324">
        <f t="shared" si="96"/>
        <v>5</v>
      </c>
      <c r="AK324">
        <f t="shared" si="103"/>
        <v>9</v>
      </c>
      <c r="AL324" t="str">
        <f t="shared" si="104"/>
        <v>September</v>
      </c>
      <c r="AM324">
        <f t="shared" si="105"/>
        <v>2023</v>
      </c>
      <c r="AN324" t="str">
        <f t="shared" si="106"/>
        <v>0Sigachi Industries Limited</v>
      </c>
      <c r="AO324">
        <f>IF(COUNTIF($AN$2:AN324, AN324)=1, 1, 0)</f>
        <v>0</v>
      </c>
      <c r="AP324" t="str">
        <f t="shared" si="107"/>
        <v>&gt;3</v>
      </c>
      <c r="AQ324" t="str">
        <f t="shared" si="108"/>
        <v>&gt;3</v>
      </c>
      <c r="AR324" t="str">
        <f t="shared" si="109"/>
        <v>&gt;3</v>
      </c>
    </row>
    <row r="325" spans="1:44" x14ac:dyDescent="0.3">
      <c r="A325" t="s">
        <v>33</v>
      </c>
      <c r="B325" t="s">
        <v>122</v>
      </c>
      <c r="C325" t="s">
        <v>536</v>
      </c>
      <c r="D325">
        <v>4671</v>
      </c>
      <c r="E325">
        <v>23210707</v>
      </c>
      <c r="F325" t="s">
        <v>405</v>
      </c>
      <c r="G325" t="s">
        <v>406</v>
      </c>
      <c r="H325">
        <v>600</v>
      </c>
      <c r="I325">
        <v>930</v>
      </c>
      <c r="J325">
        <v>558000</v>
      </c>
      <c r="K325" t="str">
        <f>IFERROR(IF(B325&lt;&gt;"", TEXT(VLOOKUP(B325, 'Expected Date'!A:B, 2, FALSE) + DATE(RIGHT(C325,2),MID(C325,4,2),LEFT(C325,2)), "dd/mm/yy"), ""), "")</f>
        <v>12/10/23</v>
      </c>
      <c r="L325" t="s">
        <v>68</v>
      </c>
      <c r="M325" t="s">
        <v>39</v>
      </c>
      <c r="N325" t="s">
        <v>364</v>
      </c>
      <c r="O325" t="s">
        <v>229</v>
      </c>
      <c r="P325">
        <v>23291564</v>
      </c>
      <c r="Q325" t="s">
        <v>405</v>
      </c>
      <c r="R325" t="s">
        <v>406</v>
      </c>
      <c r="S325">
        <v>70</v>
      </c>
      <c r="T325">
        <v>930</v>
      </c>
      <c r="U325">
        <v>65100</v>
      </c>
      <c r="V325" t="str">
        <f t="shared" si="93"/>
        <v>Accepted</v>
      </c>
      <c r="W325">
        <f>IFERROR(VLOOKUP(N325, Payment_Terms!A:B, 2, FALSE), "Payment term not found!")</f>
        <v>30</v>
      </c>
      <c r="X325" t="str">
        <f>IFERROR(VLOOKUP(R325, Item_Category!A:B, 2, FALSE), "Uncategorized")</f>
        <v>Pallets</v>
      </c>
      <c r="Y325" s="5">
        <f t="shared" si="92"/>
        <v>0.28333333333333333</v>
      </c>
      <c r="Z325">
        <f t="shared" si="97"/>
        <v>1</v>
      </c>
      <c r="AA325">
        <f t="shared" si="98"/>
        <v>-12</v>
      </c>
      <c r="AB325">
        <f t="shared" si="99"/>
        <v>5</v>
      </c>
      <c r="AC325" s="10">
        <f t="shared" si="100"/>
        <v>3</v>
      </c>
      <c r="AD325" s="5">
        <f t="shared" si="94"/>
        <v>1</v>
      </c>
      <c r="AE325" s="5">
        <f t="shared" si="95"/>
        <v>1</v>
      </c>
      <c r="AF325" s="5">
        <f t="shared" si="101"/>
        <v>0</v>
      </c>
      <c r="AG325">
        <f>IF(B325&lt;&gt;"", COUNTIFS($B$2:B325, B325), "")</f>
        <v>35</v>
      </c>
      <c r="AH325">
        <f t="shared" si="102"/>
        <v>5</v>
      </c>
      <c r="AI325" t="str">
        <f>VLOOKUP(B325, Currency!A:B, 2, FALSE)</f>
        <v>INR</v>
      </c>
      <c r="AJ325">
        <f t="shared" si="96"/>
        <v>4</v>
      </c>
      <c r="AK325">
        <f t="shared" si="103"/>
        <v>9</v>
      </c>
      <c r="AL325" t="str">
        <f t="shared" si="104"/>
        <v>September</v>
      </c>
      <c r="AM325">
        <f t="shared" si="105"/>
        <v>2023</v>
      </c>
      <c r="AN325" t="str">
        <f t="shared" si="106"/>
        <v>30Plastocon Industries Pvt Ltd</v>
      </c>
      <c r="AO325">
        <f>IF(COUNTIF($AN$2:AN325, AN325)=1, 1, 0)</f>
        <v>0</v>
      </c>
      <c r="AP325" t="str">
        <f t="shared" si="107"/>
        <v>&gt;3</v>
      </c>
      <c r="AQ325" t="str">
        <f t="shared" si="108"/>
        <v>&lt;=3</v>
      </c>
      <c r="AR325" t="str">
        <f t="shared" si="109"/>
        <v>&gt;3</v>
      </c>
    </row>
    <row r="326" spans="1:44" x14ac:dyDescent="0.3">
      <c r="A326" t="s">
        <v>33</v>
      </c>
      <c r="B326" t="s">
        <v>353</v>
      </c>
      <c r="C326" t="s">
        <v>536</v>
      </c>
      <c r="D326">
        <v>4651</v>
      </c>
      <c r="E326">
        <v>23210702</v>
      </c>
      <c r="F326" t="s">
        <v>355</v>
      </c>
      <c r="G326" t="s">
        <v>356</v>
      </c>
      <c r="H326">
        <v>40000</v>
      </c>
      <c r="I326">
        <v>1.1000000000000001</v>
      </c>
      <c r="J326">
        <v>44000</v>
      </c>
      <c r="K326" t="str">
        <f>IFERROR(IF(B326&lt;&gt;"", TEXT(VLOOKUP(B326, 'Expected Date'!A:B, 2, FALSE) + DATE(RIGHT(C326,2),MID(C326,4,2),LEFT(C326,2)), "dd/mm/yy"), ""), "")</f>
        <v>29/09/23</v>
      </c>
      <c r="L326" t="s">
        <v>38</v>
      </c>
      <c r="M326" t="s">
        <v>39</v>
      </c>
      <c r="N326" t="s">
        <v>342</v>
      </c>
      <c r="O326" t="s">
        <v>519</v>
      </c>
      <c r="P326">
        <v>23291565</v>
      </c>
      <c r="Q326" t="s">
        <v>355</v>
      </c>
      <c r="R326" t="s">
        <v>356</v>
      </c>
      <c r="S326">
        <v>16000</v>
      </c>
      <c r="T326">
        <v>1.1000000000000001</v>
      </c>
      <c r="U326">
        <v>17600</v>
      </c>
      <c r="V326" t="str">
        <f t="shared" si="93"/>
        <v>Accepted</v>
      </c>
      <c r="W326">
        <f>IFERROR(VLOOKUP(N326, Payment_Terms!A:B, 2, FALSE), "Payment term not found!")</f>
        <v>30</v>
      </c>
      <c r="X326" t="str">
        <f>IFERROR(VLOOKUP(R326, Item_Category!A:B, 2, FALSE), "Uncategorized")</f>
        <v>Sticker</v>
      </c>
      <c r="Y326" s="5">
        <f t="shared" si="92"/>
        <v>0</v>
      </c>
      <c r="Z326">
        <f t="shared" si="97"/>
        <v>5</v>
      </c>
      <c r="AA326">
        <f t="shared" si="98"/>
        <v>0</v>
      </c>
      <c r="AB326">
        <f t="shared" si="99"/>
        <v>5</v>
      </c>
      <c r="AC326" s="10">
        <f t="shared" si="100"/>
        <v>2</v>
      </c>
      <c r="AD326" s="5">
        <f t="shared" si="94"/>
        <v>1</v>
      </c>
      <c r="AE326" s="5">
        <f t="shared" si="95"/>
        <v>1</v>
      </c>
      <c r="AF326" s="5">
        <f t="shared" si="101"/>
        <v>0</v>
      </c>
      <c r="AG326">
        <f>IF(B326&lt;&gt;"", COUNTIFS($B$2:B326, B326), "")</f>
        <v>6</v>
      </c>
      <c r="AH326">
        <f t="shared" si="102"/>
        <v>5</v>
      </c>
      <c r="AI326" t="str">
        <f>VLOOKUP(B326, Currency!A:B, 2, FALSE)</f>
        <v>INR</v>
      </c>
      <c r="AJ326">
        <f t="shared" si="96"/>
        <v>5</v>
      </c>
      <c r="AK326">
        <f t="shared" si="103"/>
        <v>9</v>
      </c>
      <c r="AL326" t="str">
        <f t="shared" si="104"/>
        <v>September</v>
      </c>
      <c r="AM326">
        <f t="shared" si="105"/>
        <v>2023</v>
      </c>
      <c r="AN326" t="str">
        <f t="shared" si="106"/>
        <v>30Akar Multi Form</v>
      </c>
      <c r="AO326">
        <f>IF(COUNTIF($AN$2:AN326, AN326)=1, 1, 0)</f>
        <v>0</v>
      </c>
      <c r="AP326" t="str">
        <f t="shared" si="107"/>
        <v>&gt;3</v>
      </c>
      <c r="AQ326" t="str">
        <f t="shared" si="108"/>
        <v>&gt;3</v>
      </c>
      <c r="AR326" t="str">
        <f t="shared" si="109"/>
        <v>&gt;3</v>
      </c>
    </row>
    <row r="327" spans="1:44" x14ac:dyDescent="0.3">
      <c r="A327" t="s">
        <v>33</v>
      </c>
      <c r="B327" t="s">
        <v>353</v>
      </c>
      <c r="C327" t="s">
        <v>536</v>
      </c>
      <c r="D327">
        <v>4651</v>
      </c>
      <c r="E327">
        <v>23210702</v>
      </c>
      <c r="F327" t="s">
        <v>355</v>
      </c>
      <c r="G327" t="s">
        <v>356</v>
      </c>
      <c r="H327">
        <v>40000</v>
      </c>
      <c r="I327">
        <v>1.1000000000000001</v>
      </c>
      <c r="J327">
        <v>44000</v>
      </c>
      <c r="K327" t="str">
        <f>IFERROR(IF(B327&lt;&gt;"", TEXT(VLOOKUP(B327, 'Expected Date'!A:B, 2, FALSE) + DATE(RIGHT(C327,2),MID(C327,4,2),LEFT(C327,2)), "dd/mm/yy"), ""), "")</f>
        <v>29/09/23</v>
      </c>
      <c r="L327" t="s">
        <v>38</v>
      </c>
      <c r="M327" t="s">
        <v>39</v>
      </c>
      <c r="N327" t="s">
        <v>342</v>
      </c>
      <c r="O327" t="s">
        <v>549</v>
      </c>
      <c r="P327">
        <v>23291833</v>
      </c>
      <c r="Q327" t="s">
        <v>355</v>
      </c>
      <c r="R327" t="s">
        <v>356</v>
      </c>
      <c r="S327">
        <v>24000</v>
      </c>
      <c r="T327">
        <v>1.1000000000000001</v>
      </c>
      <c r="U327">
        <v>26400</v>
      </c>
      <c r="V327" t="str">
        <f t="shared" si="93"/>
        <v>Accepted</v>
      </c>
      <c r="W327">
        <f>IFERROR(VLOOKUP(N327, Payment_Terms!A:B, 2, FALSE), "Payment term not found!")</f>
        <v>30</v>
      </c>
      <c r="X327" t="str">
        <f>IFERROR(VLOOKUP(R327, Item_Category!A:B, 2, FALSE), "Uncategorized")</f>
        <v>Sticker</v>
      </c>
      <c r="Y327" s="5">
        <f t="shared" si="92"/>
        <v>0</v>
      </c>
      <c r="Z327">
        <f t="shared" si="97"/>
        <v>5</v>
      </c>
      <c r="AA327">
        <f t="shared" si="98"/>
        <v>22</v>
      </c>
      <c r="AB327">
        <f t="shared" si="99"/>
        <v>1</v>
      </c>
      <c r="AC327" s="10">
        <f t="shared" si="100"/>
        <v>24</v>
      </c>
      <c r="AD327" s="5">
        <f t="shared" si="94"/>
        <v>1</v>
      </c>
      <c r="AE327" s="5">
        <f t="shared" si="95"/>
        <v>1</v>
      </c>
      <c r="AF327" s="5">
        <f t="shared" si="101"/>
        <v>0</v>
      </c>
      <c r="AG327">
        <f>IF(B327&lt;&gt;"", COUNTIFS($B$2:B327, B327), "")</f>
        <v>7</v>
      </c>
      <c r="AH327">
        <f t="shared" si="102"/>
        <v>5</v>
      </c>
      <c r="AI327" t="str">
        <f>VLOOKUP(B327, Currency!A:B, 2, FALSE)</f>
        <v>INR</v>
      </c>
      <c r="AJ327">
        <f t="shared" si="96"/>
        <v>4</v>
      </c>
      <c r="AK327">
        <f t="shared" si="103"/>
        <v>9</v>
      </c>
      <c r="AL327" t="str">
        <f t="shared" si="104"/>
        <v>September</v>
      </c>
      <c r="AM327">
        <f t="shared" si="105"/>
        <v>2023</v>
      </c>
      <c r="AN327" t="str">
        <f t="shared" si="106"/>
        <v>30Akar Multi Form</v>
      </c>
      <c r="AO327">
        <f>IF(COUNTIF($AN$2:AN327, AN327)=1, 1, 0)</f>
        <v>0</v>
      </c>
      <c r="AP327" t="str">
        <f t="shared" si="107"/>
        <v>&gt;3</v>
      </c>
      <c r="AQ327" t="str">
        <f t="shared" si="108"/>
        <v>&gt;3</v>
      </c>
      <c r="AR327" t="str">
        <f t="shared" si="109"/>
        <v>&lt;=3</v>
      </c>
    </row>
    <row r="328" spans="1:44" x14ac:dyDescent="0.3">
      <c r="A328" t="s">
        <v>33</v>
      </c>
      <c r="B328" t="s">
        <v>366</v>
      </c>
      <c r="C328" t="s">
        <v>432</v>
      </c>
      <c r="D328">
        <v>2140</v>
      </c>
      <c r="E328">
        <v>23210187</v>
      </c>
      <c r="F328" t="s">
        <v>368</v>
      </c>
      <c r="G328" t="s">
        <v>369</v>
      </c>
      <c r="H328">
        <v>100000</v>
      </c>
      <c r="I328">
        <v>9.1</v>
      </c>
      <c r="J328">
        <v>910000</v>
      </c>
      <c r="K328" t="str">
        <f>IFERROR(IF(B328&lt;&gt;"", TEXT(VLOOKUP(B328, 'Expected Date'!A:B, 2, FALSE) + DATE(RIGHT(C328,2),MID(C328,4,2),LEFT(C328,2)), "dd/mm/yy"), ""), "")</f>
        <v>24/05/23</v>
      </c>
      <c r="L328" t="s">
        <v>68</v>
      </c>
      <c r="M328" t="s">
        <v>48</v>
      </c>
      <c r="N328" t="s">
        <v>370</v>
      </c>
      <c r="O328" t="s">
        <v>169</v>
      </c>
      <c r="P328">
        <v>23290374</v>
      </c>
      <c r="Q328" t="s">
        <v>368</v>
      </c>
      <c r="R328" t="s">
        <v>369</v>
      </c>
      <c r="S328">
        <v>34070</v>
      </c>
      <c r="T328">
        <v>9.1</v>
      </c>
      <c r="U328">
        <v>310037</v>
      </c>
      <c r="V328" t="str">
        <f t="shared" si="93"/>
        <v>Accepted</v>
      </c>
      <c r="W328">
        <f>IFERROR(VLOOKUP(N328, Payment_Terms!A:B, 2, FALSE), "Payment term not found!")</f>
        <v>15</v>
      </c>
      <c r="X328" t="str">
        <f>IFERROR(VLOOKUP(R328, Item_Category!A:B, 2, FALSE), "Uncategorized")</f>
        <v>Coal materials</v>
      </c>
      <c r="Y328" s="5">
        <f t="shared" si="92"/>
        <v>2.7099999999999999E-2</v>
      </c>
      <c r="Z328">
        <f t="shared" si="97"/>
        <v>3</v>
      </c>
      <c r="AA328">
        <f t="shared" si="98"/>
        <v>1</v>
      </c>
      <c r="AB328">
        <f t="shared" si="99"/>
        <v>5</v>
      </c>
      <c r="AC328" s="10">
        <f t="shared" si="100"/>
        <v>3</v>
      </c>
      <c r="AD328" s="5">
        <f t="shared" si="94"/>
        <v>1</v>
      </c>
      <c r="AE328" s="5">
        <f t="shared" si="95"/>
        <v>1</v>
      </c>
      <c r="AF328" s="5">
        <f t="shared" si="101"/>
        <v>0</v>
      </c>
      <c r="AG328">
        <f>IF(B328&lt;&gt;"", COUNTIFS($B$2:B328, B328), "")</f>
        <v>65</v>
      </c>
      <c r="AH328">
        <f t="shared" si="102"/>
        <v>5</v>
      </c>
      <c r="AI328" t="str">
        <f>VLOOKUP(B328, Currency!A:B, 2, FALSE)</f>
        <v>INR</v>
      </c>
      <c r="AJ328">
        <f t="shared" si="96"/>
        <v>5</v>
      </c>
      <c r="AK328">
        <f t="shared" si="103"/>
        <v>5</v>
      </c>
      <c r="AL328" t="str">
        <f t="shared" si="104"/>
        <v>May</v>
      </c>
      <c r="AM328">
        <f t="shared" si="105"/>
        <v>2023</v>
      </c>
      <c r="AN328" t="str">
        <f t="shared" si="106"/>
        <v>15SKYWIN ENTERPRISE</v>
      </c>
      <c r="AO328">
        <f>IF(COUNTIF($AN$2:AN328, AN328)=1, 1, 0)</f>
        <v>0</v>
      </c>
      <c r="AP328" t="str">
        <f t="shared" si="107"/>
        <v>&gt;3</v>
      </c>
      <c r="AQ328" t="str">
        <f t="shared" si="108"/>
        <v>&lt;=3</v>
      </c>
      <c r="AR328" t="str">
        <f t="shared" si="109"/>
        <v>&gt;3</v>
      </c>
    </row>
    <row r="329" spans="1:44" x14ac:dyDescent="0.3">
      <c r="A329" t="s">
        <v>33</v>
      </c>
      <c r="B329" t="s">
        <v>366</v>
      </c>
      <c r="C329" t="s">
        <v>432</v>
      </c>
      <c r="D329">
        <v>2140</v>
      </c>
      <c r="E329">
        <v>23210187</v>
      </c>
      <c r="F329" t="s">
        <v>368</v>
      </c>
      <c r="G329" t="s">
        <v>369</v>
      </c>
      <c r="H329">
        <v>100000</v>
      </c>
      <c r="I329">
        <v>9.1</v>
      </c>
      <c r="J329">
        <v>910000</v>
      </c>
      <c r="K329" t="str">
        <f>IFERROR(IF(B329&lt;&gt;"", TEXT(VLOOKUP(B329, 'Expected Date'!A:B, 2, FALSE) + DATE(RIGHT(C329,2),MID(C329,4,2),LEFT(C329,2)), "dd/mm/yy"), ""), "")</f>
        <v>24/05/23</v>
      </c>
      <c r="L329" t="s">
        <v>68</v>
      </c>
      <c r="M329" t="s">
        <v>48</v>
      </c>
      <c r="N329" t="s">
        <v>370</v>
      </c>
      <c r="O329" t="s">
        <v>169</v>
      </c>
      <c r="P329">
        <v>23290375</v>
      </c>
      <c r="Q329" t="s">
        <v>368</v>
      </c>
      <c r="R329" t="s">
        <v>369</v>
      </c>
      <c r="S329">
        <v>33730</v>
      </c>
      <c r="T329">
        <v>9.1</v>
      </c>
      <c r="U329">
        <v>306943</v>
      </c>
      <c r="V329" t="str">
        <f t="shared" si="93"/>
        <v>Accepted</v>
      </c>
      <c r="W329">
        <f>IFERROR(VLOOKUP(N329, Payment_Terms!A:B, 2, FALSE), "Payment term not found!")</f>
        <v>15</v>
      </c>
      <c r="X329" t="str">
        <f>IFERROR(VLOOKUP(R329, Item_Category!A:B, 2, FALSE), "Uncategorized")</f>
        <v>Coal materials</v>
      </c>
      <c r="Y329" s="5">
        <f t="shared" si="92"/>
        <v>2.7099999999999999E-2</v>
      </c>
      <c r="Z329">
        <f t="shared" si="97"/>
        <v>3</v>
      </c>
      <c r="AA329">
        <f t="shared" si="98"/>
        <v>1</v>
      </c>
      <c r="AB329">
        <f t="shared" si="99"/>
        <v>5</v>
      </c>
      <c r="AC329" s="10">
        <f t="shared" si="100"/>
        <v>3</v>
      </c>
      <c r="AD329" s="5">
        <f t="shared" si="94"/>
        <v>1</v>
      </c>
      <c r="AE329" s="5">
        <f t="shared" si="95"/>
        <v>1</v>
      </c>
      <c r="AF329" s="5">
        <f t="shared" si="101"/>
        <v>0</v>
      </c>
      <c r="AG329">
        <f>IF(B329&lt;&gt;"", COUNTIFS($B$2:B329, B329), "")</f>
        <v>66</v>
      </c>
      <c r="AH329">
        <f t="shared" si="102"/>
        <v>5</v>
      </c>
      <c r="AI329" t="str">
        <f>VLOOKUP(B329, Currency!A:B, 2, FALSE)</f>
        <v>INR</v>
      </c>
      <c r="AJ329">
        <f t="shared" si="96"/>
        <v>5</v>
      </c>
      <c r="AK329">
        <f t="shared" si="103"/>
        <v>5</v>
      </c>
      <c r="AL329" t="str">
        <f t="shared" si="104"/>
        <v>May</v>
      </c>
      <c r="AM329">
        <f t="shared" si="105"/>
        <v>2023</v>
      </c>
      <c r="AN329" t="str">
        <f t="shared" si="106"/>
        <v>15SKYWIN ENTERPRISE</v>
      </c>
      <c r="AO329">
        <f>IF(COUNTIF($AN$2:AN329, AN329)=1, 1, 0)</f>
        <v>0</v>
      </c>
      <c r="AP329" t="str">
        <f t="shared" si="107"/>
        <v>&gt;3</v>
      </c>
      <c r="AQ329" t="str">
        <f t="shared" si="108"/>
        <v>&lt;=3</v>
      </c>
      <c r="AR329" t="str">
        <f t="shared" si="109"/>
        <v>&gt;3</v>
      </c>
    </row>
    <row r="330" spans="1:44" x14ac:dyDescent="0.3">
      <c r="A330" t="s">
        <v>33</v>
      </c>
      <c r="B330" t="s">
        <v>366</v>
      </c>
      <c r="C330" t="s">
        <v>367</v>
      </c>
      <c r="D330">
        <v>2422</v>
      </c>
      <c r="E330">
        <v>23210274</v>
      </c>
      <c r="F330" t="s">
        <v>392</v>
      </c>
      <c r="G330" t="s">
        <v>393</v>
      </c>
      <c r="H330">
        <v>150</v>
      </c>
      <c r="I330">
        <v>11000</v>
      </c>
      <c r="J330">
        <v>1650000</v>
      </c>
      <c r="K330" t="str">
        <f>IFERROR(IF(B330&lt;&gt;"", TEXT(VLOOKUP(B330, 'Expected Date'!A:B, 2, FALSE) + DATE(RIGHT(C330,2),MID(C330,4,2),LEFT(C330,2)), "dd/mm/yy"), ""), "")</f>
        <v>31/05/23</v>
      </c>
      <c r="L330" t="s">
        <v>68</v>
      </c>
      <c r="M330" t="s">
        <v>48</v>
      </c>
      <c r="N330" t="s">
        <v>370</v>
      </c>
      <c r="O330" t="s">
        <v>63</v>
      </c>
      <c r="P330">
        <v>23290552</v>
      </c>
      <c r="Q330" t="s">
        <v>392</v>
      </c>
      <c r="R330" t="s">
        <v>393</v>
      </c>
      <c r="S330">
        <v>30.41</v>
      </c>
      <c r="T330">
        <v>11000</v>
      </c>
      <c r="U330">
        <v>334510</v>
      </c>
      <c r="V330" t="str">
        <f t="shared" si="93"/>
        <v>Accepted</v>
      </c>
      <c r="W330">
        <f>IFERROR(VLOOKUP(N330, Payment_Terms!A:B, 2, FALSE), "Payment term not found!")</f>
        <v>15</v>
      </c>
      <c r="X330" t="str">
        <f>IFERROR(VLOOKUP(R330, Item_Category!A:B, 2, FALSE), "Uncategorized")</f>
        <v>Coal materials</v>
      </c>
      <c r="Y330" s="5">
        <f t="shared" si="92"/>
        <v>0</v>
      </c>
      <c r="Z330">
        <f t="shared" si="97"/>
        <v>5</v>
      </c>
      <c r="AA330">
        <f t="shared" si="98"/>
        <v>24</v>
      </c>
      <c r="AB330">
        <f t="shared" si="99"/>
        <v>1</v>
      </c>
      <c r="AC330" s="10">
        <f t="shared" si="100"/>
        <v>26</v>
      </c>
      <c r="AD330" s="5">
        <f t="shared" si="94"/>
        <v>1</v>
      </c>
      <c r="AE330" s="5">
        <f t="shared" si="95"/>
        <v>1</v>
      </c>
      <c r="AF330" s="5">
        <f t="shared" si="101"/>
        <v>0</v>
      </c>
      <c r="AG330">
        <f>IF(B330&lt;&gt;"", COUNTIFS($B$2:B330, B330), "")</f>
        <v>67</v>
      </c>
      <c r="AH330">
        <f t="shared" si="102"/>
        <v>5</v>
      </c>
      <c r="AI330" t="str">
        <f>VLOOKUP(B330, Currency!A:B, 2, FALSE)</f>
        <v>INR</v>
      </c>
      <c r="AJ330">
        <f t="shared" si="96"/>
        <v>4</v>
      </c>
      <c r="AK330">
        <f t="shared" si="103"/>
        <v>5</v>
      </c>
      <c r="AL330" t="str">
        <f t="shared" si="104"/>
        <v>May</v>
      </c>
      <c r="AM330">
        <f t="shared" si="105"/>
        <v>2023</v>
      </c>
      <c r="AN330" t="str">
        <f t="shared" si="106"/>
        <v>15SKYWIN ENTERPRISE</v>
      </c>
      <c r="AO330">
        <f>IF(COUNTIF($AN$2:AN330, AN330)=1, 1, 0)</f>
        <v>0</v>
      </c>
      <c r="AP330" t="str">
        <f t="shared" si="107"/>
        <v>&gt;3</v>
      </c>
      <c r="AQ330" t="str">
        <f t="shared" si="108"/>
        <v>&gt;3</v>
      </c>
      <c r="AR330" t="str">
        <f t="shared" si="109"/>
        <v>&lt;=3</v>
      </c>
    </row>
    <row r="331" spans="1:44" x14ac:dyDescent="0.3">
      <c r="A331" t="s">
        <v>33</v>
      </c>
      <c r="B331" t="str">
        <f>B2</f>
        <v>Ami Enterprises</v>
      </c>
      <c r="C331" t="s">
        <v>408</v>
      </c>
      <c r="D331">
        <v>3625</v>
      </c>
      <c r="E331">
        <v>23210521</v>
      </c>
      <c r="F331" t="s">
        <v>485</v>
      </c>
      <c r="G331" t="s">
        <v>486</v>
      </c>
      <c r="H331">
        <v>1100</v>
      </c>
      <c r="I331">
        <v>27.5</v>
      </c>
      <c r="J331">
        <v>30250</v>
      </c>
      <c r="K331" t="str">
        <f>IFERROR(IF(B331&lt;&gt;"", TEXT(VLOOKUP(B331, 'Expected Date'!A:B, 2, FALSE) + DATE(RIGHT(C331,2),MID(C331,4,2),LEFT(C331,2)), "dd/mm/yy"), ""), "")</f>
        <v>18/08/23</v>
      </c>
      <c r="L331" t="s">
        <v>68</v>
      </c>
      <c r="M331" t="s">
        <v>39</v>
      </c>
      <c r="N331" t="s">
        <v>342</v>
      </c>
      <c r="O331" t="s">
        <v>121</v>
      </c>
      <c r="P331">
        <v>23291091</v>
      </c>
      <c r="Q331" t="s">
        <v>485</v>
      </c>
      <c r="R331" t="s">
        <v>486</v>
      </c>
      <c r="S331">
        <v>1018</v>
      </c>
      <c r="T331">
        <v>27.5</v>
      </c>
      <c r="U331">
        <v>27995</v>
      </c>
      <c r="V331" t="str">
        <f t="shared" si="93"/>
        <v>Accepted</v>
      </c>
      <c r="W331">
        <f>IFERROR(VLOOKUP(N331, Payment_Terms!A:B, 2, FALSE), "Payment term not found!")</f>
        <v>30</v>
      </c>
      <c r="X331" t="str">
        <f>IFERROR(VLOOKUP(R331, Item_Category!A:B, 2, FALSE), "Uncategorized")</f>
        <v>Liner</v>
      </c>
      <c r="Y331" s="5">
        <f t="shared" si="92"/>
        <v>7.454545454545454E-2</v>
      </c>
      <c r="Z331">
        <f t="shared" si="97"/>
        <v>2</v>
      </c>
      <c r="AA331">
        <f t="shared" si="98"/>
        <v>-8</v>
      </c>
      <c r="AB331">
        <f t="shared" si="99"/>
        <v>5</v>
      </c>
      <c r="AC331" s="10">
        <f t="shared" si="100"/>
        <v>2</v>
      </c>
      <c r="AD331" s="5">
        <f t="shared" si="94"/>
        <v>1</v>
      </c>
      <c r="AE331" s="5">
        <f t="shared" si="95"/>
        <v>1</v>
      </c>
      <c r="AF331" s="5">
        <f t="shared" si="101"/>
        <v>0</v>
      </c>
      <c r="AG331">
        <f>IF(B331&lt;&gt;"", COUNTIFS($B$2:B331, B331), "")</f>
        <v>26</v>
      </c>
      <c r="AH331">
        <f t="shared" si="102"/>
        <v>5</v>
      </c>
      <c r="AI331" t="str">
        <f>VLOOKUP(B331, Currency!A:B, 2, FALSE)</f>
        <v>INR</v>
      </c>
      <c r="AJ331">
        <f t="shared" si="96"/>
        <v>5</v>
      </c>
      <c r="AK331">
        <f t="shared" si="103"/>
        <v>8</v>
      </c>
      <c r="AL331" t="str">
        <f t="shared" si="104"/>
        <v>August</v>
      </c>
      <c r="AM331">
        <f t="shared" si="105"/>
        <v>2023</v>
      </c>
      <c r="AN331" t="str">
        <f t="shared" si="106"/>
        <v>30Ami Enterprises</v>
      </c>
      <c r="AO331">
        <f>IF(COUNTIF($AN$2:AN331, AN331)=1, 1, 0)</f>
        <v>0</v>
      </c>
      <c r="AP331" t="str">
        <f t="shared" si="107"/>
        <v>&gt;3</v>
      </c>
      <c r="AQ331" t="str">
        <f t="shared" si="108"/>
        <v>&lt;=3</v>
      </c>
      <c r="AR331" t="str">
        <f t="shared" si="109"/>
        <v>&gt;3</v>
      </c>
    </row>
    <row r="332" spans="1:44" x14ac:dyDescent="0.3">
      <c r="A332" t="s">
        <v>33</v>
      </c>
      <c r="B332" t="s">
        <v>122</v>
      </c>
      <c r="C332" t="s">
        <v>416</v>
      </c>
      <c r="D332">
        <v>2054</v>
      </c>
      <c r="E332">
        <v>23210173</v>
      </c>
      <c r="F332" t="s">
        <v>405</v>
      </c>
      <c r="G332" t="s">
        <v>406</v>
      </c>
      <c r="H332">
        <v>600</v>
      </c>
      <c r="I332">
        <v>930</v>
      </c>
      <c r="J332">
        <v>558000</v>
      </c>
      <c r="K332" t="str">
        <f>IFERROR(IF(B332&lt;&gt;"", TEXT(VLOOKUP(B332, 'Expected Date'!A:B, 2, FALSE) + DATE(RIGHT(C332,2),MID(C332,4,2),LEFT(C332,2)), "dd/mm/yy"), ""), "")</f>
        <v>04/06/23</v>
      </c>
      <c r="L332" t="s">
        <v>38</v>
      </c>
      <c r="M332" t="s">
        <v>39</v>
      </c>
      <c r="N332" t="s">
        <v>364</v>
      </c>
      <c r="O332" t="s">
        <v>133</v>
      </c>
      <c r="P332">
        <v>23290471</v>
      </c>
      <c r="Q332" t="s">
        <v>405</v>
      </c>
      <c r="R332" t="s">
        <v>406</v>
      </c>
      <c r="S332">
        <v>180</v>
      </c>
      <c r="T332">
        <v>930</v>
      </c>
      <c r="U332">
        <v>167400</v>
      </c>
      <c r="V332" t="str">
        <f t="shared" si="93"/>
        <v>Accepted</v>
      </c>
      <c r="W332">
        <f>IFERROR(VLOOKUP(N332, Payment_Terms!A:B, 2, FALSE), "Payment term not found!")</f>
        <v>30</v>
      </c>
      <c r="X332" t="str">
        <f>IFERROR(VLOOKUP(R332, Item_Category!A:B, 2, FALSE), "Uncategorized")</f>
        <v>Pallets</v>
      </c>
      <c r="Y332" s="5">
        <f t="shared" si="92"/>
        <v>0</v>
      </c>
      <c r="Z332">
        <f t="shared" si="97"/>
        <v>5</v>
      </c>
      <c r="AA332">
        <f t="shared" si="98"/>
        <v>2</v>
      </c>
      <c r="AB332">
        <f t="shared" si="99"/>
        <v>5</v>
      </c>
      <c r="AC332" s="10">
        <f t="shared" si="100"/>
        <v>17</v>
      </c>
      <c r="AD332" s="5">
        <f t="shared" si="94"/>
        <v>1</v>
      </c>
      <c r="AE332" s="5">
        <f t="shared" si="95"/>
        <v>1</v>
      </c>
      <c r="AF332" s="5">
        <f t="shared" si="101"/>
        <v>0</v>
      </c>
      <c r="AG332">
        <f>IF(B332&lt;&gt;"", COUNTIFS($B$2:B332, B332), "")</f>
        <v>36</v>
      </c>
      <c r="AH332">
        <f t="shared" si="102"/>
        <v>5</v>
      </c>
      <c r="AI332" t="str">
        <f>VLOOKUP(B332, Currency!A:B, 2, FALSE)</f>
        <v>INR</v>
      </c>
      <c r="AJ332">
        <f t="shared" si="96"/>
        <v>5</v>
      </c>
      <c r="AK332">
        <f t="shared" si="103"/>
        <v>5</v>
      </c>
      <c r="AL332" t="str">
        <f t="shared" si="104"/>
        <v>May</v>
      </c>
      <c r="AM332">
        <f t="shared" si="105"/>
        <v>2023</v>
      </c>
      <c r="AN332" t="str">
        <f t="shared" si="106"/>
        <v>30Plastocon Industries Pvt Ltd</v>
      </c>
      <c r="AO332">
        <f>IF(COUNTIF($AN$2:AN332, AN332)=1, 1, 0)</f>
        <v>0</v>
      </c>
      <c r="AP332" t="str">
        <f t="shared" si="107"/>
        <v>&gt;3</v>
      </c>
      <c r="AQ332" t="str">
        <f t="shared" si="108"/>
        <v>&gt;3</v>
      </c>
      <c r="AR332" t="str">
        <f t="shared" si="109"/>
        <v>&gt;3</v>
      </c>
    </row>
    <row r="333" spans="1:44" x14ac:dyDescent="0.3">
      <c r="A333" t="s">
        <v>33</v>
      </c>
      <c r="B333" t="s">
        <v>366</v>
      </c>
      <c r="C333" t="s">
        <v>367</v>
      </c>
      <c r="D333">
        <v>2422</v>
      </c>
      <c r="E333">
        <v>23210274</v>
      </c>
      <c r="F333" t="s">
        <v>392</v>
      </c>
      <c r="G333" t="s">
        <v>393</v>
      </c>
      <c r="H333">
        <v>150</v>
      </c>
      <c r="I333">
        <v>11000</v>
      </c>
      <c r="J333">
        <v>1650000</v>
      </c>
      <c r="K333" t="str">
        <f>IFERROR(IF(B333&lt;&gt;"", TEXT(VLOOKUP(B333, 'Expected Date'!A:B, 2, FALSE) + DATE(RIGHT(C333,2),MID(C333,4,2),LEFT(C333,2)), "dd/mm/yy"), ""), "")</f>
        <v>31/05/23</v>
      </c>
      <c r="L333" t="s">
        <v>68</v>
      </c>
      <c r="M333" t="s">
        <v>48</v>
      </c>
      <c r="N333" t="s">
        <v>370</v>
      </c>
      <c r="O333" t="s">
        <v>88</v>
      </c>
      <c r="P333">
        <v>23290660</v>
      </c>
      <c r="Q333" t="s">
        <v>392</v>
      </c>
      <c r="R333" t="s">
        <v>393</v>
      </c>
      <c r="S333">
        <v>29.93</v>
      </c>
      <c r="T333">
        <v>11000</v>
      </c>
      <c r="U333">
        <v>329230</v>
      </c>
      <c r="V333" t="str">
        <f t="shared" si="93"/>
        <v>Accepted</v>
      </c>
      <c r="W333">
        <f>IFERROR(VLOOKUP(N333, Payment_Terms!A:B, 2, FALSE), "Payment term not found!")</f>
        <v>15</v>
      </c>
      <c r="X333" t="str">
        <f>IFERROR(VLOOKUP(R333, Item_Category!A:B, 2, FALSE), "Uncategorized")</f>
        <v>Coal materials</v>
      </c>
      <c r="Y333" s="5">
        <f t="shared" si="92"/>
        <v>0</v>
      </c>
      <c r="Z333">
        <f t="shared" si="97"/>
        <v>5</v>
      </c>
      <c r="AA333">
        <f t="shared" si="98"/>
        <v>34</v>
      </c>
      <c r="AB333">
        <f t="shared" si="99"/>
        <v>1</v>
      </c>
      <c r="AC333" s="10">
        <f t="shared" si="100"/>
        <v>36</v>
      </c>
      <c r="AD333" s="5">
        <f t="shared" si="94"/>
        <v>1</v>
      </c>
      <c r="AE333" s="5">
        <f t="shared" si="95"/>
        <v>1</v>
      </c>
      <c r="AF333" s="5">
        <f t="shared" si="101"/>
        <v>0</v>
      </c>
      <c r="AG333">
        <f>IF(B333&lt;&gt;"", COUNTIFS($B$2:B333, B333), "")</f>
        <v>68</v>
      </c>
      <c r="AH333">
        <f t="shared" si="102"/>
        <v>5</v>
      </c>
      <c r="AI333" t="str">
        <f>VLOOKUP(B333, Currency!A:B, 2, FALSE)</f>
        <v>INR</v>
      </c>
      <c r="AJ333">
        <f t="shared" si="96"/>
        <v>4</v>
      </c>
      <c r="AK333">
        <f t="shared" si="103"/>
        <v>5</v>
      </c>
      <c r="AL333" t="str">
        <f t="shared" si="104"/>
        <v>May</v>
      </c>
      <c r="AM333">
        <f t="shared" si="105"/>
        <v>2023</v>
      </c>
      <c r="AN333" t="str">
        <f t="shared" si="106"/>
        <v>15SKYWIN ENTERPRISE</v>
      </c>
      <c r="AO333">
        <f>IF(COUNTIF($AN$2:AN333, AN333)=1, 1, 0)</f>
        <v>0</v>
      </c>
      <c r="AP333" t="str">
        <f t="shared" si="107"/>
        <v>&gt;3</v>
      </c>
      <c r="AQ333" t="str">
        <f t="shared" si="108"/>
        <v>&gt;3</v>
      </c>
      <c r="AR333" t="str">
        <f t="shared" si="109"/>
        <v>&lt;=3</v>
      </c>
    </row>
    <row r="334" spans="1:44" x14ac:dyDescent="0.3">
      <c r="A334" t="s">
        <v>33</v>
      </c>
      <c r="B334" t="s">
        <v>366</v>
      </c>
      <c r="C334" t="s">
        <v>229</v>
      </c>
      <c r="D334">
        <v>4749</v>
      </c>
      <c r="E334">
        <v>23210723</v>
      </c>
      <c r="F334" t="s">
        <v>392</v>
      </c>
      <c r="G334" t="s">
        <v>393</v>
      </c>
      <c r="H334">
        <v>100</v>
      </c>
      <c r="I334">
        <v>8400</v>
      </c>
      <c r="J334">
        <v>840000</v>
      </c>
      <c r="K334" t="str">
        <f>IFERROR(IF(B334&lt;&gt;"", TEXT(VLOOKUP(B334, 'Expected Date'!A:B, 2, FALSE) + DATE(RIGHT(C334,2),MID(C334,4,2),LEFT(C334,2)), "dd/mm/yy"), ""), "")</f>
        <v>02/10/23</v>
      </c>
      <c r="L334" t="s">
        <v>38</v>
      </c>
      <c r="M334" t="s">
        <v>48</v>
      </c>
      <c r="N334" t="s">
        <v>532</v>
      </c>
      <c r="O334" t="s">
        <v>550</v>
      </c>
      <c r="P334">
        <v>23291589</v>
      </c>
      <c r="Q334" t="s">
        <v>392</v>
      </c>
      <c r="R334" t="s">
        <v>393</v>
      </c>
      <c r="S334">
        <v>27.71</v>
      </c>
      <c r="T334">
        <v>8400</v>
      </c>
      <c r="U334">
        <v>232764</v>
      </c>
      <c r="V334" t="str">
        <f t="shared" si="93"/>
        <v>Accepted</v>
      </c>
      <c r="W334">
        <f>IFERROR(VLOOKUP(N334, Payment_Terms!A:B, 2, FALSE), "Payment term not found!")</f>
        <v>15</v>
      </c>
      <c r="X334" t="str">
        <f>IFERROR(VLOOKUP(R334, Item_Category!A:B, 2, FALSE), "Uncategorized")</f>
        <v>Coal materials</v>
      </c>
      <c r="Y334" s="5">
        <f t="shared" si="92"/>
        <v>0</v>
      </c>
      <c r="Z334">
        <f t="shared" si="97"/>
        <v>5</v>
      </c>
      <c r="AA334">
        <f t="shared" si="98"/>
        <v>2</v>
      </c>
      <c r="AB334">
        <f t="shared" si="99"/>
        <v>5</v>
      </c>
      <c r="AC334" s="10">
        <f t="shared" si="100"/>
        <v>4</v>
      </c>
      <c r="AD334" s="5">
        <f t="shared" si="94"/>
        <v>1</v>
      </c>
      <c r="AE334" s="5">
        <f t="shared" si="95"/>
        <v>1</v>
      </c>
      <c r="AF334" s="5">
        <f t="shared" si="101"/>
        <v>0</v>
      </c>
      <c r="AG334">
        <f>IF(B334&lt;&gt;"", COUNTIFS($B$2:B334, B334), "")</f>
        <v>69</v>
      </c>
      <c r="AH334">
        <f t="shared" si="102"/>
        <v>5</v>
      </c>
      <c r="AI334" t="str">
        <f>VLOOKUP(B334, Currency!A:B, 2, FALSE)</f>
        <v>INR</v>
      </c>
      <c r="AJ334">
        <f t="shared" si="96"/>
        <v>5</v>
      </c>
      <c r="AK334">
        <f t="shared" si="103"/>
        <v>9</v>
      </c>
      <c r="AL334" t="str">
        <f t="shared" si="104"/>
        <v>September</v>
      </c>
      <c r="AM334">
        <f t="shared" si="105"/>
        <v>2023</v>
      </c>
      <c r="AN334" t="str">
        <f t="shared" si="106"/>
        <v>15SKYWIN ENTERPRISE</v>
      </c>
      <c r="AO334">
        <f>IF(COUNTIF($AN$2:AN334, AN334)=1, 1, 0)</f>
        <v>0</v>
      </c>
      <c r="AP334" t="str">
        <f t="shared" si="107"/>
        <v>&gt;3</v>
      </c>
      <c r="AQ334" t="str">
        <f t="shared" si="108"/>
        <v>&gt;3</v>
      </c>
      <c r="AR334" t="str">
        <f t="shared" si="109"/>
        <v>&gt;3</v>
      </c>
    </row>
    <row r="335" spans="1:44" x14ac:dyDescent="0.3">
      <c r="A335" t="s">
        <v>33</v>
      </c>
      <c r="B335" t="s">
        <v>366</v>
      </c>
      <c r="C335" t="s">
        <v>229</v>
      </c>
      <c r="D335">
        <v>4749</v>
      </c>
      <c r="E335">
        <v>23210723</v>
      </c>
      <c r="F335" t="s">
        <v>392</v>
      </c>
      <c r="G335" t="s">
        <v>393</v>
      </c>
      <c r="H335">
        <v>100</v>
      </c>
      <c r="I335">
        <v>8400</v>
      </c>
      <c r="J335">
        <v>840000</v>
      </c>
      <c r="K335" t="str">
        <f>IFERROR(IF(B335&lt;&gt;"", TEXT(VLOOKUP(B335, 'Expected Date'!A:B, 2, FALSE) + DATE(RIGHT(C335,2),MID(C335,4,2),LEFT(C335,2)), "dd/mm/yy"), ""), "")</f>
        <v>02/10/23</v>
      </c>
      <c r="L335" t="s">
        <v>38</v>
      </c>
      <c r="M335" t="s">
        <v>48</v>
      </c>
      <c r="N335" t="s">
        <v>532</v>
      </c>
      <c r="O335" t="s">
        <v>548</v>
      </c>
      <c r="P335">
        <v>23291591</v>
      </c>
      <c r="Q335" t="s">
        <v>392</v>
      </c>
      <c r="R335" t="s">
        <v>393</v>
      </c>
      <c r="S335">
        <v>27.85</v>
      </c>
      <c r="T335">
        <v>8400</v>
      </c>
      <c r="U335">
        <v>233940</v>
      </c>
      <c r="V335" t="str">
        <f t="shared" si="93"/>
        <v>Accepted</v>
      </c>
      <c r="W335">
        <f>IFERROR(VLOOKUP(N335, Payment_Terms!A:B, 2, FALSE), "Payment term not found!")</f>
        <v>15</v>
      </c>
      <c r="X335" t="str">
        <f>IFERROR(VLOOKUP(R335, Item_Category!A:B, 2, FALSE), "Uncategorized")</f>
        <v>Coal materials</v>
      </c>
      <c r="Y335" s="5">
        <f t="shared" si="92"/>
        <v>0</v>
      </c>
      <c r="Z335">
        <f t="shared" si="97"/>
        <v>5</v>
      </c>
      <c r="AA335">
        <f t="shared" si="98"/>
        <v>0</v>
      </c>
      <c r="AB335">
        <f t="shared" si="99"/>
        <v>5</v>
      </c>
      <c r="AC335" s="10">
        <f t="shared" si="100"/>
        <v>2</v>
      </c>
      <c r="AD335" s="5">
        <f t="shared" si="94"/>
        <v>1</v>
      </c>
      <c r="AE335" s="5">
        <f t="shared" si="95"/>
        <v>1</v>
      </c>
      <c r="AF335" s="5">
        <f t="shared" si="101"/>
        <v>0</v>
      </c>
      <c r="AG335">
        <f>IF(B335&lt;&gt;"", COUNTIFS($B$2:B335, B335), "")</f>
        <v>70</v>
      </c>
      <c r="AH335">
        <f t="shared" si="102"/>
        <v>5</v>
      </c>
      <c r="AI335" t="str">
        <f>VLOOKUP(B335, Currency!A:B, 2, FALSE)</f>
        <v>INR</v>
      </c>
      <c r="AJ335">
        <f t="shared" si="96"/>
        <v>5</v>
      </c>
      <c r="AK335">
        <f t="shared" si="103"/>
        <v>9</v>
      </c>
      <c r="AL335" t="str">
        <f t="shared" si="104"/>
        <v>September</v>
      </c>
      <c r="AM335">
        <f t="shared" si="105"/>
        <v>2023</v>
      </c>
      <c r="AN335" t="str">
        <f t="shared" si="106"/>
        <v>15SKYWIN ENTERPRISE</v>
      </c>
      <c r="AO335">
        <f>IF(COUNTIF($AN$2:AN335, AN335)=1, 1, 0)</f>
        <v>0</v>
      </c>
      <c r="AP335" t="str">
        <f t="shared" si="107"/>
        <v>&gt;3</v>
      </c>
      <c r="AQ335" t="str">
        <f t="shared" si="108"/>
        <v>&gt;3</v>
      </c>
      <c r="AR335" t="str">
        <f t="shared" si="109"/>
        <v>&gt;3</v>
      </c>
    </row>
    <row r="336" spans="1:44" x14ac:dyDescent="0.3">
      <c r="A336" t="s">
        <v>33</v>
      </c>
      <c r="B336" t="s">
        <v>366</v>
      </c>
      <c r="C336" t="s">
        <v>229</v>
      </c>
      <c r="D336">
        <v>4749</v>
      </c>
      <c r="E336">
        <v>23210723</v>
      </c>
      <c r="F336" t="s">
        <v>392</v>
      </c>
      <c r="G336" t="s">
        <v>393</v>
      </c>
      <c r="H336">
        <v>100</v>
      </c>
      <c r="I336">
        <v>8400</v>
      </c>
      <c r="J336">
        <v>840000</v>
      </c>
      <c r="K336" t="str">
        <f>IFERROR(IF(B336&lt;&gt;"", TEXT(VLOOKUP(B336, 'Expected Date'!A:B, 2, FALSE) + DATE(RIGHT(C336,2),MID(C336,4,2),LEFT(C336,2)), "dd/mm/yy"), ""), "")</f>
        <v>02/10/23</v>
      </c>
      <c r="L336" t="s">
        <v>38</v>
      </c>
      <c r="M336" t="s">
        <v>48</v>
      </c>
      <c r="N336" t="s">
        <v>532</v>
      </c>
      <c r="O336" t="s">
        <v>247</v>
      </c>
      <c r="P336">
        <v>23291601</v>
      </c>
      <c r="Q336" t="s">
        <v>392</v>
      </c>
      <c r="R336" t="s">
        <v>393</v>
      </c>
      <c r="S336">
        <v>18.73</v>
      </c>
      <c r="T336">
        <v>8400</v>
      </c>
      <c r="U336">
        <v>157332</v>
      </c>
      <c r="V336" t="str">
        <f t="shared" si="93"/>
        <v>Accepted</v>
      </c>
      <c r="W336">
        <f>IFERROR(VLOOKUP(N336, Payment_Terms!A:B, 2, FALSE), "Payment term not found!")</f>
        <v>15</v>
      </c>
      <c r="X336" t="str">
        <f>IFERROR(VLOOKUP(R336, Item_Category!A:B, 2, FALSE), "Uncategorized")</f>
        <v>Coal materials</v>
      </c>
      <c r="Y336" s="5">
        <f>IFERROR(IF(AND(E336&lt;&gt;"", G336&lt;&gt;""), MAX(0, (H336-SUMIFS(S:S, E:E, E336, G:G, G336))/H336), ""), (H336-S336)/H336)</f>
        <v>0</v>
      </c>
      <c r="Z336">
        <f t="shared" si="97"/>
        <v>5</v>
      </c>
      <c r="AA336">
        <f t="shared" si="98"/>
        <v>3</v>
      </c>
      <c r="AB336">
        <f t="shared" si="99"/>
        <v>4</v>
      </c>
      <c r="AC336" s="10">
        <f t="shared" si="100"/>
        <v>5</v>
      </c>
      <c r="AD336" s="5">
        <f t="shared" si="94"/>
        <v>1</v>
      </c>
      <c r="AE336" s="5">
        <f t="shared" si="95"/>
        <v>1</v>
      </c>
      <c r="AF336" s="5">
        <f t="shared" si="101"/>
        <v>0</v>
      </c>
      <c r="AG336">
        <f>IF(B336&lt;&gt;"", COUNTIFS($B$2:B336, B336), "")</f>
        <v>71</v>
      </c>
      <c r="AH336">
        <f t="shared" si="102"/>
        <v>5</v>
      </c>
      <c r="AI336" t="str">
        <f>VLOOKUP(B336, Currency!A:B, 2, FALSE)</f>
        <v>INR</v>
      </c>
      <c r="AJ336">
        <f t="shared" si="96"/>
        <v>5</v>
      </c>
      <c r="AK336">
        <f t="shared" si="103"/>
        <v>9</v>
      </c>
      <c r="AL336" t="str">
        <f t="shared" si="104"/>
        <v>September</v>
      </c>
      <c r="AM336">
        <f t="shared" si="105"/>
        <v>2023</v>
      </c>
      <c r="AN336" t="str">
        <f t="shared" si="106"/>
        <v>15SKYWIN ENTERPRISE</v>
      </c>
      <c r="AO336">
        <f>IF(COUNTIF($AN$2:AN336, AN336)=1, 1, 0)</f>
        <v>0</v>
      </c>
      <c r="AP336" t="str">
        <f t="shared" si="107"/>
        <v>&gt;3</v>
      </c>
      <c r="AQ336" t="str">
        <f t="shared" si="108"/>
        <v>&gt;3</v>
      </c>
      <c r="AR336" t="str">
        <f t="shared" si="109"/>
        <v>&gt;3</v>
      </c>
    </row>
    <row r="337" spans="1:44" x14ac:dyDescent="0.3">
      <c r="A337" t="s">
        <v>33</v>
      </c>
      <c r="B337" t="s">
        <v>382</v>
      </c>
      <c r="C337" t="s">
        <v>246</v>
      </c>
      <c r="D337">
        <v>4327</v>
      </c>
      <c r="E337">
        <v>23210655</v>
      </c>
      <c r="F337" t="s">
        <v>383</v>
      </c>
      <c r="G337" t="s">
        <v>384</v>
      </c>
      <c r="H337">
        <v>250</v>
      </c>
      <c r="I337">
        <v>96</v>
      </c>
      <c r="J337">
        <v>24000</v>
      </c>
      <c r="K337" t="str">
        <f>IFERROR(IF(B337&lt;&gt;"", TEXT(VLOOKUP(B337, 'Expected Date'!A:B, 2, FALSE) + DATE(RIGHT(C337,2),MID(C337,4,2),LEFT(C337,2)), "dd/mm/yy"), ""), "")</f>
        <v>22/09/23</v>
      </c>
      <c r="L337" t="s">
        <v>38</v>
      </c>
      <c r="M337" t="s">
        <v>48</v>
      </c>
      <c r="N337" t="s">
        <v>342</v>
      </c>
      <c r="O337" t="s">
        <v>206</v>
      </c>
      <c r="P337">
        <v>23291405</v>
      </c>
      <c r="Q337" t="s">
        <v>383</v>
      </c>
      <c r="R337" t="s">
        <v>384</v>
      </c>
      <c r="S337">
        <v>250</v>
      </c>
      <c r="T337">
        <v>96</v>
      </c>
      <c r="U337">
        <v>24000</v>
      </c>
      <c r="V337" t="str">
        <f t="shared" si="93"/>
        <v>Accepted</v>
      </c>
      <c r="W337">
        <f>IFERROR(VLOOKUP(N337, Payment_Terms!A:B, 2, FALSE), "Payment term not found!")</f>
        <v>30</v>
      </c>
      <c r="X337" t="str">
        <f>IFERROR(VLOOKUP(R337, Item_Category!A:B, 2, FALSE), "Uncategorized")</f>
        <v>Gas</v>
      </c>
      <c r="Y337" s="5">
        <f t="shared" ref="Y337:Y341" si="110">IFERROR(IF(AND(E337&lt;&gt;"", G337&lt;&gt;""), MAX(0, (H337-SUMIFS(S:S, E:E, E337, G:G, G337))/H337), ""), (H337-S337)/H337)</f>
        <v>0</v>
      </c>
      <c r="Z337">
        <f t="shared" si="97"/>
        <v>5</v>
      </c>
      <c r="AA337">
        <f t="shared" si="98"/>
        <v>-9</v>
      </c>
      <c r="AB337">
        <f t="shared" si="99"/>
        <v>5</v>
      </c>
      <c r="AC337" s="10">
        <f t="shared" si="100"/>
        <v>1</v>
      </c>
      <c r="AD337" s="5">
        <f t="shared" si="94"/>
        <v>1</v>
      </c>
      <c r="AE337" s="5">
        <f t="shared" si="95"/>
        <v>1</v>
      </c>
      <c r="AF337" s="5">
        <f t="shared" si="101"/>
        <v>0</v>
      </c>
      <c r="AG337">
        <f>IF(B337&lt;&gt;"", COUNTIFS($B$2:B337, B337), "")</f>
        <v>20</v>
      </c>
      <c r="AH337">
        <f t="shared" si="102"/>
        <v>5</v>
      </c>
      <c r="AI337" t="str">
        <f>VLOOKUP(B337, Currency!A:B, 2, FALSE)</f>
        <v>INR</v>
      </c>
      <c r="AJ337">
        <f t="shared" si="96"/>
        <v>5</v>
      </c>
      <c r="AK337">
        <f t="shared" si="103"/>
        <v>9</v>
      </c>
      <c r="AL337" t="str">
        <f t="shared" si="104"/>
        <v>September</v>
      </c>
      <c r="AM337">
        <f t="shared" si="105"/>
        <v>2023</v>
      </c>
      <c r="AN337" t="str">
        <f t="shared" si="106"/>
        <v>30Aerochem Laboratories</v>
      </c>
      <c r="AO337">
        <f>IF(COUNTIF($AN$2:AN337, AN337)=1, 1, 0)</f>
        <v>0</v>
      </c>
      <c r="AP337" t="str">
        <f t="shared" si="107"/>
        <v>&gt;3</v>
      </c>
      <c r="AQ337" t="str">
        <f t="shared" si="108"/>
        <v>&gt;3</v>
      </c>
      <c r="AR337" t="str">
        <f t="shared" si="109"/>
        <v>&gt;3</v>
      </c>
    </row>
    <row r="338" spans="1:44" x14ac:dyDescent="0.3">
      <c r="A338" t="s">
        <v>33</v>
      </c>
      <c r="B338" t="s">
        <v>347</v>
      </c>
      <c r="C338" t="s">
        <v>281</v>
      </c>
      <c r="D338">
        <v>4161</v>
      </c>
      <c r="E338">
        <v>23210610</v>
      </c>
      <c r="F338" t="s">
        <v>349</v>
      </c>
      <c r="G338" t="s">
        <v>350</v>
      </c>
      <c r="H338">
        <v>24</v>
      </c>
      <c r="I338">
        <v>55260</v>
      </c>
      <c r="J338">
        <v>1326240</v>
      </c>
      <c r="K338" t="str">
        <f>IFERROR(IF(B338&lt;&gt;"", TEXT(VLOOKUP(B338, 'Expected Date'!A:B, 2, FALSE) + DATE(RIGHT(C338,2),MID(C338,4,2),LEFT(C338,2)), "dd/mm/yy"), ""), "")</f>
        <v>06/09/23</v>
      </c>
      <c r="L338" t="s">
        <v>68</v>
      </c>
      <c r="M338" t="s">
        <v>285</v>
      </c>
      <c r="N338" t="s">
        <v>351</v>
      </c>
      <c r="O338" t="s">
        <v>531</v>
      </c>
      <c r="P338">
        <v>23291369</v>
      </c>
      <c r="Q338" t="s">
        <v>349</v>
      </c>
      <c r="R338" t="s">
        <v>350</v>
      </c>
      <c r="S338">
        <v>23.25</v>
      </c>
      <c r="T338">
        <v>55260</v>
      </c>
      <c r="U338">
        <v>1284795</v>
      </c>
      <c r="V338" t="str">
        <f t="shared" si="93"/>
        <v>Accepted</v>
      </c>
      <c r="W338">
        <f>IFERROR(VLOOKUP(N338, Payment_Terms!A:B, 2, FALSE), "Payment term not found!")</f>
        <v>0</v>
      </c>
      <c r="X338" t="str">
        <f>IFERROR(VLOOKUP(R338, Item_Category!A:B, 2, FALSE), "Uncategorized")</f>
        <v>Oil</v>
      </c>
      <c r="Y338" s="5">
        <f t="shared" si="110"/>
        <v>3.125E-2</v>
      </c>
      <c r="Z338">
        <f t="shared" si="97"/>
        <v>3</v>
      </c>
      <c r="AA338">
        <f t="shared" si="98"/>
        <v>4</v>
      </c>
      <c r="AB338">
        <f t="shared" si="99"/>
        <v>4</v>
      </c>
      <c r="AC338" s="10">
        <f t="shared" si="100"/>
        <v>5</v>
      </c>
      <c r="AD338" s="5">
        <f t="shared" si="94"/>
        <v>1</v>
      </c>
      <c r="AE338" s="5">
        <f t="shared" si="95"/>
        <v>1</v>
      </c>
      <c r="AF338" s="5">
        <f t="shared" si="101"/>
        <v>0</v>
      </c>
      <c r="AG338">
        <f>IF(B338&lt;&gt;"", COUNTIFS($B$2:B338, B338), "")</f>
        <v>11</v>
      </c>
      <c r="AH338">
        <f t="shared" si="102"/>
        <v>5</v>
      </c>
      <c r="AI338" t="str">
        <f>VLOOKUP(B338, Currency!A:B, 2, FALSE)</f>
        <v>INR</v>
      </c>
      <c r="AJ338">
        <f t="shared" si="96"/>
        <v>5</v>
      </c>
      <c r="AK338">
        <f t="shared" si="103"/>
        <v>9</v>
      </c>
      <c r="AL338" t="str">
        <f t="shared" si="104"/>
        <v>September</v>
      </c>
      <c r="AM338">
        <f t="shared" si="105"/>
        <v>2023</v>
      </c>
      <c r="AN338" t="str">
        <f t="shared" si="106"/>
        <v>0Bharat Petroleum Corporation Ltd</v>
      </c>
      <c r="AO338">
        <f>IF(COUNTIF($AN$2:AN338, AN338)=1, 1, 0)</f>
        <v>0</v>
      </c>
      <c r="AP338" t="str">
        <f t="shared" si="107"/>
        <v>&gt;3</v>
      </c>
      <c r="AQ338" t="str">
        <f t="shared" si="108"/>
        <v>&lt;=3</v>
      </c>
      <c r="AR338" t="str">
        <f t="shared" si="109"/>
        <v>&gt;3</v>
      </c>
    </row>
    <row r="339" spans="1:44" x14ac:dyDescent="0.3">
      <c r="A339" t="str">
        <f>A295</f>
        <v>Woodpulp</v>
      </c>
      <c r="B339" t="s">
        <v>140</v>
      </c>
      <c r="C339" t="s">
        <v>71</v>
      </c>
      <c r="D339">
        <v>2734</v>
      </c>
      <c r="E339">
        <v>23220042</v>
      </c>
      <c r="F339" t="s">
        <v>359</v>
      </c>
      <c r="G339" t="s">
        <v>360</v>
      </c>
      <c r="H339">
        <v>100</v>
      </c>
      <c r="I339">
        <v>830</v>
      </c>
      <c r="J339">
        <v>6781100</v>
      </c>
      <c r="K339" t="str">
        <f>IFERROR(IF(B339&lt;&gt;"", TEXT(VLOOKUP(B339, 'Expected Date'!A:B, 2, FALSE) + DATE(RIGHT(C339,2),MID(C339,4,2),LEFT(C339,2)), "dd/mm/yy"), ""), "")</f>
        <v>06/08/23</v>
      </c>
      <c r="L339" t="s">
        <v>38</v>
      </c>
      <c r="M339" t="str">
        <f>M73</f>
        <v>MT</v>
      </c>
      <c r="N339" t="s">
        <v>144</v>
      </c>
      <c r="O339" t="s">
        <v>247</v>
      </c>
      <c r="P339">
        <v>23291715</v>
      </c>
      <c r="Q339" t="s">
        <v>359</v>
      </c>
      <c r="R339" t="s">
        <v>360</v>
      </c>
      <c r="S339">
        <v>100</v>
      </c>
      <c r="T339">
        <v>830</v>
      </c>
      <c r="U339">
        <v>6830900</v>
      </c>
      <c r="V339" t="str">
        <f t="shared" si="93"/>
        <v>Accepted</v>
      </c>
      <c r="W339">
        <f>IFERROR(VLOOKUP(N339, Payment_Terms!A:B, 2, FALSE), "Payment term not found!")</f>
        <v>30</v>
      </c>
      <c r="X339" t="str">
        <f>IFERROR(VLOOKUP(R339, Item_Category!A:B, 2, FALSE), "Uncategorized")</f>
        <v>Wood pulp</v>
      </c>
      <c r="Y339" s="5">
        <f t="shared" si="110"/>
        <v>0</v>
      </c>
      <c r="Z339">
        <f t="shared" si="97"/>
        <v>5</v>
      </c>
      <c r="AA339">
        <f t="shared" si="98"/>
        <v>60</v>
      </c>
      <c r="AB339">
        <f t="shared" si="99"/>
        <v>1</v>
      </c>
      <c r="AC339" s="10">
        <f t="shared" si="100"/>
        <v>105</v>
      </c>
      <c r="AD339" s="5">
        <f t="shared" si="94"/>
        <v>1</v>
      </c>
      <c r="AE339" s="5">
        <f t="shared" si="95"/>
        <v>1</v>
      </c>
      <c r="AF339" s="5">
        <f t="shared" si="101"/>
        <v>0</v>
      </c>
      <c r="AG339">
        <f>IF(B339&lt;&gt;"", COUNTIFS($B$2:B339, B339), "")</f>
        <v>16</v>
      </c>
      <c r="AH339">
        <f t="shared" si="102"/>
        <v>5</v>
      </c>
      <c r="AI339" t="str">
        <f>VLOOKUP(B339, Currency!A:B, 2, FALSE)</f>
        <v>USD</v>
      </c>
      <c r="AJ339">
        <f t="shared" si="96"/>
        <v>4</v>
      </c>
      <c r="AK339">
        <f t="shared" si="103"/>
        <v>6</v>
      </c>
      <c r="AL339" t="str">
        <f t="shared" si="104"/>
        <v>June</v>
      </c>
      <c r="AM339">
        <f t="shared" si="105"/>
        <v>2023</v>
      </c>
      <c r="AN339" t="str">
        <f t="shared" si="106"/>
        <v>30Sappi Paper Holdings GMBH</v>
      </c>
      <c r="AO339">
        <f>IF(COUNTIF($AN$2:AN339, AN339)=1, 1, 0)</f>
        <v>0</v>
      </c>
      <c r="AP339" t="str">
        <f t="shared" si="107"/>
        <v>&gt;3</v>
      </c>
      <c r="AQ339" t="str">
        <f t="shared" si="108"/>
        <v>&gt;3</v>
      </c>
      <c r="AR339" t="str">
        <f t="shared" si="109"/>
        <v>&lt;=3</v>
      </c>
    </row>
    <row r="340" spans="1:44" x14ac:dyDescent="0.3">
      <c r="A340" t="s">
        <v>33</v>
      </c>
      <c r="B340" t="s">
        <v>382</v>
      </c>
      <c r="C340" t="s">
        <v>272</v>
      </c>
      <c r="D340">
        <v>4577</v>
      </c>
      <c r="E340">
        <v>23210692</v>
      </c>
      <c r="F340" t="s">
        <v>383</v>
      </c>
      <c r="G340" t="s">
        <v>384</v>
      </c>
      <c r="H340">
        <v>250</v>
      </c>
      <c r="I340">
        <v>96</v>
      </c>
      <c r="J340">
        <v>24000</v>
      </c>
      <c r="K340" t="str">
        <f>IFERROR(IF(B340&lt;&gt;"", TEXT(VLOOKUP(B340, 'Expected Date'!A:B, 2, FALSE) + DATE(RIGHT(C340,2),MID(C340,4,2),LEFT(C340,2)), "dd/mm/yy"), ""), "")</f>
        <v>05/10/23</v>
      </c>
      <c r="L340" t="s">
        <v>38</v>
      </c>
      <c r="M340" t="s">
        <v>48</v>
      </c>
      <c r="N340" t="s">
        <v>342</v>
      </c>
      <c r="O340" t="s">
        <v>536</v>
      </c>
      <c r="P340">
        <v>23291545</v>
      </c>
      <c r="Q340" t="s">
        <v>383</v>
      </c>
      <c r="R340" t="s">
        <v>384</v>
      </c>
      <c r="S340">
        <v>250</v>
      </c>
      <c r="T340">
        <v>96</v>
      </c>
      <c r="U340">
        <v>24000</v>
      </c>
      <c r="V340" t="str">
        <f t="shared" si="93"/>
        <v>Accepted</v>
      </c>
      <c r="W340">
        <f>IFERROR(VLOOKUP(N340, Payment_Terms!A:B, 2, FALSE), "Payment term not found!")</f>
        <v>30</v>
      </c>
      <c r="X340" t="str">
        <f>IFERROR(VLOOKUP(R340, Item_Category!A:B, 2, FALSE), "Uncategorized")</f>
        <v>Gas</v>
      </c>
      <c r="Y340" s="5">
        <f t="shared" si="110"/>
        <v>0</v>
      </c>
      <c r="Z340">
        <f t="shared" si="97"/>
        <v>5</v>
      </c>
      <c r="AA340">
        <f t="shared" si="98"/>
        <v>-8</v>
      </c>
      <c r="AB340">
        <f t="shared" si="99"/>
        <v>5</v>
      </c>
      <c r="AC340" s="10">
        <f t="shared" si="100"/>
        <v>2</v>
      </c>
      <c r="AD340" s="5">
        <f t="shared" si="94"/>
        <v>1</v>
      </c>
      <c r="AE340" s="5">
        <f t="shared" si="95"/>
        <v>1</v>
      </c>
      <c r="AF340" s="5">
        <f t="shared" si="101"/>
        <v>0</v>
      </c>
      <c r="AG340">
        <f>IF(B340&lt;&gt;"", COUNTIFS($B$2:B340, B340), "")</f>
        <v>21</v>
      </c>
      <c r="AH340">
        <f t="shared" si="102"/>
        <v>5</v>
      </c>
      <c r="AI340" t="str">
        <f>VLOOKUP(B340, Currency!A:B, 2, FALSE)</f>
        <v>INR</v>
      </c>
      <c r="AJ340">
        <f t="shared" si="96"/>
        <v>5</v>
      </c>
      <c r="AK340">
        <f t="shared" si="103"/>
        <v>9</v>
      </c>
      <c r="AL340" t="str">
        <f t="shared" si="104"/>
        <v>September</v>
      </c>
      <c r="AM340">
        <f t="shared" si="105"/>
        <v>2023</v>
      </c>
      <c r="AN340" t="str">
        <f t="shared" si="106"/>
        <v>30Aerochem Laboratories</v>
      </c>
      <c r="AO340">
        <f>IF(COUNTIF($AN$2:AN340, AN340)=1, 1, 0)</f>
        <v>0</v>
      </c>
      <c r="AP340" t="str">
        <f t="shared" si="107"/>
        <v>&gt;3</v>
      </c>
      <c r="AQ340" t="str">
        <f t="shared" si="108"/>
        <v>&gt;3</v>
      </c>
      <c r="AR340" t="str">
        <f t="shared" si="109"/>
        <v>&gt;3</v>
      </c>
    </row>
    <row r="341" spans="1:44" x14ac:dyDescent="0.3">
      <c r="A341" t="s">
        <v>33</v>
      </c>
      <c r="B341" t="s">
        <v>366</v>
      </c>
      <c r="C341" t="s">
        <v>229</v>
      </c>
      <c r="D341">
        <v>4749</v>
      </c>
      <c r="E341">
        <v>23210723</v>
      </c>
      <c r="F341" t="s">
        <v>392</v>
      </c>
      <c r="G341" t="s">
        <v>393</v>
      </c>
      <c r="H341">
        <v>100</v>
      </c>
      <c r="I341">
        <v>8400</v>
      </c>
      <c r="J341">
        <v>840000</v>
      </c>
      <c r="K341" t="str">
        <f>IFERROR(IF(B341&lt;&gt;"", TEXT(VLOOKUP(B341, 'Expected Date'!A:B, 2, FALSE) + DATE(RIGHT(C341,2),MID(C341,4,2),LEFT(C341,2)), "dd/mm/yy"), ""), "")</f>
        <v>02/10/23</v>
      </c>
      <c r="L341" t="s">
        <v>38</v>
      </c>
      <c r="M341" t="s">
        <v>48</v>
      </c>
      <c r="N341" t="s">
        <v>532</v>
      </c>
      <c r="O341" t="s">
        <v>229</v>
      </c>
      <c r="P341">
        <v>23291562</v>
      </c>
      <c r="Q341" t="s">
        <v>392</v>
      </c>
      <c r="R341" t="s">
        <v>393</v>
      </c>
      <c r="S341">
        <v>27.85</v>
      </c>
      <c r="T341">
        <v>8400</v>
      </c>
      <c r="U341">
        <v>233940</v>
      </c>
      <c r="V341" t="str">
        <f t="shared" si="93"/>
        <v>Accepted</v>
      </c>
      <c r="W341">
        <f>IFERROR(VLOOKUP(N341, Payment_Terms!A:B, 2, FALSE), "Payment term not found!")</f>
        <v>15</v>
      </c>
      <c r="X341" t="str">
        <f>IFERROR(VLOOKUP(R341, Item_Category!A:B, 2, FALSE), "Uncategorized")</f>
        <v>Coal materials</v>
      </c>
      <c r="Y341" s="5">
        <f t="shared" si="110"/>
        <v>0</v>
      </c>
      <c r="Z341">
        <f t="shared" si="97"/>
        <v>5</v>
      </c>
      <c r="AA341">
        <f t="shared" si="98"/>
        <v>-2</v>
      </c>
      <c r="AB341">
        <f t="shared" si="99"/>
        <v>5</v>
      </c>
      <c r="AC341" s="10">
        <f t="shared" si="100"/>
        <v>0</v>
      </c>
      <c r="AD341" s="5">
        <f t="shared" si="94"/>
        <v>1</v>
      </c>
      <c r="AE341" s="5">
        <f t="shared" si="95"/>
        <v>1</v>
      </c>
      <c r="AF341" s="5">
        <f t="shared" si="101"/>
        <v>0</v>
      </c>
      <c r="AG341">
        <f>IF(B341&lt;&gt;"", COUNTIFS($B$2:B341, B341), "")</f>
        <v>72</v>
      </c>
      <c r="AH341">
        <f t="shared" si="102"/>
        <v>5</v>
      </c>
      <c r="AI341" t="str">
        <f>VLOOKUP(B341, Currency!A:B, 2, FALSE)</f>
        <v>INR</v>
      </c>
      <c r="AJ341">
        <f t="shared" si="96"/>
        <v>5</v>
      </c>
      <c r="AK341">
        <f t="shared" si="103"/>
        <v>9</v>
      </c>
      <c r="AL341" t="str">
        <f t="shared" si="104"/>
        <v>September</v>
      </c>
      <c r="AM341">
        <f t="shared" si="105"/>
        <v>2023</v>
      </c>
      <c r="AN341" t="str">
        <f t="shared" si="106"/>
        <v>15SKYWIN ENTERPRISE</v>
      </c>
      <c r="AO341">
        <f>IF(COUNTIF($AN$2:AN341, AN341)=1, 1, 0)</f>
        <v>0</v>
      </c>
      <c r="AP341" t="str">
        <f t="shared" si="107"/>
        <v>&gt;3</v>
      </c>
      <c r="AQ341" t="str">
        <f t="shared" si="108"/>
        <v>&gt;3</v>
      </c>
      <c r="AR341" t="str">
        <f t="shared" si="109"/>
        <v>&gt;3</v>
      </c>
    </row>
  </sheetData>
  <autoFilter ref="A1:AR1" xr:uid="{9B27F361-64AF-43D4-A67A-11F9170780F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21C3-AE4C-4DA6-9D80-7BE937CD0233}">
  <sheetPr>
    <tabColor rgb="FF00B050"/>
  </sheetPr>
  <dimension ref="A1:AR224"/>
  <sheetViews>
    <sheetView workbookViewId="0"/>
  </sheetViews>
  <sheetFormatPr defaultRowHeight="14.4" x14ac:dyDescent="0.3"/>
  <cols>
    <col min="1" max="1" width="15.44140625" customWidth="1"/>
    <col min="2" max="2" width="36.88671875" customWidth="1"/>
    <col min="3" max="3" width="18.5546875" customWidth="1"/>
    <col min="4" max="4" width="20" customWidth="1"/>
    <col min="5" max="5" width="20.44140625" customWidth="1"/>
    <col min="6" max="6" width="23.109375" customWidth="1"/>
    <col min="7" max="7" width="58.6640625" customWidth="1"/>
    <col min="8" max="8" width="23.6640625" customWidth="1"/>
    <col min="9" max="9" width="15.6640625" customWidth="1"/>
    <col min="10" max="10" width="14.33203125" customWidth="1"/>
    <col min="11" max="11" width="15.6640625" customWidth="1"/>
    <col min="12" max="12" width="13.88671875" customWidth="1"/>
    <col min="13" max="13" width="14.109375" customWidth="1"/>
    <col min="14" max="14" width="26.44140625" customWidth="1"/>
    <col min="15" max="15" width="12.6640625" customWidth="1"/>
    <col min="16" max="16" width="17.33203125" customWidth="1"/>
    <col min="17" max="17" width="13.88671875" customWidth="1"/>
    <col min="18" max="18" width="55.44140625" customWidth="1"/>
    <col min="19" max="19" width="16.5546875" customWidth="1"/>
    <col min="20" max="20" width="11.88671875" customWidth="1"/>
    <col min="21" max="21" width="12.44140625" customWidth="1"/>
    <col min="22" max="22" width="18.6640625" customWidth="1"/>
    <col min="23" max="24" width="18.33203125" customWidth="1"/>
    <col min="25" max="25" width="21.33203125" style="5" customWidth="1"/>
    <col min="26" max="26" width="16.5546875" customWidth="1"/>
    <col min="27" max="27" width="20.5546875" customWidth="1"/>
    <col min="28" max="28" width="15.6640625" customWidth="1"/>
    <col min="29" max="29" width="18.33203125" customWidth="1"/>
    <col min="30" max="30" width="16.6640625" style="5" customWidth="1"/>
    <col min="31" max="31" width="21.6640625" style="5" customWidth="1"/>
    <col min="32" max="32" width="25.109375" style="5" customWidth="1"/>
    <col min="33" max="33" width="16.6640625" customWidth="1"/>
    <col min="34" max="35" width="14.44140625" customWidth="1"/>
    <col min="36" max="38" width="17" customWidth="1"/>
    <col min="39" max="39" width="11.33203125" customWidth="1"/>
    <col min="40" max="40" width="31.6640625" customWidth="1"/>
    <col min="41" max="41" width="18.44140625" customWidth="1"/>
    <col min="42" max="42" width="17.88671875" customWidth="1"/>
    <col min="43" max="43" width="18.5546875" customWidth="1"/>
    <col min="44" max="44" width="19.664062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7</v>
      </c>
      <c r="T1" s="1" t="s">
        <v>8</v>
      </c>
      <c r="U1" s="1" t="s">
        <v>9</v>
      </c>
      <c r="V1" s="1" t="s">
        <v>17</v>
      </c>
      <c r="W1" s="1" t="s">
        <v>18</v>
      </c>
      <c r="X1" s="3" t="s">
        <v>19</v>
      </c>
      <c r="Y1" s="6" t="s">
        <v>20</v>
      </c>
      <c r="Z1" s="3" t="s">
        <v>21</v>
      </c>
      <c r="AA1" s="3" t="s">
        <v>339</v>
      </c>
      <c r="AB1" s="3" t="s">
        <v>23</v>
      </c>
      <c r="AC1" s="3" t="s">
        <v>24</v>
      </c>
      <c r="AD1" s="6" t="s">
        <v>25</v>
      </c>
      <c r="AE1" s="6" t="s">
        <v>868</v>
      </c>
      <c r="AF1" s="6" t="s">
        <v>865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869</v>
      </c>
      <c r="AL1" s="3" t="s">
        <v>866</v>
      </c>
      <c r="AM1" s="3" t="s">
        <v>30</v>
      </c>
      <c r="AN1" s="3" t="s">
        <v>31</v>
      </c>
      <c r="AO1" s="3" t="s">
        <v>551</v>
      </c>
      <c r="AP1" s="3" t="s">
        <v>873</v>
      </c>
      <c r="AQ1" s="3" t="s">
        <v>874</v>
      </c>
      <c r="AR1" s="3" t="s">
        <v>875</v>
      </c>
    </row>
    <row r="2" spans="1:44" x14ac:dyDescent="0.3">
      <c r="A2" t="s">
        <v>33</v>
      </c>
      <c r="B2" t="s">
        <v>385</v>
      </c>
      <c r="C2" t="s">
        <v>70</v>
      </c>
      <c r="D2">
        <v>1525</v>
      </c>
      <c r="E2">
        <v>23310042</v>
      </c>
      <c r="F2" t="s">
        <v>552</v>
      </c>
      <c r="G2" t="s">
        <v>373</v>
      </c>
      <c r="H2">
        <v>50</v>
      </c>
      <c r="I2">
        <v>250</v>
      </c>
      <c r="J2">
        <v>12500</v>
      </c>
      <c r="K2" t="str">
        <f>IFERROR(IF(B2&lt;&gt;"", TEXT(VLOOKUP(B2, 'Expected Date'!A:B, 2, FALSE) + DATE(RIGHT(C2,2),MID(C2,4,2),LEFT(C2,2)), "dd/mm/yy"), ""), "")</f>
        <v>04/05/23</v>
      </c>
      <c r="L2" t="s">
        <v>68</v>
      </c>
      <c r="M2" t="s">
        <v>48</v>
      </c>
      <c r="N2" t="s">
        <v>342</v>
      </c>
      <c r="O2" t="s">
        <v>442</v>
      </c>
      <c r="P2">
        <v>23390079</v>
      </c>
      <c r="Q2" t="s">
        <v>552</v>
      </c>
      <c r="R2" t="s">
        <v>553</v>
      </c>
      <c r="S2">
        <v>11.2</v>
      </c>
      <c r="T2">
        <v>250</v>
      </c>
      <c r="U2">
        <v>2800</v>
      </c>
      <c r="V2" t="s">
        <v>42</v>
      </c>
      <c r="W2">
        <f>IFERROR(VLOOKUP(N2, Payment_Terms!A:B, 2, FALSE), "Payment term not found!")</f>
        <v>30</v>
      </c>
      <c r="X2" t="str">
        <f>IFERROR(VLOOKUP(R2, Item_Category!A:B, 2, FALSE), "Uncategorized")</f>
        <v>HCL</v>
      </c>
      <c r="Y2" s="5">
        <f>IFERROR(IF(AND(E2&lt;&gt;"", G2&lt;&gt;""), MAX(0, (H2-SUMIFS(S:S, E:E, E2, G:G, G2))/H2), ""), (H2-S2)/H2)</f>
        <v>0.32900000000000007</v>
      </c>
      <c r="Z2">
        <f>IF(Y2&lt;=0%,5,(IF(AND(Y2&gt;0%,Y2&lt;=2%),4,IF(AND(Y2&gt;2%,Y2&lt;=5%),3,IF(AND(Y2&gt;5%,Y2&lt;10%),2,1)))))</f>
        <v>1</v>
      </c>
      <c r="AA2">
        <f>DATE(RIGHT(O2,2),MID(O2,4,2),LEFT(O2,2)) - DATE(RIGHT(K2,2),MID(K2,4,2),LEFT(K2,2))</f>
        <v>-9</v>
      </c>
      <c r="AB2">
        <f>IF(AA2 &lt;= 2, 5, IF(AA2 &lt;= 4, 4, IF(AA2 &lt;= 7, 3, IF(AA2&lt;=10,2,1))))</f>
        <v>5</v>
      </c>
      <c r="AC2" s="10">
        <f>ABS(DATE(RIGHT(O2,2),MID(O2,4,2),LEFT(O2,2)) - DATE(RIGHT(C2,2),MID(C2,4,2),LEFT(C2,2)))</f>
        <v>1</v>
      </c>
      <c r="AD2" s="5">
        <f t="shared" ref="AD2:AD65" si="0">IF(V2="Accepted",1,0)</f>
        <v>1</v>
      </c>
      <c r="AE2" s="5">
        <f t="shared" ref="AE2:AE65" si="1">ROUNDUP((SUMIFS(S:S, B:B, B2, V:V, "Accepted")/SUMIF(B:B,B2,S:S)),2)</f>
        <v>1</v>
      </c>
      <c r="AF2" s="5">
        <f>ROUNDUP(ABS(100%-AE2),2)</f>
        <v>0</v>
      </c>
      <c r="AG2">
        <f>IF(B2&lt;&gt;"", COUNTIFS($B$2:B2, B2), "")</f>
        <v>1</v>
      </c>
      <c r="AH2">
        <f>IF(AF2=0%,5,IF(AND(AF2&gt;0%,AF2&lt;=2%),4,IF(AND(AF2&gt;2%,AF2&lt;=5%),3,IF(AND(AF2&gt;5%,AF2&lt;10%),2,1))))</f>
        <v>5</v>
      </c>
      <c r="AI2" t="str">
        <f>VLOOKUP(B2, Currency!A:B, 2, FALSE)</f>
        <v>INR</v>
      </c>
      <c r="AJ2">
        <f t="shared" ref="AJ2:AJ65" si="2">_xlfn.CEILING.MATH(((0.4*AH2)+(0.3*Z2)+(0.3*AB2)),1)</f>
        <v>4</v>
      </c>
      <c r="AK2">
        <f>MONTH(DATE(RIGHT(C2,2),MID(C2,4,2),LEFT(C2,2)))</f>
        <v>4</v>
      </c>
      <c r="AL2" t="str">
        <f>TEXT(DATE(RIGHT(C2,2),MID(C2,4,2),LEFT(C2,2)),"mmmm")</f>
        <v>April</v>
      </c>
      <c r="AM2">
        <f>YEAR(DATE(VALUE(MID(C2,7,2))+2000, MID(C2,4,2), MID(C2,1,2)))</f>
        <v>2023</v>
      </c>
      <c r="AN2" t="str">
        <f t="shared" ref="AN2:AN33" si="3">W2&amp;B2</f>
        <v>30Duttchem Enterprise</v>
      </c>
      <c r="AO2">
        <f>IF(COUNTIF($AN$2:AN2, AN2)=1, 1, 0)</f>
        <v>1</v>
      </c>
      <c r="AP2" t="str">
        <f>IF(AH2&lt;=3,"&lt;=3","&gt;3")</f>
        <v>&gt;3</v>
      </c>
      <c r="AQ2" t="str">
        <f>IF(Z2&lt;=3,"&lt;=3","&gt;3")</f>
        <v>&lt;=3</v>
      </c>
      <c r="AR2" t="str">
        <f>IF(AB2&lt;=3,"&lt;=3","&gt;3")</f>
        <v>&gt;3</v>
      </c>
    </row>
    <row r="3" spans="1:44" x14ac:dyDescent="0.3">
      <c r="A3" t="s">
        <v>33</v>
      </c>
      <c r="B3" t="s">
        <v>386</v>
      </c>
      <c r="C3" t="s">
        <v>428</v>
      </c>
      <c r="D3">
        <v>1184</v>
      </c>
      <c r="E3">
        <v>23310006</v>
      </c>
      <c r="F3" t="s">
        <v>554</v>
      </c>
      <c r="G3" t="s">
        <v>555</v>
      </c>
      <c r="H3">
        <v>8000</v>
      </c>
      <c r="I3">
        <v>19.5</v>
      </c>
      <c r="J3">
        <v>156000</v>
      </c>
      <c r="K3" t="str">
        <f>IFERROR(IF(B3&lt;&gt;"", TEXT(VLOOKUP(B3, 'Expected Date'!A:B, 2, FALSE) + DATE(RIGHT(C3,2),MID(C3,4,2),LEFT(C3,2)), "dd/mm/yy"), ""), "")</f>
        <v>08/04/23</v>
      </c>
      <c r="L3" t="s">
        <v>68</v>
      </c>
      <c r="M3" t="s">
        <v>39</v>
      </c>
      <c r="N3" t="s">
        <v>556</v>
      </c>
      <c r="O3" t="s">
        <v>35</v>
      </c>
      <c r="P3">
        <v>23390081</v>
      </c>
      <c r="Q3" t="s">
        <v>554</v>
      </c>
      <c r="R3" t="s">
        <v>555</v>
      </c>
      <c r="S3">
        <v>2146</v>
      </c>
      <c r="T3">
        <v>19.5</v>
      </c>
      <c r="U3">
        <v>41847</v>
      </c>
      <c r="V3" t="str">
        <f>V2</f>
        <v>Accepted</v>
      </c>
      <c r="W3">
        <f>IFERROR(VLOOKUP(N3, Payment_Terms!A:B, 2, FALSE), "Payment term not found!")</f>
        <v>30</v>
      </c>
      <c r="X3" t="str">
        <f>IFERROR(VLOOKUP(R3, Item_Category!A:B, 2, FALSE), "Uncategorized")</f>
        <v>HDPE bag acecel</v>
      </c>
      <c r="Y3" s="5">
        <f t="shared" ref="Y3:Y67" si="4">IFERROR(IF(AND(E3&lt;&gt;"", G3&lt;&gt;""), MAX(0, (H3-SUMIFS(S:S, E:E, E3, G:G, G3))/H3), ""), (H3-S3)/H3)</f>
        <v>6.0000000000000001E-3</v>
      </c>
      <c r="Z3">
        <f t="shared" ref="Z3:Z66" si="5">IF(Y3&lt;=0%,5,(IF(AND(Y3&gt;0%,Y3&lt;=2%),4,IF(AND(Y3&gt;2%,Y3&lt;=5%),3,IF(AND(Y3&gt;5%,Y3&lt;10%),2,1)))))</f>
        <v>4</v>
      </c>
      <c r="AA3">
        <f t="shared" ref="AA3:AA66" si="6">DATE(RIGHT(O3,2),MID(O3,4,2),LEFT(O3,2)) - DATE(RIGHT(K3,2),MID(K3,4,2),LEFT(K3,2))</f>
        <v>19</v>
      </c>
      <c r="AB3">
        <f t="shared" ref="AB3:AB66" si="7">IF(AA3 &lt;= 2, 5, IF(AA3 &lt;= 4, 4, IF(AA3 &lt;= 7, 3, IF(AA3&lt;=10,2,1))))</f>
        <v>1</v>
      </c>
      <c r="AC3" s="10">
        <f t="shared" ref="AC3:AC66" si="8">ABS(DATE(RIGHT(O3,2),MID(O3,4,2),LEFT(O3,2)) - DATE(RIGHT(C3,2),MID(C3,4,2),LEFT(C3,2)))</f>
        <v>24</v>
      </c>
      <c r="AD3" s="5">
        <f t="shared" si="0"/>
        <v>1</v>
      </c>
      <c r="AE3" s="5">
        <f t="shared" si="1"/>
        <v>1</v>
      </c>
      <c r="AF3" s="5">
        <f t="shared" ref="AF3:AF66" si="9">ROUNDUP(ABS(100%-AE3),2)</f>
        <v>0</v>
      </c>
      <c r="AG3">
        <f>IF(B3&lt;&gt;"", COUNTIFS($B$2:B3, B3), "")</f>
        <v>1</v>
      </c>
      <c r="AH3">
        <f t="shared" ref="AH3:AH66" si="10">IF(AF3=0%,5,IF(AND(AF3&gt;0%,AF3&lt;=2%),4,IF(AND(AF3&gt;2%,AF3&lt;=5%),3,IF(AND(AF3&gt;5%,AF3&lt;10%),2,1))))</f>
        <v>5</v>
      </c>
      <c r="AI3" t="str">
        <f>VLOOKUP(B3, Currency!A:B, 2, FALSE)</f>
        <v>INR</v>
      </c>
      <c r="AJ3">
        <f t="shared" si="2"/>
        <v>4</v>
      </c>
      <c r="AK3">
        <f t="shared" ref="AK3:AK66" si="11">MONTH(DATE(RIGHT(C3,2),MID(C3,4,2),LEFT(C3,2)))</f>
        <v>4</v>
      </c>
      <c r="AL3" t="str">
        <f t="shared" ref="AL3:AL66" si="12">TEXT(DATE(RIGHT(C3,2),MID(C3,4,2),LEFT(C3,2)),"mmmm")</f>
        <v>April</v>
      </c>
      <c r="AM3">
        <f t="shared" ref="AM3:AM66" si="13">YEAR(DATE(VALUE(MID(C3,7,2))+2000, MID(C3,4,2), MID(C3,1,2)))</f>
        <v>2023</v>
      </c>
      <c r="AN3" t="str">
        <f t="shared" si="3"/>
        <v>30Shree Shyam Enterprises</v>
      </c>
      <c r="AO3">
        <f>IF(COUNTIF($AN$2:AN3, AN3)=1, 1, 0)</f>
        <v>1</v>
      </c>
      <c r="AP3" t="str">
        <f t="shared" ref="AP3:AP66" si="14">IF(AH3&lt;=3,"&lt;=3","&gt;3")</f>
        <v>&gt;3</v>
      </c>
      <c r="AQ3" t="str">
        <f t="shared" ref="AQ3:AQ66" si="15">IF(Z3&lt;=3,"&lt;=3","&gt;3")</f>
        <v>&gt;3</v>
      </c>
      <c r="AR3" t="str">
        <f t="shared" ref="AR3:AR66" si="16">IF(AB3&lt;=3,"&lt;=3","&gt;3")</f>
        <v>&lt;=3</v>
      </c>
    </row>
    <row r="4" spans="1:44" x14ac:dyDescent="0.3">
      <c r="A4" t="s">
        <v>33</v>
      </c>
      <c r="B4" t="s">
        <v>557</v>
      </c>
      <c r="C4" t="s">
        <v>57</v>
      </c>
      <c r="D4">
        <v>3523</v>
      </c>
      <c r="E4">
        <v>23310275</v>
      </c>
      <c r="F4" t="s">
        <v>558</v>
      </c>
      <c r="G4" t="s">
        <v>384</v>
      </c>
      <c r="H4">
        <v>400</v>
      </c>
      <c r="I4">
        <v>99</v>
      </c>
      <c r="J4">
        <v>39600</v>
      </c>
      <c r="K4" t="str">
        <f>IFERROR(IF(B4&lt;&gt;"", TEXT(VLOOKUP(B4, 'Expected Date'!A:B, 2, FALSE) + DATE(RIGHT(C4,2),MID(C4,4,2),LEFT(C4,2)), "dd/mm/yy"), ""), "")</f>
        <v>13/08/23</v>
      </c>
      <c r="L4" t="s">
        <v>38</v>
      </c>
      <c r="M4" t="s">
        <v>48</v>
      </c>
      <c r="N4" t="s">
        <v>364</v>
      </c>
      <c r="O4" t="s">
        <v>525</v>
      </c>
      <c r="P4">
        <v>23390454</v>
      </c>
      <c r="Q4" t="s">
        <v>558</v>
      </c>
      <c r="R4" t="s">
        <v>559</v>
      </c>
      <c r="S4">
        <v>100</v>
      </c>
      <c r="T4">
        <v>99</v>
      </c>
      <c r="U4">
        <v>9900</v>
      </c>
      <c r="V4" t="str">
        <f t="shared" ref="V4:V67" si="17">V3</f>
        <v>Accepted</v>
      </c>
      <c r="W4">
        <f>IFERROR(VLOOKUP(N4, Payment_Terms!A:B, 2, FALSE), "Payment term not found!")</f>
        <v>30</v>
      </c>
      <c r="X4" t="str">
        <f>IFERROR(VLOOKUP(R4, Item_Category!A:B, 2, FALSE), "Uncategorized")</f>
        <v>Anhydrous Ammonia</v>
      </c>
      <c r="Y4" s="5">
        <f t="shared" si="4"/>
        <v>0</v>
      </c>
      <c r="Z4">
        <f t="shared" si="5"/>
        <v>5</v>
      </c>
      <c r="AA4">
        <f t="shared" si="6"/>
        <v>6</v>
      </c>
      <c r="AB4">
        <f t="shared" si="7"/>
        <v>3</v>
      </c>
      <c r="AC4" s="10">
        <f t="shared" si="8"/>
        <v>16</v>
      </c>
      <c r="AD4" s="5">
        <f t="shared" si="0"/>
        <v>1</v>
      </c>
      <c r="AE4" s="5">
        <f t="shared" si="1"/>
        <v>1</v>
      </c>
      <c r="AF4" s="5">
        <f t="shared" si="9"/>
        <v>0</v>
      </c>
      <c r="AG4">
        <f>IF(B4&lt;&gt;"", COUNTIFS($B$2:B4, B4), "")</f>
        <v>1</v>
      </c>
      <c r="AH4">
        <f t="shared" si="10"/>
        <v>5</v>
      </c>
      <c r="AI4" t="str">
        <f>VLOOKUP(B4, Currency!A:B, 2, FALSE)</f>
        <v>INR</v>
      </c>
      <c r="AJ4">
        <f t="shared" si="2"/>
        <v>5</v>
      </c>
      <c r="AK4">
        <f t="shared" si="11"/>
        <v>8</v>
      </c>
      <c r="AL4" t="str">
        <f t="shared" si="12"/>
        <v>August</v>
      </c>
      <c r="AM4">
        <f t="shared" si="13"/>
        <v>2023</v>
      </c>
      <c r="AN4" t="str">
        <f t="shared" si="3"/>
        <v>30Jaysons Chemical Industries Vapi</v>
      </c>
      <c r="AO4">
        <f>IF(COUNTIF($AN$2:AN4, AN4)=1, 1, 0)</f>
        <v>1</v>
      </c>
      <c r="AP4" t="str">
        <f t="shared" si="14"/>
        <v>&gt;3</v>
      </c>
      <c r="AQ4" t="str">
        <f t="shared" si="15"/>
        <v>&gt;3</v>
      </c>
      <c r="AR4" t="str">
        <f t="shared" si="16"/>
        <v>&lt;=3</v>
      </c>
    </row>
    <row r="5" spans="1:44" x14ac:dyDescent="0.3">
      <c r="A5" t="s">
        <v>33</v>
      </c>
      <c r="B5" t="s">
        <v>386</v>
      </c>
      <c r="C5" t="s">
        <v>428</v>
      </c>
      <c r="D5">
        <v>1184</v>
      </c>
      <c r="E5">
        <v>23310006</v>
      </c>
      <c r="F5" t="s">
        <v>560</v>
      </c>
      <c r="G5" t="s">
        <v>561</v>
      </c>
      <c r="H5">
        <v>500</v>
      </c>
      <c r="I5">
        <v>19.5</v>
      </c>
      <c r="J5">
        <v>9750</v>
      </c>
      <c r="K5" t="str">
        <f>IFERROR(IF(B5&lt;&gt;"", TEXT(VLOOKUP(B5, 'Expected Date'!A:B, 2, FALSE) + DATE(RIGHT(C5,2),MID(C5,4,2),LEFT(C5,2)), "dd/mm/yy"), ""), "")</f>
        <v>08/04/23</v>
      </c>
      <c r="L5" t="s">
        <v>38</v>
      </c>
      <c r="M5" t="s">
        <v>39</v>
      </c>
      <c r="N5" t="s">
        <v>556</v>
      </c>
      <c r="O5" t="s">
        <v>35</v>
      </c>
      <c r="P5">
        <v>23390081</v>
      </c>
      <c r="Q5" t="s">
        <v>560</v>
      </c>
      <c r="R5" t="s">
        <v>561</v>
      </c>
      <c r="S5">
        <v>500</v>
      </c>
      <c r="T5">
        <v>19.5</v>
      </c>
      <c r="U5">
        <v>9750</v>
      </c>
      <c r="V5" t="str">
        <f t="shared" si="17"/>
        <v>Accepted</v>
      </c>
      <c r="W5">
        <f>IFERROR(VLOOKUP(N5, Payment_Terms!A:B, 2, FALSE), "Payment term not found!")</f>
        <v>30</v>
      </c>
      <c r="X5" t="str">
        <f>IFERROR(VLOOKUP(R5, Item_Category!A:B, 2, FALSE), "Uncategorized")</f>
        <v>HDPE bag glocel</v>
      </c>
      <c r="Y5" s="5">
        <f t="shared" si="4"/>
        <v>0</v>
      </c>
      <c r="Z5">
        <f t="shared" si="5"/>
        <v>5</v>
      </c>
      <c r="AA5">
        <f t="shared" si="6"/>
        <v>19</v>
      </c>
      <c r="AB5">
        <f t="shared" si="7"/>
        <v>1</v>
      </c>
      <c r="AC5" s="10">
        <f t="shared" si="8"/>
        <v>24</v>
      </c>
      <c r="AD5" s="5">
        <f t="shared" si="0"/>
        <v>1</v>
      </c>
      <c r="AE5" s="5">
        <f t="shared" si="1"/>
        <v>1</v>
      </c>
      <c r="AF5" s="5">
        <f t="shared" si="9"/>
        <v>0</v>
      </c>
      <c r="AG5">
        <f>IF(B5&lt;&gt;"", COUNTIFS($B$2:B5, B5), "")</f>
        <v>2</v>
      </c>
      <c r="AH5">
        <f t="shared" si="10"/>
        <v>5</v>
      </c>
      <c r="AI5" t="str">
        <f>VLOOKUP(B5, Currency!A:B, 2, FALSE)</f>
        <v>INR</v>
      </c>
      <c r="AJ5">
        <f t="shared" si="2"/>
        <v>4</v>
      </c>
      <c r="AK5">
        <f t="shared" si="11"/>
        <v>4</v>
      </c>
      <c r="AL5" t="str">
        <f t="shared" si="12"/>
        <v>April</v>
      </c>
      <c r="AM5">
        <f t="shared" si="13"/>
        <v>2023</v>
      </c>
      <c r="AN5" t="str">
        <f t="shared" si="3"/>
        <v>30Shree Shyam Enterprises</v>
      </c>
      <c r="AO5">
        <f>IF(COUNTIF($AN$2:AN5, AN5)=1, 1, 0)</f>
        <v>0</v>
      </c>
      <c r="AP5" t="str">
        <f t="shared" si="14"/>
        <v>&gt;3</v>
      </c>
      <c r="AQ5" t="str">
        <f t="shared" si="15"/>
        <v>&gt;3</v>
      </c>
      <c r="AR5" t="str">
        <f t="shared" si="16"/>
        <v>&lt;=3</v>
      </c>
    </row>
    <row r="6" spans="1:44" x14ac:dyDescent="0.3">
      <c r="A6" t="s">
        <v>33</v>
      </c>
      <c r="B6" t="s">
        <v>513</v>
      </c>
      <c r="C6" t="s">
        <v>562</v>
      </c>
      <c r="D6">
        <v>1635</v>
      </c>
      <c r="E6">
        <v>23310057</v>
      </c>
      <c r="F6" t="s">
        <v>563</v>
      </c>
      <c r="G6" t="s">
        <v>515</v>
      </c>
      <c r="H6">
        <v>2500</v>
      </c>
      <c r="I6">
        <v>26</v>
      </c>
      <c r="J6">
        <v>65000</v>
      </c>
      <c r="K6" t="str">
        <f>IFERROR(IF(B6&lt;&gt;"", TEXT(VLOOKUP(B6, 'Expected Date'!A:B, 2, FALSE) + DATE(RIGHT(C6,2),MID(C6,4,2),LEFT(C6,2)), "dd/mm/yy"), ""), "")</f>
        <v>02/05/23</v>
      </c>
      <c r="L6" t="s">
        <v>38</v>
      </c>
      <c r="M6" t="s">
        <v>48</v>
      </c>
      <c r="N6" t="s">
        <v>342</v>
      </c>
      <c r="O6" t="s">
        <v>108</v>
      </c>
      <c r="P6">
        <v>23390138</v>
      </c>
      <c r="Q6" t="s">
        <v>563</v>
      </c>
      <c r="R6" t="s">
        <v>564</v>
      </c>
      <c r="S6">
        <v>500</v>
      </c>
      <c r="T6">
        <v>26</v>
      </c>
      <c r="U6">
        <v>13000</v>
      </c>
      <c r="V6" t="str">
        <f t="shared" si="17"/>
        <v>Accepted</v>
      </c>
      <c r="W6">
        <f>IFERROR(VLOOKUP(N6, Payment_Terms!A:B, 2, FALSE), "Payment term not found!")</f>
        <v>30</v>
      </c>
      <c r="X6" t="str">
        <f>IFERROR(VLOOKUP(R6, Item_Category!A:B, 2, FALSE), "Uncategorized")</f>
        <v xml:space="preserve">Caustic Soda </v>
      </c>
      <c r="Y6" s="5">
        <f t="shared" si="4"/>
        <v>0</v>
      </c>
      <c r="Z6">
        <f t="shared" si="5"/>
        <v>5</v>
      </c>
      <c r="AA6">
        <f t="shared" si="6"/>
        <v>8</v>
      </c>
      <c r="AB6">
        <f t="shared" si="7"/>
        <v>2</v>
      </c>
      <c r="AC6" s="10">
        <f t="shared" si="8"/>
        <v>10</v>
      </c>
      <c r="AD6" s="5">
        <f t="shared" si="0"/>
        <v>1</v>
      </c>
      <c r="AE6" s="5">
        <f t="shared" si="1"/>
        <v>1</v>
      </c>
      <c r="AF6" s="5">
        <f t="shared" si="9"/>
        <v>0</v>
      </c>
      <c r="AG6">
        <f>IF(B6&lt;&gt;"", COUNTIFS($B$2:B6, B6), "")</f>
        <v>1</v>
      </c>
      <c r="AH6">
        <f t="shared" si="10"/>
        <v>5</v>
      </c>
      <c r="AI6" t="str">
        <f>VLOOKUP(B6, Currency!A:B, 2, FALSE)</f>
        <v>INR</v>
      </c>
      <c r="AJ6">
        <f t="shared" si="2"/>
        <v>5</v>
      </c>
      <c r="AK6">
        <f t="shared" si="11"/>
        <v>4</v>
      </c>
      <c r="AL6" t="str">
        <f t="shared" si="12"/>
        <v>April</v>
      </c>
      <c r="AM6">
        <f t="shared" si="13"/>
        <v>2023</v>
      </c>
      <c r="AN6" t="str">
        <f t="shared" si="3"/>
        <v>30J.K.Marketing</v>
      </c>
      <c r="AO6">
        <f>IF(COUNTIF($AN$2:AN6, AN6)=1, 1, 0)</f>
        <v>1</v>
      </c>
      <c r="AP6" t="str">
        <f t="shared" si="14"/>
        <v>&gt;3</v>
      </c>
      <c r="AQ6" t="str">
        <f t="shared" si="15"/>
        <v>&gt;3</v>
      </c>
      <c r="AR6" t="str">
        <f t="shared" si="16"/>
        <v>&lt;=3</v>
      </c>
    </row>
    <row r="7" spans="1:44" x14ac:dyDescent="0.3">
      <c r="A7" t="s">
        <v>33</v>
      </c>
      <c r="B7" t="s">
        <v>122</v>
      </c>
      <c r="C7" t="s">
        <v>352</v>
      </c>
      <c r="D7">
        <v>2379</v>
      </c>
      <c r="E7">
        <v>23310162</v>
      </c>
      <c r="F7" t="s">
        <v>565</v>
      </c>
      <c r="G7" t="s">
        <v>566</v>
      </c>
      <c r="H7">
        <v>200</v>
      </c>
      <c r="I7">
        <v>930</v>
      </c>
      <c r="J7">
        <v>186000</v>
      </c>
      <c r="K7" t="str">
        <f>IFERROR(IF(B7&lt;&gt;"", TEXT(VLOOKUP(B7, 'Expected Date'!A:B, 2, FALSE) + DATE(RIGHT(C7,2),MID(C7,4,2),LEFT(C7,2)), "dd/mm/yy"), ""), "")</f>
        <v>17/06/23</v>
      </c>
      <c r="L7" t="s">
        <v>38</v>
      </c>
      <c r="M7" t="s">
        <v>39</v>
      </c>
      <c r="N7" t="s">
        <v>318</v>
      </c>
      <c r="O7" t="s">
        <v>198</v>
      </c>
      <c r="P7">
        <v>23390369</v>
      </c>
      <c r="Q7" t="s">
        <v>565</v>
      </c>
      <c r="R7" t="s">
        <v>566</v>
      </c>
      <c r="S7">
        <v>40</v>
      </c>
      <c r="T7">
        <v>930</v>
      </c>
      <c r="U7">
        <v>37200</v>
      </c>
      <c r="V7" t="str">
        <f t="shared" si="17"/>
        <v>Accepted</v>
      </c>
      <c r="W7">
        <f>IFERROR(VLOOKUP(N7, Payment_Terms!A:B, 2, FALSE), "Payment term not found!")</f>
        <v>30</v>
      </c>
      <c r="X7" t="str">
        <f>IFERROR(VLOOKUP(R7, Item_Category!A:B, 2, FALSE), "Uncategorized")</f>
        <v>Pallets</v>
      </c>
      <c r="Y7" s="5">
        <f t="shared" si="4"/>
        <v>0</v>
      </c>
      <c r="Z7">
        <f t="shared" si="5"/>
        <v>5</v>
      </c>
      <c r="AA7">
        <f t="shared" si="6"/>
        <v>44</v>
      </c>
      <c r="AB7">
        <f t="shared" si="7"/>
        <v>1</v>
      </c>
      <c r="AC7" s="10">
        <f t="shared" si="8"/>
        <v>59</v>
      </c>
      <c r="AD7" s="5">
        <f t="shared" si="0"/>
        <v>1</v>
      </c>
      <c r="AE7" s="5">
        <f t="shared" si="1"/>
        <v>1</v>
      </c>
      <c r="AF7" s="5">
        <f t="shared" si="9"/>
        <v>0</v>
      </c>
      <c r="AG7">
        <f>IF(B7&lt;&gt;"", COUNTIFS($B$2:B7, B7), "")</f>
        <v>1</v>
      </c>
      <c r="AH7">
        <f t="shared" si="10"/>
        <v>5</v>
      </c>
      <c r="AI7" t="str">
        <f>VLOOKUP(B7, Currency!A:B, 2, FALSE)</f>
        <v>INR</v>
      </c>
      <c r="AJ7">
        <f t="shared" si="2"/>
        <v>4</v>
      </c>
      <c r="AK7">
        <f t="shared" si="11"/>
        <v>6</v>
      </c>
      <c r="AL7" t="str">
        <f t="shared" si="12"/>
        <v>June</v>
      </c>
      <c r="AM7">
        <f t="shared" si="13"/>
        <v>2023</v>
      </c>
      <c r="AN7" t="str">
        <f t="shared" si="3"/>
        <v>30Plastocon Industries Pvt Ltd</v>
      </c>
      <c r="AO7">
        <f>IF(COUNTIF($AN$2:AN7, AN7)=1, 1, 0)</f>
        <v>1</v>
      </c>
      <c r="AP7" t="str">
        <f t="shared" si="14"/>
        <v>&gt;3</v>
      </c>
      <c r="AQ7" t="str">
        <f t="shared" si="15"/>
        <v>&gt;3</v>
      </c>
      <c r="AR7" t="str">
        <f t="shared" si="16"/>
        <v>&lt;=3</v>
      </c>
    </row>
    <row r="8" spans="1:44" x14ac:dyDescent="0.3">
      <c r="A8" t="s">
        <v>33</v>
      </c>
      <c r="B8" t="s">
        <v>386</v>
      </c>
      <c r="C8" t="s">
        <v>428</v>
      </c>
      <c r="D8">
        <v>1184</v>
      </c>
      <c r="E8">
        <v>23310006</v>
      </c>
      <c r="F8" t="s">
        <v>567</v>
      </c>
      <c r="G8" t="s">
        <v>568</v>
      </c>
      <c r="H8">
        <v>736</v>
      </c>
      <c r="I8">
        <v>134</v>
      </c>
      <c r="J8">
        <v>98624</v>
      </c>
      <c r="K8" t="str">
        <f>IFERROR(IF(B8&lt;&gt;"", TEXT(VLOOKUP(B8, 'Expected Date'!A:B, 2, FALSE) + DATE(RIGHT(C8,2),MID(C8,4,2),LEFT(C8,2)), "dd/mm/yy"), ""), "")</f>
        <v>08/04/23</v>
      </c>
      <c r="L8" t="s">
        <v>38</v>
      </c>
      <c r="M8" t="s">
        <v>39</v>
      </c>
      <c r="N8" t="s">
        <v>556</v>
      </c>
      <c r="O8" t="s">
        <v>35</v>
      </c>
      <c r="P8">
        <v>23390081</v>
      </c>
      <c r="Q8" t="s">
        <v>567</v>
      </c>
      <c r="R8" t="s">
        <v>568</v>
      </c>
      <c r="S8">
        <v>771.5</v>
      </c>
      <c r="T8">
        <v>134</v>
      </c>
      <c r="U8">
        <v>103381</v>
      </c>
      <c r="V8" t="str">
        <f t="shared" si="17"/>
        <v>Accepted</v>
      </c>
      <c r="W8">
        <f>IFERROR(VLOOKUP(N8, Payment_Terms!A:B, 2, FALSE), "Payment term not found!")</f>
        <v>30</v>
      </c>
      <c r="X8" t="str">
        <f>IFERROR(VLOOKUP(R8, Item_Category!A:B, 2, FALSE), "Uncategorized")</f>
        <v>Liner</v>
      </c>
      <c r="Y8" s="5">
        <f t="shared" si="4"/>
        <v>0</v>
      </c>
      <c r="Z8">
        <f t="shared" si="5"/>
        <v>5</v>
      </c>
      <c r="AA8">
        <f t="shared" si="6"/>
        <v>19</v>
      </c>
      <c r="AB8">
        <f t="shared" si="7"/>
        <v>1</v>
      </c>
      <c r="AC8" s="10">
        <f t="shared" si="8"/>
        <v>24</v>
      </c>
      <c r="AD8" s="5">
        <f t="shared" si="0"/>
        <v>1</v>
      </c>
      <c r="AE8" s="5">
        <f t="shared" si="1"/>
        <v>1</v>
      </c>
      <c r="AF8" s="5">
        <f t="shared" si="9"/>
        <v>0</v>
      </c>
      <c r="AG8">
        <f>IF(B8&lt;&gt;"", COUNTIFS($B$2:B8, B8), "")</f>
        <v>3</v>
      </c>
      <c r="AH8">
        <f t="shared" si="10"/>
        <v>5</v>
      </c>
      <c r="AI8" t="str">
        <f>VLOOKUP(B8, Currency!A:B, 2, FALSE)</f>
        <v>INR</v>
      </c>
      <c r="AJ8">
        <f t="shared" si="2"/>
        <v>4</v>
      </c>
      <c r="AK8">
        <f t="shared" si="11"/>
        <v>4</v>
      </c>
      <c r="AL8" t="str">
        <f t="shared" si="12"/>
        <v>April</v>
      </c>
      <c r="AM8">
        <f t="shared" si="13"/>
        <v>2023</v>
      </c>
      <c r="AN8" t="str">
        <f t="shared" si="3"/>
        <v>30Shree Shyam Enterprises</v>
      </c>
      <c r="AO8">
        <f>IF(COUNTIF($AN$2:AN8, AN8)=1, 1, 0)</f>
        <v>0</v>
      </c>
      <c r="AP8" t="str">
        <f t="shared" si="14"/>
        <v>&gt;3</v>
      </c>
      <c r="AQ8" t="str">
        <f t="shared" si="15"/>
        <v>&gt;3</v>
      </c>
      <c r="AR8" t="str">
        <f t="shared" si="16"/>
        <v>&lt;=3</v>
      </c>
    </row>
    <row r="9" spans="1:44" x14ac:dyDescent="0.3">
      <c r="A9" t="s">
        <v>33</v>
      </c>
      <c r="B9" t="s">
        <v>395</v>
      </c>
      <c r="C9" t="s">
        <v>416</v>
      </c>
      <c r="D9">
        <v>2024</v>
      </c>
      <c r="E9">
        <v>23310112</v>
      </c>
      <c r="F9" t="s">
        <v>569</v>
      </c>
      <c r="G9" t="s">
        <v>570</v>
      </c>
      <c r="H9">
        <v>100</v>
      </c>
      <c r="I9">
        <v>11523.81</v>
      </c>
      <c r="J9">
        <v>1152381</v>
      </c>
      <c r="K9" t="str">
        <f>IFERROR(IF(B9&lt;&gt;"", TEXT(VLOOKUP(B9, 'Expected Date'!A:B, 2, FALSE) + DATE(RIGHT(C9,2),MID(C9,4,2),LEFT(C9,2)), "dd/mm/yy"), ""), "")</f>
        <v>25/05/23</v>
      </c>
      <c r="L9" t="s">
        <v>38</v>
      </c>
      <c r="M9" t="s">
        <v>48</v>
      </c>
      <c r="N9" t="s">
        <v>342</v>
      </c>
      <c r="O9" t="s">
        <v>414</v>
      </c>
      <c r="P9">
        <v>23390217</v>
      </c>
      <c r="Q9" t="s">
        <v>569</v>
      </c>
      <c r="R9" t="s">
        <v>570</v>
      </c>
      <c r="S9">
        <v>22.43</v>
      </c>
      <c r="T9">
        <v>11523.81</v>
      </c>
      <c r="U9">
        <v>258479.06</v>
      </c>
      <c r="V9" t="str">
        <f t="shared" si="17"/>
        <v>Accepted</v>
      </c>
      <c r="W9">
        <f>IFERROR(VLOOKUP(N9, Payment_Terms!A:B, 2, FALSE), "Payment term not found!")</f>
        <v>30</v>
      </c>
      <c r="X9" t="str">
        <f>IFERROR(VLOOKUP(R9, Item_Category!A:B, 2, FALSE), "Uncategorized")</f>
        <v>Coal materials</v>
      </c>
      <c r="Y9" s="5">
        <f t="shared" si="4"/>
        <v>0</v>
      </c>
      <c r="Z9">
        <f t="shared" si="5"/>
        <v>5</v>
      </c>
      <c r="AA9">
        <f t="shared" si="6"/>
        <v>7</v>
      </c>
      <c r="AB9">
        <f t="shared" si="7"/>
        <v>3</v>
      </c>
      <c r="AC9" s="10">
        <f t="shared" si="8"/>
        <v>12</v>
      </c>
      <c r="AD9" s="5">
        <f t="shared" si="0"/>
        <v>1</v>
      </c>
      <c r="AE9" s="5">
        <f t="shared" si="1"/>
        <v>1</v>
      </c>
      <c r="AF9" s="5">
        <f t="shared" si="9"/>
        <v>0</v>
      </c>
      <c r="AG9">
        <f>IF(B9&lt;&gt;"", COUNTIFS($B$2:B9, B9), "")</f>
        <v>1</v>
      </c>
      <c r="AH9">
        <f t="shared" si="10"/>
        <v>5</v>
      </c>
      <c r="AI9" t="str">
        <f>VLOOKUP(B9, Currency!A:B, 2, FALSE)</f>
        <v>INR</v>
      </c>
      <c r="AJ9">
        <f t="shared" si="2"/>
        <v>5</v>
      </c>
      <c r="AK9">
        <f t="shared" si="11"/>
        <v>5</v>
      </c>
      <c r="AL9" t="str">
        <f t="shared" si="12"/>
        <v>May</v>
      </c>
      <c r="AM9">
        <f t="shared" si="13"/>
        <v>2023</v>
      </c>
      <c r="AN9" t="str">
        <f t="shared" si="3"/>
        <v>30Crystal coal corporation</v>
      </c>
      <c r="AO9">
        <f>IF(COUNTIF($AN$2:AN9, AN9)=1, 1, 0)</f>
        <v>1</v>
      </c>
      <c r="AP9" t="str">
        <f t="shared" si="14"/>
        <v>&gt;3</v>
      </c>
      <c r="AQ9" t="str">
        <f t="shared" si="15"/>
        <v>&gt;3</v>
      </c>
      <c r="AR9" t="str">
        <f t="shared" si="16"/>
        <v>&lt;=3</v>
      </c>
    </row>
    <row r="10" spans="1:44" x14ac:dyDescent="0.3">
      <c r="A10" t="s">
        <v>95</v>
      </c>
      <c r="B10" t="s">
        <v>289</v>
      </c>
      <c r="C10" t="s">
        <v>394</v>
      </c>
      <c r="D10">
        <v>3808</v>
      </c>
      <c r="E10">
        <v>23320036</v>
      </c>
      <c r="F10" t="s">
        <v>571</v>
      </c>
      <c r="G10" t="s">
        <v>360</v>
      </c>
      <c r="H10">
        <v>98</v>
      </c>
      <c r="I10">
        <v>61500</v>
      </c>
      <c r="J10">
        <v>6027000</v>
      </c>
      <c r="K10" t="str">
        <f>IFERROR(IF(B10&lt;&gt;"", TEXT(VLOOKUP(B10, 'Expected Date'!A:B, 2, FALSE) + DATE(RIGHT(C10,2),MID(C10,4,2),LEFT(C10,2)), "dd/mm/yy"), ""), "")</f>
        <v>16/09/23</v>
      </c>
      <c r="L10" t="s">
        <v>38</v>
      </c>
      <c r="M10" t="s">
        <v>101</v>
      </c>
      <c r="N10" t="s">
        <v>109</v>
      </c>
      <c r="O10" t="s">
        <v>164</v>
      </c>
      <c r="P10">
        <v>23390517</v>
      </c>
      <c r="Q10" t="s">
        <v>571</v>
      </c>
      <c r="R10" t="s">
        <v>143</v>
      </c>
      <c r="S10">
        <v>30.34</v>
      </c>
      <c r="T10">
        <v>61500</v>
      </c>
      <c r="U10">
        <v>1865910</v>
      </c>
      <c r="V10" t="str">
        <f t="shared" si="17"/>
        <v>Accepted</v>
      </c>
      <c r="W10">
        <f>IFERROR(VLOOKUP(N10, Payment_Terms!A:B, 2, FALSE), "Payment term not found!")</f>
        <v>0</v>
      </c>
      <c r="X10" t="str">
        <f>IFERROR(VLOOKUP(R10, Item_Category!A:B, 2, FALSE), "Uncategorized")</f>
        <v>Wood pulp</v>
      </c>
      <c r="Y10" s="5">
        <f t="shared" si="4"/>
        <v>0</v>
      </c>
      <c r="Z10">
        <f t="shared" si="5"/>
        <v>5</v>
      </c>
      <c r="AA10">
        <f t="shared" si="6"/>
        <v>-8</v>
      </c>
      <c r="AB10">
        <f t="shared" si="7"/>
        <v>5</v>
      </c>
      <c r="AC10" s="10">
        <f t="shared" si="8"/>
        <v>22</v>
      </c>
      <c r="AD10" s="5">
        <f t="shared" si="0"/>
        <v>1</v>
      </c>
      <c r="AE10" s="5">
        <f t="shared" si="1"/>
        <v>1</v>
      </c>
      <c r="AF10" s="5">
        <f t="shared" si="9"/>
        <v>0</v>
      </c>
      <c r="AG10">
        <f>IF(B10&lt;&gt;"", COUNTIFS($B$2:B10, B10), "")</f>
        <v>1</v>
      </c>
      <c r="AH10">
        <f t="shared" si="10"/>
        <v>5</v>
      </c>
      <c r="AI10" t="str">
        <f>VLOOKUP(B10, Currency!A:B, 2, FALSE)</f>
        <v>INR</v>
      </c>
      <c r="AJ10">
        <f t="shared" si="2"/>
        <v>5</v>
      </c>
      <c r="AK10">
        <f t="shared" si="11"/>
        <v>8</v>
      </c>
      <c r="AL10" t="str">
        <f t="shared" si="12"/>
        <v>August</v>
      </c>
      <c r="AM10">
        <f t="shared" si="13"/>
        <v>2023</v>
      </c>
      <c r="AN10" t="str">
        <f t="shared" si="3"/>
        <v>0N.E. IMPEX PRIVATE LIMITED</v>
      </c>
      <c r="AO10">
        <f>IF(COUNTIF($AN$2:AN10, AN10)=1, 1, 0)</f>
        <v>1</v>
      </c>
      <c r="AP10" t="str">
        <f t="shared" si="14"/>
        <v>&gt;3</v>
      </c>
      <c r="AQ10" t="str">
        <f t="shared" si="15"/>
        <v>&gt;3</v>
      </c>
      <c r="AR10" t="str">
        <f t="shared" si="16"/>
        <v>&gt;3</v>
      </c>
    </row>
    <row r="11" spans="1:44" x14ac:dyDescent="0.3">
      <c r="A11" t="str">
        <f>A10</f>
        <v>Woodpulp</v>
      </c>
      <c r="B11" t="s">
        <v>289</v>
      </c>
      <c r="C11" t="s">
        <v>394</v>
      </c>
      <c r="D11">
        <v>3808</v>
      </c>
      <c r="E11">
        <v>23320036</v>
      </c>
      <c r="F11" t="s">
        <v>571</v>
      </c>
      <c r="G11" t="s">
        <v>360</v>
      </c>
      <c r="H11">
        <v>98</v>
      </c>
      <c r="I11">
        <v>61500</v>
      </c>
      <c r="J11">
        <v>6027000</v>
      </c>
      <c r="K11" t="str">
        <f>IFERROR(IF(B11&lt;&gt;"", TEXT(VLOOKUP(B11, 'Expected Date'!A:B, 2, FALSE) + DATE(RIGHT(C11,2),MID(C11,4,2),LEFT(C11,2)), "dd/mm/yy"), ""), "")</f>
        <v>16/09/23</v>
      </c>
      <c r="L11" t="s">
        <v>38</v>
      </c>
      <c r="M11" t="str">
        <f>M10</f>
        <v>MT</v>
      </c>
      <c r="N11" t="s">
        <v>109</v>
      </c>
      <c r="O11" t="s">
        <v>164</v>
      </c>
      <c r="P11">
        <v>23390518</v>
      </c>
      <c r="Q11" t="s">
        <v>571</v>
      </c>
      <c r="R11" t="s">
        <v>143</v>
      </c>
      <c r="S11">
        <v>30.34</v>
      </c>
      <c r="T11">
        <v>61500</v>
      </c>
      <c r="U11">
        <v>1865910</v>
      </c>
      <c r="V11" t="str">
        <f t="shared" si="17"/>
        <v>Accepted</v>
      </c>
      <c r="W11">
        <f>IFERROR(VLOOKUP(N11, Payment_Terms!A:B, 2, FALSE), "Payment term not found!")</f>
        <v>0</v>
      </c>
      <c r="X11" t="str">
        <f>IFERROR(VLOOKUP(R11, Item_Category!A:B, 2, FALSE), "Uncategorized")</f>
        <v>Wood pulp</v>
      </c>
      <c r="Y11" s="5">
        <f t="shared" si="4"/>
        <v>0</v>
      </c>
      <c r="Z11">
        <f t="shared" si="5"/>
        <v>5</v>
      </c>
      <c r="AA11">
        <f t="shared" si="6"/>
        <v>-8</v>
      </c>
      <c r="AB11">
        <f t="shared" si="7"/>
        <v>5</v>
      </c>
      <c r="AC11" s="10">
        <f t="shared" si="8"/>
        <v>22</v>
      </c>
      <c r="AD11" s="5">
        <f t="shared" si="0"/>
        <v>1</v>
      </c>
      <c r="AE11" s="5">
        <f t="shared" si="1"/>
        <v>1</v>
      </c>
      <c r="AF11" s="5">
        <f t="shared" si="9"/>
        <v>0</v>
      </c>
      <c r="AG11">
        <f>IF(B11&lt;&gt;"", COUNTIFS($B$2:B11, B11), "")</f>
        <v>2</v>
      </c>
      <c r="AH11">
        <f t="shared" si="10"/>
        <v>5</v>
      </c>
      <c r="AI11" t="str">
        <f>VLOOKUP(B11, Currency!A:B, 2, FALSE)</f>
        <v>INR</v>
      </c>
      <c r="AJ11">
        <f t="shared" si="2"/>
        <v>5</v>
      </c>
      <c r="AK11">
        <f t="shared" si="11"/>
        <v>8</v>
      </c>
      <c r="AL11" t="str">
        <f t="shared" si="12"/>
        <v>August</v>
      </c>
      <c r="AM11">
        <f t="shared" si="13"/>
        <v>2023</v>
      </c>
      <c r="AN11" t="str">
        <f t="shared" si="3"/>
        <v>0N.E. IMPEX PRIVATE LIMITED</v>
      </c>
      <c r="AO11">
        <f>IF(COUNTIF($AN$2:AN11, AN11)=1, 1, 0)</f>
        <v>0</v>
      </c>
      <c r="AP11" t="str">
        <f t="shared" si="14"/>
        <v>&gt;3</v>
      </c>
      <c r="AQ11" t="str">
        <f t="shared" si="15"/>
        <v>&gt;3</v>
      </c>
      <c r="AR11" t="str">
        <f t="shared" si="16"/>
        <v>&gt;3</v>
      </c>
    </row>
    <row r="12" spans="1:44" x14ac:dyDescent="0.3">
      <c r="A12" t="s">
        <v>33</v>
      </c>
      <c r="B12" t="s">
        <v>557</v>
      </c>
      <c r="C12" t="s">
        <v>57</v>
      </c>
      <c r="D12">
        <v>3523</v>
      </c>
      <c r="E12">
        <v>23310275</v>
      </c>
      <c r="F12" t="s">
        <v>558</v>
      </c>
      <c r="G12" t="s">
        <v>384</v>
      </c>
      <c r="H12">
        <v>400</v>
      </c>
      <c r="I12">
        <v>99</v>
      </c>
      <c r="J12">
        <v>39600</v>
      </c>
      <c r="K12" t="str">
        <f>IFERROR(IF(B12&lt;&gt;"", TEXT(VLOOKUP(B12, 'Expected Date'!A:B, 2, FALSE) + DATE(RIGHT(C12,2),MID(C12,4,2),LEFT(C12,2)), "dd/mm/yy"), ""), "")</f>
        <v>13/08/23</v>
      </c>
      <c r="L12" t="s">
        <v>38</v>
      </c>
      <c r="M12" t="s">
        <v>48</v>
      </c>
      <c r="N12" t="s">
        <v>364</v>
      </c>
      <c r="O12" t="s">
        <v>164</v>
      </c>
      <c r="P12">
        <v>23390523</v>
      </c>
      <c r="Q12" t="s">
        <v>558</v>
      </c>
      <c r="R12" t="s">
        <v>559</v>
      </c>
      <c r="S12">
        <v>100</v>
      </c>
      <c r="T12">
        <v>99</v>
      </c>
      <c r="U12">
        <v>9900</v>
      </c>
      <c r="V12" t="str">
        <f t="shared" si="17"/>
        <v>Accepted</v>
      </c>
      <c r="W12">
        <f>IFERROR(VLOOKUP(N12, Payment_Terms!A:B, 2, FALSE), "Payment term not found!")</f>
        <v>30</v>
      </c>
      <c r="X12" t="str">
        <f>IFERROR(VLOOKUP(R12, Item_Category!A:B, 2, FALSE), "Uncategorized")</f>
        <v>Anhydrous Ammonia</v>
      </c>
      <c r="Y12" s="5">
        <f t="shared" si="4"/>
        <v>0</v>
      </c>
      <c r="Z12">
        <f t="shared" si="5"/>
        <v>5</v>
      </c>
      <c r="AA12">
        <f t="shared" si="6"/>
        <v>26</v>
      </c>
      <c r="AB12">
        <f t="shared" si="7"/>
        <v>1</v>
      </c>
      <c r="AC12" s="10">
        <f t="shared" si="8"/>
        <v>36</v>
      </c>
      <c r="AD12" s="5">
        <f t="shared" si="0"/>
        <v>1</v>
      </c>
      <c r="AE12" s="5">
        <f t="shared" si="1"/>
        <v>1</v>
      </c>
      <c r="AF12" s="5">
        <f t="shared" si="9"/>
        <v>0</v>
      </c>
      <c r="AG12">
        <f>IF(B12&lt;&gt;"", COUNTIFS($B$2:B12, B12), "")</f>
        <v>2</v>
      </c>
      <c r="AH12">
        <f t="shared" si="10"/>
        <v>5</v>
      </c>
      <c r="AI12" t="str">
        <f>VLOOKUP(B12, Currency!A:B, 2, FALSE)</f>
        <v>INR</v>
      </c>
      <c r="AJ12">
        <f t="shared" si="2"/>
        <v>4</v>
      </c>
      <c r="AK12">
        <f t="shared" si="11"/>
        <v>8</v>
      </c>
      <c r="AL12" t="str">
        <f t="shared" si="12"/>
        <v>August</v>
      </c>
      <c r="AM12">
        <f t="shared" si="13"/>
        <v>2023</v>
      </c>
      <c r="AN12" t="str">
        <f t="shared" si="3"/>
        <v>30Jaysons Chemical Industries Vapi</v>
      </c>
      <c r="AO12">
        <f>IF(COUNTIF($AN$2:AN12, AN12)=1, 1, 0)</f>
        <v>0</v>
      </c>
      <c r="AP12" t="str">
        <f t="shared" si="14"/>
        <v>&gt;3</v>
      </c>
      <c r="AQ12" t="str">
        <f t="shared" si="15"/>
        <v>&gt;3</v>
      </c>
      <c r="AR12" t="str">
        <f t="shared" si="16"/>
        <v>&lt;=3</v>
      </c>
    </row>
    <row r="13" spans="1:44" x14ac:dyDescent="0.3">
      <c r="A13" t="s">
        <v>33</v>
      </c>
      <c r="B13" t="s">
        <v>513</v>
      </c>
      <c r="C13" t="s">
        <v>103</v>
      </c>
      <c r="D13">
        <v>4198</v>
      </c>
      <c r="E13">
        <v>23310340</v>
      </c>
      <c r="F13" t="s">
        <v>563</v>
      </c>
      <c r="G13" t="s">
        <v>515</v>
      </c>
      <c r="H13">
        <v>2500</v>
      </c>
      <c r="I13">
        <v>24</v>
      </c>
      <c r="J13">
        <v>60000</v>
      </c>
      <c r="K13" t="str">
        <f>IFERROR(IF(B13&lt;&gt;"", TEXT(VLOOKUP(B13, 'Expected Date'!A:B, 2, FALSE) + DATE(RIGHT(C13,2),MID(C13,4,2),LEFT(C13,2)), "dd/mm/yy"), ""), "")</f>
        <v>08/09/23</v>
      </c>
      <c r="L13" t="s">
        <v>38</v>
      </c>
      <c r="M13" t="s">
        <v>48</v>
      </c>
      <c r="N13" t="s">
        <v>342</v>
      </c>
      <c r="O13" t="s">
        <v>164</v>
      </c>
      <c r="P13">
        <v>23390524</v>
      </c>
      <c r="Q13" t="s">
        <v>563</v>
      </c>
      <c r="R13" t="s">
        <v>564</v>
      </c>
      <c r="S13">
        <v>1000</v>
      </c>
      <c r="T13">
        <v>24</v>
      </c>
      <c r="U13">
        <v>24000</v>
      </c>
      <c r="V13" t="str">
        <f t="shared" si="17"/>
        <v>Accepted</v>
      </c>
      <c r="W13">
        <f>IFERROR(VLOOKUP(N13, Payment_Terms!A:B, 2, FALSE), "Payment term not found!")</f>
        <v>30</v>
      </c>
      <c r="X13" t="str">
        <f>IFERROR(VLOOKUP(R13, Item_Category!A:B, 2, FALSE), "Uncategorized")</f>
        <v xml:space="preserve">Caustic Soda </v>
      </c>
      <c r="Y13" s="5">
        <f t="shared" si="4"/>
        <v>0</v>
      </c>
      <c r="Z13">
        <f t="shared" si="5"/>
        <v>5</v>
      </c>
      <c r="AA13">
        <f t="shared" si="6"/>
        <v>0</v>
      </c>
      <c r="AB13">
        <f t="shared" si="7"/>
        <v>5</v>
      </c>
      <c r="AC13" s="10">
        <f t="shared" si="8"/>
        <v>2</v>
      </c>
      <c r="AD13" s="5">
        <f t="shared" si="0"/>
        <v>1</v>
      </c>
      <c r="AE13" s="5">
        <f t="shared" si="1"/>
        <v>1</v>
      </c>
      <c r="AF13" s="5">
        <f t="shared" si="9"/>
        <v>0</v>
      </c>
      <c r="AG13">
        <f>IF(B13&lt;&gt;"", COUNTIFS($B$2:B13, B13), "")</f>
        <v>2</v>
      </c>
      <c r="AH13">
        <f t="shared" si="10"/>
        <v>5</v>
      </c>
      <c r="AI13" t="str">
        <f>VLOOKUP(B13, Currency!A:B, 2, FALSE)</f>
        <v>INR</v>
      </c>
      <c r="AJ13">
        <f t="shared" si="2"/>
        <v>5</v>
      </c>
      <c r="AK13">
        <f t="shared" si="11"/>
        <v>9</v>
      </c>
      <c r="AL13" t="str">
        <f t="shared" si="12"/>
        <v>September</v>
      </c>
      <c r="AM13">
        <f t="shared" si="13"/>
        <v>2023</v>
      </c>
      <c r="AN13" t="str">
        <f t="shared" si="3"/>
        <v>30J.K.Marketing</v>
      </c>
      <c r="AO13">
        <f>IF(COUNTIF($AN$2:AN13, AN13)=1, 1, 0)</f>
        <v>0</v>
      </c>
      <c r="AP13" t="str">
        <f t="shared" si="14"/>
        <v>&gt;3</v>
      </c>
      <c r="AQ13" t="str">
        <f t="shared" si="15"/>
        <v>&gt;3</v>
      </c>
      <c r="AR13" t="str">
        <f t="shared" si="16"/>
        <v>&gt;3</v>
      </c>
    </row>
    <row r="14" spans="1:44" x14ac:dyDescent="0.3">
      <c r="A14" t="s">
        <v>33</v>
      </c>
      <c r="B14" t="s">
        <v>34</v>
      </c>
      <c r="C14" t="s">
        <v>172</v>
      </c>
      <c r="D14">
        <v>1187</v>
      </c>
      <c r="E14">
        <v>23310009</v>
      </c>
      <c r="F14" t="s">
        <v>572</v>
      </c>
      <c r="G14" t="s">
        <v>595</v>
      </c>
      <c r="H14">
        <v>2000</v>
      </c>
      <c r="I14">
        <v>35</v>
      </c>
      <c r="J14">
        <v>70000</v>
      </c>
      <c r="K14" t="str">
        <f>IFERROR(IF(B14&lt;&gt;"", TEXT(VLOOKUP(B14, 'Expected Date'!A:B, 2, FALSE) + DATE(RIGHT(C14,2),MID(C14,4,2),LEFT(C14,2)), "dd/mm/yy"), ""), "")</f>
        <v>16/04/23</v>
      </c>
      <c r="L14" t="s">
        <v>38</v>
      </c>
      <c r="M14" t="s">
        <v>39</v>
      </c>
      <c r="N14" t="s">
        <v>318</v>
      </c>
      <c r="O14" t="s">
        <v>124</v>
      </c>
      <c r="P14">
        <v>23390037</v>
      </c>
      <c r="Q14" t="s">
        <v>572</v>
      </c>
      <c r="R14" t="s">
        <v>573</v>
      </c>
      <c r="S14">
        <v>2176</v>
      </c>
      <c r="T14">
        <v>35</v>
      </c>
      <c r="U14">
        <v>76160</v>
      </c>
      <c r="V14" t="str">
        <f t="shared" si="17"/>
        <v>Accepted</v>
      </c>
      <c r="W14">
        <f>IFERROR(VLOOKUP(N14, Payment_Terms!A:B, 2, FALSE), "Payment term not found!")</f>
        <v>30</v>
      </c>
      <c r="X14" t="str">
        <f>IFERROR(VLOOKUP(R14, Item_Category!A:B, 2, FALSE), "Uncategorized")</f>
        <v>Bags</v>
      </c>
      <c r="Y14" s="5">
        <f t="shared" si="4"/>
        <v>0</v>
      </c>
      <c r="Z14">
        <f t="shared" si="5"/>
        <v>5</v>
      </c>
      <c r="AA14">
        <f t="shared" si="6"/>
        <v>2</v>
      </c>
      <c r="AB14">
        <f t="shared" si="7"/>
        <v>5</v>
      </c>
      <c r="AC14" s="10">
        <f t="shared" si="8"/>
        <v>12</v>
      </c>
      <c r="AD14" s="5">
        <f t="shared" si="0"/>
        <v>1</v>
      </c>
      <c r="AE14" s="5">
        <f t="shared" si="1"/>
        <v>1</v>
      </c>
      <c r="AF14" s="5">
        <f t="shared" si="9"/>
        <v>0</v>
      </c>
      <c r="AG14">
        <f>IF(B14&lt;&gt;"", COUNTIFS($B$2:B14, B14), "")</f>
        <v>1</v>
      </c>
      <c r="AH14">
        <f t="shared" si="10"/>
        <v>5</v>
      </c>
      <c r="AI14" t="str">
        <f>VLOOKUP(B14, Currency!A:B, 2, FALSE)</f>
        <v>INR</v>
      </c>
      <c r="AJ14">
        <f t="shared" si="2"/>
        <v>5</v>
      </c>
      <c r="AK14">
        <f t="shared" si="11"/>
        <v>4</v>
      </c>
      <c r="AL14" t="str">
        <f t="shared" si="12"/>
        <v>April</v>
      </c>
      <c r="AM14">
        <f t="shared" si="13"/>
        <v>2023</v>
      </c>
      <c r="AN14" t="str">
        <f t="shared" si="3"/>
        <v>30Ami Enterprises</v>
      </c>
      <c r="AO14">
        <f>IF(COUNTIF($AN$2:AN14, AN14)=1, 1, 0)</f>
        <v>1</v>
      </c>
      <c r="AP14" t="str">
        <f t="shared" si="14"/>
        <v>&gt;3</v>
      </c>
      <c r="AQ14" t="str">
        <f t="shared" si="15"/>
        <v>&gt;3</v>
      </c>
      <c r="AR14" t="str">
        <f t="shared" si="16"/>
        <v>&gt;3</v>
      </c>
    </row>
    <row r="15" spans="1:44" x14ac:dyDescent="0.3">
      <c r="A15" t="s">
        <v>33</v>
      </c>
      <c r="B15" t="s">
        <v>366</v>
      </c>
      <c r="C15" t="s">
        <v>398</v>
      </c>
      <c r="D15">
        <v>1699</v>
      </c>
      <c r="E15">
        <v>23310072</v>
      </c>
      <c r="F15" t="s">
        <v>569</v>
      </c>
      <c r="G15" t="s">
        <v>570</v>
      </c>
      <c r="H15">
        <v>70</v>
      </c>
      <c r="I15">
        <v>10857.14</v>
      </c>
      <c r="J15">
        <v>759999.8</v>
      </c>
      <c r="K15" t="str">
        <f>IFERROR(IF(B15&lt;&gt;"", TEXT(VLOOKUP(B15, 'Expected Date'!A:B, 2, FALSE) + DATE(RIGHT(C15,2),MID(C15,4,2),LEFT(C15,2)), "dd/mm/yy"), ""), "")</f>
        <v>03/05/23</v>
      </c>
      <c r="L15" t="s">
        <v>38</v>
      </c>
      <c r="M15" t="s">
        <v>48</v>
      </c>
      <c r="N15" t="s">
        <v>574</v>
      </c>
      <c r="O15" t="s">
        <v>300</v>
      </c>
      <c r="P15">
        <v>23390139</v>
      </c>
      <c r="Q15" t="s">
        <v>569</v>
      </c>
      <c r="R15" t="s">
        <v>570</v>
      </c>
      <c r="S15">
        <v>28.58</v>
      </c>
      <c r="T15">
        <v>10857.14</v>
      </c>
      <c r="U15">
        <v>310297.06</v>
      </c>
      <c r="V15" t="str">
        <f t="shared" si="17"/>
        <v>Accepted</v>
      </c>
      <c r="W15">
        <f>IFERROR(VLOOKUP(N15, Payment_Terms!A:B, 2, FALSE), "Payment term not found!")</f>
        <v>0</v>
      </c>
      <c r="X15" t="str">
        <f>IFERROR(VLOOKUP(R15, Item_Category!A:B, 2, FALSE), "Uncategorized")</f>
        <v>Coal materials</v>
      </c>
      <c r="Y15" s="5">
        <f t="shared" si="4"/>
        <v>0</v>
      </c>
      <c r="Z15">
        <f t="shared" si="5"/>
        <v>5</v>
      </c>
      <c r="AA15">
        <f t="shared" si="6"/>
        <v>9</v>
      </c>
      <c r="AB15">
        <f t="shared" si="7"/>
        <v>2</v>
      </c>
      <c r="AC15" s="10">
        <f t="shared" si="8"/>
        <v>11</v>
      </c>
      <c r="AD15" s="5">
        <f t="shared" si="0"/>
        <v>1</v>
      </c>
      <c r="AE15" s="5">
        <f t="shared" si="1"/>
        <v>1</v>
      </c>
      <c r="AF15" s="5">
        <f t="shared" si="9"/>
        <v>0</v>
      </c>
      <c r="AG15">
        <f>IF(B15&lt;&gt;"", COUNTIFS($B$2:B15, B15), "")</f>
        <v>1</v>
      </c>
      <c r="AH15">
        <f t="shared" si="10"/>
        <v>5</v>
      </c>
      <c r="AI15" t="str">
        <f>VLOOKUP(B15, Currency!A:B, 2, FALSE)</f>
        <v>INR</v>
      </c>
      <c r="AJ15">
        <f t="shared" si="2"/>
        <v>5</v>
      </c>
      <c r="AK15">
        <f t="shared" si="11"/>
        <v>5</v>
      </c>
      <c r="AL15" t="str">
        <f t="shared" si="12"/>
        <v>May</v>
      </c>
      <c r="AM15">
        <f t="shared" si="13"/>
        <v>2023</v>
      </c>
      <c r="AN15" t="str">
        <f t="shared" si="3"/>
        <v>0SKYWIN ENTERPRISE</v>
      </c>
      <c r="AO15">
        <f>IF(COUNTIF($AN$2:AN15, AN15)=1, 1, 0)</f>
        <v>1</v>
      </c>
      <c r="AP15" t="str">
        <f t="shared" si="14"/>
        <v>&gt;3</v>
      </c>
      <c r="AQ15" t="str">
        <f t="shared" si="15"/>
        <v>&gt;3</v>
      </c>
      <c r="AR15" t="str">
        <f t="shared" si="16"/>
        <v>&lt;=3</v>
      </c>
    </row>
    <row r="16" spans="1:44" x14ac:dyDescent="0.3">
      <c r="A16" t="s">
        <v>33</v>
      </c>
      <c r="B16" t="s">
        <v>371</v>
      </c>
      <c r="C16" t="s">
        <v>78</v>
      </c>
      <c r="D16">
        <v>3998</v>
      </c>
      <c r="E16">
        <v>23310325</v>
      </c>
      <c r="F16" t="s">
        <v>552</v>
      </c>
      <c r="G16" t="s">
        <v>373</v>
      </c>
      <c r="H16">
        <v>20</v>
      </c>
      <c r="I16">
        <v>1700</v>
      </c>
      <c r="J16">
        <v>34000</v>
      </c>
      <c r="K16" t="str">
        <f>IFERROR(IF(B16&lt;&gt;"", TEXT(VLOOKUP(B16, 'Expected Date'!A:B, 2, FALSE) + DATE(RIGHT(C16,2),MID(C16,4,2),LEFT(C16,2)), "dd/mm/yy"), ""), "")</f>
        <v>29/08/23</v>
      </c>
      <c r="L16" t="s">
        <v>38</v>
      </c>
      <c r="M16" t="s">
        <v>48</v>
      </c>
      <c r="N16" t="s">
        <v>318</v>
      </c>
      <c r="O16" t="s">
        <v>531</v>
      </c>
      <c r="P16">
        <v>23390527</v>
      </c>
      <c r="Q16" t="s">
        <v>552</v>
      </c>
      <c r="R16" t="s">
        <v>553</v>
      </c>
      <c r="S16">
        <v>10.15</v>
      </c>
      <c r="T16">
        <v>1700</v>
      </c>
      <c r="U16">
        <v>17255</v>
      </c>
      <c r="V16" t="str">
        <f t="shared" si="17"/>
        <v>Accepted</v>
      </c>
      <c r="W16">
        <f>IFERROR(VLOOKUP(N16, Payment_Terms!A:B, 2, FALSE), "Payment term not found!")</f>
        <v>30</v>
      </c>
      <c r="X16" t="str">
        <f>IFERROR(VLOOKUP(R16, Item_Category!A:B, 2, FALSE), "Uncategorized")</f>
        <v>HCL</v>
      </c>
      <c r="Y16" s="5">
        <f t="shared" si="4"/>
        <v>0</v>
      </c>
      <c r="Z16">
        <f t="shared" si="5"/>
        <v>5</v>
      </c>
      <c r="AA16">
        <f t="shared" si="6"/>
        <v>12</v>
      </c>
      <c r="AB16">
        <f t="shared" si="7"/>
        <v>1</v>
      </c>
      <c r="AC16" s="10">
        <f t="shared" si="8"/>
        <v>17</v>
      </c>
      <c r="AD16" s="5">
        <f t="shared" si="0"/>
        <v>1</v>
      </c>
      <c r="AE16" s="5">
        <f t="shared" si="1"/>
        <v>1</v>
      </c>
      <c r="AF16" s="5">
        <f t="shared" si="9"/>
        <v>0</v>
      </c>
      <c r="AG16">
        <f>IF(B16&lt;&gt;"", COUNTIFS($B$2:B16, B16), "")</f>
        <v>1</v>
      </c>
      <c r="AH16">
        <f t="shared" si="10"/>
        <v>5</v>
      </c>
      <c r="AI16" t="str">
        <f>VLOOKUP(B16, Currency!A:B, 2, FALSE)</f>
        <v>INR</v>
      </c>
      <c r="AJ16">
        <f t="shared" si="2"/>
        <v>4</v>
      </c>
      <c r="AK16">
        <f t="shared" si="11"/>
        <v>8</v>
      </c>
      <c r="AL16" t="str">
        <f t="shared" si="12"/>
        <v>August</v>
      </c>
      <c r="AM16">
        <f t="shared" si="13"/>
        <v>2023</v>
      </c>
      <c r="AN16" t="str">
        <f t="shared" si="3"/>
        <v>30SHREE ACID AND CHEMICALS</v>
      </c>
      <c r="AO16">
        <f>IF(COUNTIF($AN$2:AN16, AN16)=1, 1, 0)</f>
        <v>1</v>
      </c>
      <c r="AP16" t="str">
        <f t="shared" si="14"/>
        <v>&gt;3</v>
      </c>
      <c r="AQ16" t="str">
        <f t="shared" si="15"/>
        <v>&gt;3</v>
      </c>
      <c r="AR16" t="str">
        <f t="shared" si="16"/>
        <v>&lt;=3</v>
      </c>
    </row>
    <row r="17" spans="1:44" x14ac:dyDescent="0.3">
      <c r="A17" t="s">
        <v>33</v>
      </c>
      <c r="B17" t="s">
        <v>366</v>
      </c>
      <c r="C17" t="s">
        <v>178</v>
      </c>
      <c r="D17">
        <v>4155</v>
      </c>
      <c r="E17">
        <v>23310339</v>
      </c>
      <c r="F17" t="s">
        <v>569</v>
      </c>
      <c r="G17" t="s">
        <v>570</v>
      </c>
      <c r="H17">
        <v>150</v>
      </c>
      <c r="I17">
        <v>9800</v>
      </c>
      <c r="J17">
        <v>1470000</v>
      </c>
      <c r="K17" t="str">
        <f>IFERROR(IF(B17&lt;&gt;"", TEXT(VLOOKUP(B17, 'Expected Date'!A:B, 2, FALSE) + DATE(RIGHT(C17,2),MID(C17,4,2),LEFT(C17,2)), "dd/mm/yy"), ""), "")</f>
        <v>03/09/23</v>
      </c>
      <c r="L17" t="s">
        <v>38</v>
      </c>
      <c r="M17" t="s">
        <v>48</v>
      </c>
      <c r="N17" t="s">
        <v>532</v>
      </c>
      <c r="O17" t="s">
        <v>106</v>
      </c>
      <c r="P17">
        <v>23390528</v>
      </c>
      <c r="Q17" t="s">
        <v>569</v>
      </c>
      <c r="R17" t="s">
        <v>570</v>
      </c>
      <c r="S17">
        <v>29.22</v>
      </c>
      <c r="T17">
        <v>9800</v>
      </c>
      <c r="U17">
        <v>286356</v>
      </c>
      <c r="V17" t="str">
        <f t="shared" si="17"/>
        <v>Accepted</v>
      </c>
      <c r="W17">
        <f>IFERROR(VLOOKUP(N17, Payment_Terms!A:B, 2, FALSE), "Payment term not found!")</f>
        <v>15</v>
      </c>
      <c r="X17" t="str">
        <f>IFERROR(VLOOKUP(R17, Item_Category!A:B, 2, FALSE), "Uncategorized")</f>
        <v>Coal materials</v>
      </c>
      <c r="Y17" s="5">
        <f t="shared" si="4"/>
        <v>0</v>
      </c>
      <c r="Z17">
        <f t="shared" si="5"/>
        <v>5</v>
      </c>
      <c r="AA17">
        <f t="shared" si="6"/>
        <v>6</v>
      </c>
      <c r="AB17">
        <f t="shared" si="7"/>
        <v>3</v>
      </c>
      <c r="AC17" s="10">
        <f t="shared" si="8"/>
        <v>8</v>
      </c>
      <c r="AD17" s="5">
        <f t="shared" si="0"/>
        <v>1</v>
      </c>
      <c r="AE17" s="5">
        <f t="shared" si="1"/>
        <v>1</v>
      </c>
      <c r="AF17" s="5">
        <f t="shared" si="9"/>
        <v>0</v>
      </c>
      <c r="AG17">
        <f>IF(B17&lt;&gt;"", COUNTIFS($B$2:B17, B17), "")</f>
        <v>2</v>
      </c>
      <c r="AH17">
        <f t="shared" si="10"/>
        <v>5</v>
      </c>
      <c r="AI17" t="str">
        <f>VLOOKUP(B17, Currency!A:B, 2, FALSE)</f>
        <v>INR</v>
      </c>
      <c r="AJ17">
        <f t="shared" si="2"/>
        <v>5</v>
      </c>
      <c r="AK17">
        <f t="shared" si="11"/>
        <v>9</v>
      </c>
      <c r="AL17" t="str">
        <f t="shared" si="12"/>
        <v>September</v>
      </c>
      <c r="AM17">
        <f t="shared" si="13"/>
        <v>2023</v>
      </c>
      <c r="AN17" t="str">
        <f t="shared" si="3"/>
        <v>15SKYWIN ENTERPRISE</v>
      </c>
      <c r="AO17">
        <f>IF(COUNTIF($AN$2:AN17, AN17)=1, 1, 0)</f>
        <v>1</v>
      </c>
      <c r="AP17" t="str">
        <f t="shared" si="14"/>
        <v>&gt;3</v>
      </c>
      <c r="AQ17" t="str">
        <f t="shared" si="15"/>
        <v>&gt;3</v>
      </c>
      <c r="AR17" t="str">
        <f t="shared" si="16"/>
        <v>&lt;=3</v>
      </c>
    </row>
    <row r="18" spans="1:44" x14ac:dyDescent="0.3">
      <c r="A18" t="s">
        <v>33</v>
      </c>
      <c r="B18" t="s">
        <v>386</v>
      </c>
      <c r="C18" t="s">
        <v>354</v>
      </c>
      <c r="D18">
        <v>2794</v>
      </c>
      <c r="E18">
        <v>23310213</v>
      </c>
      <c r="F18" t="s">
        <v>554</v>
      </c>
      <c r="G18" t="s">
        <v>555</v>
      </c>
      <c r="H18">
        <v>8000</v>
      </c>
      <c r="I18">
        <v>19.5</v>
      </c>
      <c r="J18">
        <v>156000</v>
      </c>
      <c r="K18" t="str">
        <f>IFERROR(IF(B18&lt;&gt;"", TEXT(VLOOKUP(B18, 'Expected Date'!A:B, 2, FALSE) + DATE(RIGHT(C18,2),MID(C18,4,2),LEFT(C18,2)), "dd/mm/yy"), ""), "")</f>
        <v>08/07/23</v>
      </c>
      <c r="L18" t="s">
        <v>38</v>
      </c>
      <c r="M18" t="s">
        <v>39</v>
      </c>
      <c r="N18" t="s">
        <v>318</v>
      </c>
      <c r="O18" t="s">
        <v>117</v>
      </c>
      <c r="P18">
        <v>23390297</v>
      </c>
      <c r="Q18" t="s">
        <v>554</v>
      </c>
      <c r="R18" t="s">
        <v>555</v>
      </c>
      <c r="S18">
        <v>3200</v>
      </c>
      <c r="T18">
        <v>19.5</v>
      </c>
      <c r="U18">
        <v>62400</v>
      </c>
      <c r="V18" t="str">
        <f t="shared" si="17"/>
        <v>Accepted</v>
      </c>
      <c r="W18">
        <f>IFERROR(VLOOKUP(N18, Payment_Terms!A:B, 2, FALSE), "Payment term not found!")</f>
        <v>30</v>
      </c>
      <c r="X18" t="str">
        <f>IFERROR(VLOOKUP(R18, Item_Category!A:B, 2, FALSE), "Uncategorized")</f>
        <v>HDPE bag acecel</v>
      </c>
      <c r="Y18" s="5">
        <f t="shared" si="4"/>
        <v>0</v>
      </c>
      <c r="Z18">
        <f t="shared" si="5"/>
        <v>5</v>
      </c>
      <c r="AA18">
        <f t="shared" si="6"/>
        <v>-1</v>
      </c>
      <c r="AB18">
        <f t="shared" si="7"/>
        <v>5</v>
      </c>
      <c r="AC18" s="10">
        <f t="shared" si="8"/>
        <v>4</v>
      </c>
      <c r="AD18" s="5">
        <f t="shared" si="0"/>
        <v>1</v>
      </c>
      <c r="AE18" s="5">
        <f t="shared" si="1"/>
        <v>1</v>
      </c>
      <c r="AF18" s="5">
        <f t="shared" si="9"/>
        <v>0</v>
      </c>
      <c r="AG18">
        <f>IF(B18&lt;&gt;"", COUNTIFS($B$2:B18, B18), "")</f>
        <v>4</v>
      </c>
      <c r="AH18">
        <f t="shared" si="10"/>
        <v>5</v>
      </c>
      <c r="AI18" t="str">
        <f>VLOOKUP(B18, Currency!A:B, 2, FALSE)</f>
        <v>INR</v>
      </c>
      <c r="AJ18">
        <f t="shared" si="2"/>
        <v>5</v>
      </c>
      <c r="AK18">
        <f t="shared" si="11"/>
        <v>7</v>
      </c>
      <c r="AL18" t="str">
        <f t="shared" si="12"/>
        <v>July</v>
      </c>
      <c r="AM18">
        <f t="shared" si="13"/>
        <v>2023</v>
      </c>
      <c r="AN18" t="str">
        <f t="shared" si="3"/>
        <v>30Shree Shyam Enterprises</v>
      </c>
      <c r="AO18">
        <f>IF(COUNTIF($AN$2:AN18, AN18)=1, 1, 0)</f>
        <v>0</v>
      </c>
      <c r="AP18" t="str">
        <f t="shared" si="14"/>
        <v>&gt;3</v>
      </c>
      <c r="AQ18" t="str">
        <f t="shared" si="15"/>
        <v>&gt;3</v>
      </c>
      <c r="AR18" t="str">
        <f t="shared" si="16"/>
        <v>&gt;3</v>
      </c>
    </row>
    <row r="19" spans="1:44" x14ac:dyDescent="0.3">
      <c r="A19" t="str">
        <f>A10</f>
        <v>Woodpulp</v>
      </c>
      <c r="B19" t="s">
        <v>289</v>
      </c>
      <c r="C19" t="s">
        <v>394</v>
      </c>
      <c r="D19">
        <v>3805</v>
      </c>
      <c r="E19">
        <v>23320035</v>
      </c>
      <c r="F19" t="s">
        <v>575</v>
      </c>
      <c r="G19" t="s">
        <v>291</v>
      </c>
      <c r="H19">
        <v>100</v>
      </c>
      <c r="I19">
        <v>48000</v>
      </c>
      <c r="J19">
        <v>4800000</v>
      </c>
      <c r="K19" t="str">
        <f>IFERROR(IF(B19&lt;&gt;"", TEXT(VLOOKUP(B19, 'Expected Date'!A:B, 2, FALSE) + DATE(RIGHT(C19,2),MID(C19,4,2),LEFT(C19,2)), "dd/mm/yy"), ""), "")</f>
        <v>16/09/23</v>
      </c>
      <c r="L19" t="s">
        <v>38</v>
      </c>
      <c r="M19" t="str">
        <f>M11</f>
        <v>MT</v>
      </c>
      <c r="N19" t="s">
        <v>273</v>
      </c>
      <c r="O19" t="s">
        <v>164</v>
      </c>
      <c r="P19">
        <v>23390520</v>
      </c>
      <c r="Q19" t="s">
        <v>575</v>
      </c>
      <c r="R19" t="s">
        <v>291</v>
      </c>
      <c r="S19">
        <v>25.155000000000001</v>
      </c>
      <c r="T19">
        <v>48000</v>
      </c>
      <c r="U19">
        <v>1207440</v>
      </c>
      <c r="V19" t="str">
        <f t="shared" si="17"/>
        <v>Accepted</v>
      </c>
      <c r="W19">
        <f>IFERROR(VLOOKUP(N19, Payment_Terms!A:B, 2, FALSE), "Payment term not found!")</f>
        <v>0</v>
      </c>
      <c r="X19" t="str">
        <f>IFERROR(VLOOKUP(R19, Item_Category!A:B, 2, FALSE), "Uncategorized")</f>
        <v>Wood pulp</v>
      </c>
      <c r="Y19" s="5">
        <f t="shared" si="4"/>
        <v>0</v>
      </c>
      <c r="Z19">
        <f t="shared" si="5"/>
        <v>5</v>
      </c>
      <c r="AA19">
        <f t="shared" si="6"/>
        <v>-8</v>
      </c>
      <c r="AB19">
        <f t="shared" si="7"/>
        <v>5</v>
      </c>
      <c r="AC19" s="10">
        <f t="shared" si="8"/>
        <v>22</v>
      </c>
      <c r="AD19" s="5">
        <f t="shared" si="0"/>
        <v>1</v>
      </c>
      <c r="AE19" s="5">
        <f t="shared" si="1"/>
        <v>1</v>
      </c>
      <c r="AF19" s="5">
        <f t="shared" si="9"/>
        <v>0</v>
      </c>
      <c r="AG19">
        <f>IF(B19&lt;&gt;"", COUNTIFS($B$2:B19, B19), "")</f>
        <v>3</v>
      </c>
      <c r="AH19">
        <f t="shared" si="10"/>
        <v>5</v>
      </c>
      <c r="AI19" t="str">
        <f>VLOOKUP(B19, Currency!A:B, 2, FALSE)</f>
        <v>INR</v>
      </c>
      <c r="AJ19">
        <f t="shared" si="2"/>
        <v>5</v>
      </c>
      <c r="AK19">
        <f t="shared" si="11"/>
        <v>8</v>
      </c>
      <c r="AL19" t="str">
        <f t="shared" si="12"/>
        <v>August</v>
      </c>
      <c r="AM19">
        <f t="shared" si="13"/>
        <v>2023</v>
      </c>
      <c r="AN19" t="str">
        <f t="shared" si="3"/>
        <v>0N.E. IMPEX PRIVATE LIMITED</v>
      </c>
      <c r="AO19">
        <f>IF(COUNTIF($AN$2:AN19, AN19)=1, 1, 0)</f>
        <v>0</v>
      </c>
      <c r="AP19" t="str">
        <f t="shared" si="14"/>
        <v>&gt;3</v>
      </c>
      <c r="AQ19" t="str">
        <f t="shared" si="15"/>
        <v>&gt;3</v>
      </c>
      <c r="AR19" t="str">
        <f t="shared" si="16"/>
        <v>&gt;3</v>
      </c>
    </row>
    <row r="20" spans="1:44" x14ac:dyDescent="0.3">
      <c r="A20" t="str">
        <f>A10</f>
        <v>Woodpulp</v>
      </c>
      <c r="B20" t="s">
        <v>289</v>
      </c>
      <c r="C20" t="s">
        <v>394</v>
      </c>
      <c r="D20">
        <v>3805</v>
      </c>
      <c r="E20">
        <v>23320035</v>
      </c>
      <c r="F20" t="s">
        <v>575</v>
      </c>
      <c r="G20" t="s">
        <v>291</v>
      </c>
      <c r="H20">
        <v>100</v>
      </c>
      <c r="I20">
        <v>48000</v>
      </c>
      <c r="J20">
        <v>4800000</v>
      </c>
      <c r="K20" t="str">
        <f>IFERROR(IF(B20&lt;&gt;"", TEXT(VLOOKUP(B20, 'Expected Date'!A:B, 2, FALSE) + DATE(RIGHT(C20,2),MID(C20,4,2),LEFT(C20,2)), "dd/mm/yy"), ""), "")</f>
        <v>16/09/23</v>
      </c>
      <c r="L20" t="s">
        <v>38</v>
      </c>
      <c r="M20" t="str">
        <f>M19</f>
        <v>MT</v>
      </c>
      <c r="N20" t="s">
        <v>273</v>
      </c>
      <c r="O20" t="s">
        <v>164</v>
      </c>
      <c r="P20">
        <v>23390521</v>
      </c>
      <c r="Q20" t="s">
        <v>575</v>
      </c>
      <c r="R20" t="s">
        <v>291</v>
      </c>
      <c r="S20">
        <v>30.186</v>
      </c>
      <c r="T20">
        <v>48000</v>
      </c>
      <c r="U20">
        <v>1448928</v>
      </c>
      <c r="V20" t="str">
        <f t="shared" si="17"/>
        <v>Accepted</v>
      </c>
      <c r="W20">
        <f>IFERROR(VLOOKUP(N20, Payment_Terms!A:B, 2, FALSE), "Payment term not found!")</f>
        <v>0</v>
      </c>
      <c r="X20" t="str">
        <f>IFERROR(VLOOKUP(R20, Item_Category!A:B, 2, FALSE), "Uncategorized")</f>
        <v>Wood pulp</v>
      </c>
      <c r="Y20" s="5">
        <f t="shared" si="4"/>
        <v>0</v>
      </c>
      <c r="Z20">
        <f t="shared" si="5"/>
        <v>5</v>
      </c>
      <c r="AA20">
        <f t="shared" si="6"/>
        <v>-8</v>
      </c>
      <c r="AB20">
        <f t="shared" si="7"/>
        <v>5</v>
      </c>
      <c r="AC20" s="10">
        <f t="shared" si="8"/>
        <v>22</v>
      </c>
      <c r="AD20" s="5">
        <f t="shared" si="0"/>
        <v>1</v>
      </c>
      <c r="AE20" s="5">
        <f t="shared" si="1"/>
        <v>1</v>
      </c>
      <c r="AF20" s="5">
        <f t="shared" si="9"/>
        <v>0</v>
      </c>
      <c r="AG20">
        <f>IF(B20&lt;&gt;"", COUNTIFS($B$2:B20, B20), "")</f>
        <v>4</v>
      </c>
      <c r="AH20">
        <f t="shared" si="10"/>
        <v>5</v>
      </c>
      <c r="AI20" t="str">
        <f>VLOOKUP(B20, Currency!A:B, 2, FALSE)</f>
        <v>INR</v>
      </c>
      <c r="AJ20">
        <f t="shared" si="2"/>
        <v>5</v>
      </c>
      <c r="AK20">
        <f t="shared" si="11"/>
        <v>8</v>
      </c>
      <c r="AL20" t="str">
        <f t="shared" si="12"/>
        <v>August</v>
      </c>
      <c r="AM20">
        <f t="shared" si="13"/>
        <v>2023</v>
      </c>
      <c r="AN20" t="str">
        <f t="shared" si="3"/>
        <v>0N.E. IMPEX PRIVATE LIMITED</v>
      </c>
      <c r="AO20">
        <f>IF(COUNTIF($AN$2:AN20, AN20)=1, 1, 0)</f>
        <v>0</v>
      </c>
      <c r="AP20" t="str">
        <f t="shared" si="14"/>
        <v>&gt;3</v>
      </c>
      <c r="AQ20" t="str">
        <f t="shared" si="15"/>
        <v>&gt;3</v>
      </c>
      <c r="AR20" t="str">
        <f t="shared" si="16"/>
        <v>&gt;3</v>
      </c>
    </row>
    <row r="21" spans="1:44" x14ac:dyDescent="0.3">
      <c r="A21" t="str">
        <f>A10</f>
        <v>Woodpulp</v>
      </c>
      <c r="B21" t="s">
        <v>289</v>
      </c>
      <c r="C21" t="s">
        <v>394</v>
      </c>
      <c r="D21">
        <v>3805</v>
      </c>
      <c r="E21">
        <v>23320035</v>
      </c>
      <c r="F21" t="s">
        <v>575</v>
      </c>
      <c r="G21" t="s">
        <v>291</v>
      </c>
      <c r="H21">
        <v>100</v>
      </c>
      <c r="I21">
        <v>48000</v>
      </c>
      <c r="J21">
        <v>4800000</v>
      </c>
      <c r="K21" t="str">
        <f>IFERROR(IF(B21&lt;&gt;"", TEXT(VLOOKUP(B21, 'Expected Date'!A:B, 2, FALSE) + DATE(RIGHT(C21,2),MID(C21,4,2),LEFT(C21,2)), "dd/mm/yy"), ""), "")</f>
        <v>16/09/23</v>
      </c>
      <c r="L21" t="s">
        <v>38</v>
      </c>
      <c r="M21" t="str">
        <f>M20</f>
        <v>MT</v>
      </c>
      <c r="N21" t="s">
        <v>273</v>
      </c>
      <c r="O21" t="s">
        <v>164</v>
      </c>
      <c r="P21">
        <v>23390522</v>
      </c>
      <c r="Q21" t="s">
        <v>575</v>
      </c>
      <c r="R21" t="s">
        <v>291</v>
      </c>
      <c r="S21">
        <v>30.186</v>
      </c>
      <c r="T21">
        <v>48000</v>
      </c>
      <c r="U21">
        <v>1448928</v>
      </c>
      <c r="V21" t="str">
        <f t="shared" si="17"/>
        <v>Accepted</v>
      </c>
      <c r="W21">
        <f>IFERROR(VLOOKUP(N21, Payment_Terms!A:B, 2, FALSE), "Payment term not found!")</f>
        <v>0</v>
      </c>
      <c r="X21" t="str">
        <f>IFERROR(VLOOKUP(R21, Item_Category!A:B, 2, FALSE), "Uncategorized")</f>
        <v>Wood pulp</v>
      </c>
      <c r="Y21" s="5">
        <f t="shared" si="4"/>
        <v>0</v>
      </c>
      <c r="Z21">
        <f t="shared" si="5"/>
        <v>5</v>
      </c>
      <c r="AA21">
        <f t="shared" si="6"/>
        <v>-8</v>
      </c>
      <c r="AB21">
        <f t="shared" si="7"/>
        <v>5</v>
      </c>
      <c r="AC21" s="10">
        <f t="shared" si="8"/>
        <v>22</v>
      </c>
      <c r="AD21" s="5">
        <f t="shared" si="0"/>
        <v>1</v>
      </c>
      <c r="AE21" s="5">
        <f t="shared" si="1"/>
        <v>1</v>
      </c>
      <c r="AF21" s="5">
        <f t="shared" si="9"/>
        <v>0</v>
      </c>
      <c r="AG21">
        <f>IF(B21&lt;&gt;"", COUNTIFS($B$2:B21, B21), "")</f>
        <v>5</v>
      </c>
      <c r="AH21">
        <f t="shared" si="10"/>
        <v>5</v>
      </c>
      <c r="AI21" t="str">
        <f>VLOOKUP(B21, Currency!A:B, 2, FALSE)</f>
        <v>INR</v>
      </c>
      <c r="AJ21">
        <f t="shared" si="2"/>
        <v>5</v>
      </c>
      <c r="AK21">
        <f t="shared" si="11"/>
        <v>8</v>
      </c>
      <c r="AL21" t="str">
        <f t="shared" si="12"/>
        <v>August</v>
      </c>
      <c r="AM21">
        <f t="shared" si="13"/>
        <v>2023</v>
      </c>
      <c r="AN21" t="str">
        <f t="shared" si="3"/>
        <v>0N.E. IMPEX PRIVATE LIMITED</v>
      </c>
      <c r="AO21">
        <f>IF(COUNTIF($AN$2:AN21, AN21)=1, 1, 0)</f>
        <v>0</v>
      </c>
      <c r="AP21" t="str">
        <f t="shared" si="14"/>
        <v>&gt;3</v>
      </c>
      <c r="AQ21" t="str">
        <f t="shared" si="15"/>
        <v>&gt;3</v>
      </c>
      <c r="AR21" t="str">
        <f t="shared" si="16"/>
        <v>&gt;3</v>
      </c>
    </row>
    <row r="22" spans="1:44" x14ac:dyDescent="0.3">
      <c r="A22" t="s">
        <v>33</v>
      </c>
      <c r="B22" t="s">
        <v>513</v>
      </c>
      <c r="C22" t="s">
        <v>172</v>
      </c>
      <c r="D22">
        <v>1186</v>
      </c>
      <c r="E22">
        <v>23310008</v>
      </c>
      <c r="F22" t="s">
        <v>563</v>
      </c>
      <c r="G22" t="s">
        <v>515</v>
      </c>
      <c r="H22">
        <v>2500</v>
      </c>
      <c r="I22">
        <v>26</v>
      </c>
      <c r="J22">
        <v>65000</v>
      </c>
      <c r="K22" t="str">
        <f>IFERROR(IF(B22&lt;&gt;"", TEXT(VLOOKUP(B22, 'Expected Date'!A:B, 2, FALSE) + DATE(RIGHT(C22,2),MID(C22,4,2),LEFT(C22,2)), "dd/mm/yy"), ""), "")</f>
        <v>08/04/23</v>
      </c>
      <c r="L22" t="s">
        <v>38</v>
      </c>
      <c r="M22" t="s">
        <v>48</v>
      </c>
      <c r="N22" t="s">
        <v>342</v>
      </c>
      <c r="O22" t="s">
        <v>562</v>
      </c>
      <c r="P22">
        <v>23390087</v>
      </c>
      <c r="Q22" t="s">
        <v>563</v>
      </c>
      <c r="R22" t="s">
        <v>564</v>
      </c>
      <c r="S22">
        <v>500</v>
      </c>
      <c r="T22">
        <v>26</v>
      </c>
      <c r="U22">
        <v>13000</v>
      </c>
      <c r="V22" t="str">
        <f t="shared" si="17"/>
        <v>Accepted</v>
      </c>
      <c r="W22">
        <f>IFERROR(VLOOKUP(N22, Payment_Terms!A:B, 2, FALSE), "Payment term not found!")</f>
        <v>30</v>
      </c>
      <c r="X22" t="str">
        <f>IFERROR(VLOOKUP(R22, Item_Category!A:B, 2, FALSE), "Uncategorized")</f>
        <v xml:space="preserve">Caustic Soda </v>
      </c>
      <c r="Y22" s="5">
        <f t="shared" si="4"/>
        <v>0</v>
      </c>
      <c r="Z22">
        <f t="shared" si="5"/>
        <v>5</v>
      </c>
      <c r="AA22">
        <f t="shared" si="6"/>
        <v>22</v>
      </c>
      <c r="AB22">
        <f t="shared" si="7"/>
        <v>1</v>
      </c>
      <c r="AC22" s="10">
        <f t="shared" si="8"/>
        <v>24</v>
      </c>
      <c r="AD22" s="5">
        <f t="shared" si="0"/>
        <v>1</v>
      </c>
      <c r="AE22" s="5">
        <f t="shared" si="1"/>
        <v>1</v>
      </c>
      <c r="AF22" s="5">
        <f t="shared" si="9"/>
        <v>0</v>
      </c>
      <c r="AG22">
        <f>IF(B22&lt;&gt;"", COUNTIFS($B$2:B22, B22), "")</f>
        <v>3</v>
      </c>
      <c r="AH22">
        <f t="shared" si="10"/>
        <v>5</v>
      </c>
      <c r="AI22" t="str">
        <f>VLOOKUP(B22, Currency!A:B, 2, FALSE)</f>
        <v>INR</v>
      </c>
      <c r="AJ22">
        <f t="shared" si="2"/>
        <v>4</v>
      </c>
      <c r="AK22">
        <f t="shared" si="11"/>
        <v>4</v>
      </c>
      <c r="AL22" t="str">
        <f t="shared" si="12"/>
        <v>April</v>
      </c>
      <c r="AM22">
        <f t="shared" si="13"/>
        <v>2023</v>
      </c>
      <c r="AN22" t="str">
        <f t="shared" si="3"/>
        <v>30J.K.Marketing</v>
      </c>
      <c r="AO22">
        <f>IF(COUNTIF($AN$2:AN22, AN22)=1, 1, 0)</f>
        <v>0</v>
      </c>
      <c r="AP22" t="str">
        <f t="shared" si="14"/>
        <v>&gt;3</v>
      </c>
      <c r="AQ22" t="str">
        <f t="shared" si="15"/>
        <v>&gt;3</v>
      </c>
      <c r="AR22" t="str">
        <f t="shared" si="16"/>
        <v>&lt;=3</v>
      </c>
    </row>
    <row r="23" spans="1:44" x14ac:dyDescent="0.3">
      <c r="A23" t="s">
        <v>33</v>
      </c>
      <c r="B23" t="s">
        <v>386</v>
      </c>
      <c r="C23" t="s">
        <v>428</v>
      </c>
      <c r="D23">
        <v>1184</v>
      </c>
      <c r="E23">
        <v>23310006</v>
      </c>
      <c r="F23" t="s">
        <v>576</v>
      </c>
      <c r="G23" t="s">
        <v>577</v>
      </c>
      <c r="H23">
        <v>100</v>
      </c>
      <c r="I23">
        <v>62</v>
      </c>
      <c r="J23">
        <v>6200</v>
      </c>
      <c r="K23" t="str">
        <f>IFERROR(IF(B23&lt;&gt;"", TEXT(VLOOKUP(B23, 'Expected Date'!A:B, 2, FALSE) + DATE(RIGHT(C23,2),MID(C23,4,2),LEFT(C23,2)), "dd/mm/yy"), ""), "")</f>
        <v>08/04/23</v>
      </c>
      <c r="L23" t="s">
        <v>68</v>
      </c>
      <c r="M23" t="s">
        <v>39</v>
      </c>
      <c r="N23" t="s">
        <v>556</v>
      </c>
      <c r="O23" t="s">
        <v>419</v>
      </c>
      <c r="P23">
        <v>23390051</v>
      </c>
      <c r="Q23" t="s">
        <v>576</v>
      </c>
      <c r="R23" t="s">
        <v>577</v>
      </c>
      <c r="S23">
        <v>97.7</v>
      </c>
      <c r="T23">
        <v>62</v>
      </c>
      <c r="U23">
        <v>6057.4</v>
      </c>
      <c r="V23" t="str">
        <f t="shared" si="17"/>
        <v>Accepted</v>
      </c>
      <c r="W23">
        <f>IFERROR(VLOOKUP(N23, Payment_Terms!A:B, 2, FALSE), "Payment term not found!")</f>
        <v>30</v>
      </c>
      <c r="X23" t="str">
        <f>IFERROR(VLOOKUP(R23, Item_Category!A:B, 2, FALSE), "Uncategorized")</f>
        <v>Corrugated sheet</v>
      </c>
      <c r="Y23" s="5">
        <f t="shared" si="4"/>
        <v>2.2999999999999972E-2</v>
      </c>
      <c r="Z23">
        <f t="shared" si="5"/>
        <v>3</v>
      </c>
      <c r="AA23">
        <f t="shared" si="6"/>
        <v>14</v>
      </c>
      <c r="AB23">
        <f t="shared" si="7"/>
        <v>1</v>
      </c>
      <c r="AC23" s="10">
        <f t="shared" si="8"/>
        <v>19</v>
      </c>
      <c r="AD23" s="5">
        <f t="shared" si="0"/>
        <v>1</v>
      </c>
      <c r="AE23" s="5">
        <f t="shared" si="1"/>
        <v>1</v>
      </c>
      <c r="AF23" s="5">
        <f t="shared" si="9"/>
        <v>0</v>
      </c>
      <c r="AG23">
        <f>IF(B23&lt;&gt;"", COUNTIFS($B$2:B23, B23), "")</f>
        <v>5</v>
      </c>
      <c r="AH23">
        <f t="shared" si="10"/>
        <v>5</v>
      </c>
      <c r="AI23" t="str">
        <f>VLOOKUP(B23, Currency!A:B, 2, FALSE)</f>
        <v>INR</v>
      </c>
      <c r="AJ23">
        <f t="shared" si="2"/>
        <v>4</v>
      </c>
      <c r="AK23">
        <f t="shared" si="11"/>
        <v>4</v>
      </c>
      <c r="AL23" t="str">
        <f t="shared" si="12"/>
        <v>April</v>
      </c>
      <c r="AM23">
        <f t="shared" si="13"/>
        <v>2023</v>
      </c>
      <c r="AN23" t="str">
        <f t="shared" si="3"/>
        <v>30Shree Shyam Enterprises</v>
      </c>
      <c r="AO23">
        <f>IF(COUNTIF($AN$2:AN23, AN23)=1, 1, 0)</f>
        <v>0</v>
      </c>
      <c r="AP23" t="str">
        <f t="shared" si="14"/>
        <v>&gt;3</v>
      </c>
      <c r="AQ23" t="str">
        <f t="shared" si="15"/>
        <v>&lt;=3</v>
      </c>
      <c r="AR23" t="str">
        <f t="shared" si="16"/>
        <v>&lt;=3</v>
      </c>
    </row>
    <row r="24" spans="1:44" x14ac:dyDescent="0.3">
      <c r="A24" t="s">
        <v>33</v>
      </c>
      <c r="B24" t="s">
        <v>513</v>
      </c>
      <c r="C24" t="s">
        <v>172</v>
      </c>
      <c r="D24">
        <v>1186</v>
      </c>
      <c r="E24">
        <v>23310008</v>
      </c>
      <c r="F24" t="s">
        <v>563</v>
      </c>
      <c r="G24" t="s">
        <v>515</v>
      </c>
      <c r="H24">
        <v>2500</v>
      </c>
      <c r="I24">
        <v>26</v>
      </c>
      <c r="J24">
        <v>65000</v>
      </c>
      <c r="K24" t="str">
        <f>IFERROR(IF(B24&lt;&gt;"", TEXT(VLOOKUP(B24, 'Expected Date'!A:B, 2, FALSE) + DATE(RIGHT(C24,2),MID(C24,4,2),LEFT(C24,2)), "dd/mm/yy"), ""), "")</f>
        <v>08/04/23</v>
      </c>
      <c r="L24" t="s">
        <v>38</v>
      </c>
      <c r="M24" t="s">
        <v>48</v>
      </c>
      <c r="N24" t="s">
        <v>342</v>
      </c>
      <c r="O24" t="s">
        <v>161</v>
      </c>
      <c r="P24">
        <v>23390220</v>
      </c>
      <c r="Q24" t="s">
        <v>563</v>
      </c>
      <c r="R24" t="s">
        <v>564</v>
      </c>
      <c r="S24">
        <v>500</v>
      </c>
      <c r="T24">
        <v>26</v>
      </c>
      <c r="U24">
        <v>13000</v>
      </c>
      <c r="V24" t="str">
        <f t="shared" si="17"/>
        <v>Accepted</v>
      </c>
      <c r="W24">
        <f>IFERROR(VLOOKUP(N24, Payment_Terms!A:B, 2, FALSE), "Payment term not found!")</f>
        <v>30</v>
      </c>
      <c r="X24" t="str">
        <f>IFERROR(VLOOKUP(R24, Item_Category!A:B, 2, FALSE), "Uncategorized")</f>
        <v xml:space="preserve">Caustic Soda </v>
      </c>
      <c r="Y24" s="5">
        <f t="shared" si="4"/>
        <v>0</v>
      </c>
      <c r="Z24">
        <f t="shared" si="5"/>
        <v>5</v>
      </c>
      <c r="AA24">
        <f t="shared" si="6"/>
        <v>56</v>
      </c>
      <c r="AB24">
        <f t="shared" si="7"/>
        <v>1</v>
      </c>
      <c r="AC24" s="10">
        <f t="shared" si="8"/>
        <v>58</v>
      </c>
      <c r="AD24" s="5">
        <f t="shared" si="0"/>
        <v>1</v>
      </c>
      <c r="AE24" s="5">
        <f t="shared" si="1"/>
        <v>1</v>
      </c>
      <c r="AF24" s="5">
        <f t="shared" si="9"/>
        <v>0</v>
      </c>
      <c r="AG24">
        <f>IF(B24&lt;&gt;"", COUNTIFS($B$2:B24, B24), "")</f>
        <v>4</v>
      </c>
      <c r="AH24">
        <f t="shared" si="10"/>
        <v>5</v>
      </c>
      <c r="AI24" t="str">
        <f>VLOOKUP(B24, Currency!A:B, 2, FALSE)</f>
        <v>INR</v>
      </c>
      <c r="AJ24">
        <f t="shared" si="2"/>
        <v>4</v>
      </c>
      <c r="AK24">
        <f t="shared" si="11"/>
        <v>4</v>
      </c>
      <c r="AL24" t="str">
        <f t="shared" si="12"/>
        <v>April</v>
      </c>
      <c r="AM24">
        <f t="shared" si="13"/>
        <v>2023</v>
      </c>
      <c r="AN24" t="str">
        <f t="shared" si="3"/>
        <v>30J.K.Marketing</v>
      </c>
      <c r="AO24">
        <f>IF(COUNTIF($AN$2:AN24, AN24)=1, 1, 0)</f>
        <v>0</v>
      </c>
      <c r="AP24" t="str">
        <f t="shared" si="14"/>
        <v>&gt;3</v>
      </c>
      <c r="AQ24" t="str">
        <f t="shared" si="15"/>
        <v>&gt;3</v>
      </c>
      <c r="AR24" t="str">
        <f t="shared" si="16"/>
        <v>&lt;=3</v>
      </c>
    </row>
    <row r="25" spans="1:44" x14ac:dyDescent="0.3">
      <c r="A25" t="s">
        <v>33</v>
      </c>
      <c r="B25" t="s">
        <v>34</v>
      </c>
      <c r="C25" t="s">
        <v>352</v>
      </c>
      <c r="D25">
        <v>2378</v>
      </c>
      <c r="E25">
        <v>23310161</v>
      </c>
      <c r="F25" t="s">
        <v>572</v>
      </c>
      <c r="G25" t="s">
        <v>595</v>
      </c>
      <c r="H25">
        <v>3200</v>
      </c>
      <c r="I25">
        <v>35</v>
      </c>
      <c r="J25">
        <v>112000</v>
      </c>
      <c r="K25" t="str">
        <f>IFERROR(IF(B25&lt;&gt;"", TEXT(VLOOKUP(B25, 'Expected Date'!A:B, 2, FALSE) + DATE(RIGHT(C25,2),MID(C25,4,2),LEFT(C25,2)), "dd/mm/yy"), ""), "")</f>
        <v>12/06/23</v>
      </c>
      <c r="L25" t="s">
        <v>38</v>
      </c>
      <c r="M25" t="s">
        <v>39</v>
      </c>
      <c r="N25" t="s">
        <v>318</v>
      </c>
      <c r="O25" t="s">
        <v>275</v>
      </c>
      <c r="P25">
        <v>23390234</v>
      </c>
      <c r="Q25" t="s">
        <v>572</v>
      </c>
      <c r="R25" t="s">
        <v>573</v>
      </c>
      <c r="S25">
        <v>1000</v>
      </c>
      <c r="T25">
        <v>35</v>
      </c>
      <c r="U25">
        <v>35000</v>
      </c>
      <c r="V25" t="str">
        <f t="shared" si="17"/>
        <v>Accepted</v>
      </c>
      <c r="W25">
        <f>IFERROR(VLOOKUP(N25, Payment_Terms!A:B, 2, FALSE), "Payment term not found!")</f>
        <v>30</v>
      </c>
      <c r="X25" t="str">
        <f>IFERROR(VLOOKUP(R25, Item_Category!A:B, 2, FALSE), "Uncategorized")</f>
        <v>Bags</v>
      </c>
      <c r="Y25" s="5">
        <f t="shared" si="4"/>
        <v>0</v>
      </c>
      <c r="Z25">
        <f t="shared" si="5"/>
        <v>5</v>
      </c>
      <c r="AA25">
        <f t="shared" si="6"/>
        <v>0</v>
      </c>
      <c r="AB25">
        <f t="shared" si="7"/>
        <v>5</v>
      </c>
      <c r="AC25" s="10">
        <f t="shared" si="8"/>
        <v>10</v>
      </c>
      <c r="AD25" s="5">
        <f t="shared" si="0"/>
        <v>1</v>
      </c>
      <c r="AE25" s="5">
        <f t="shared" si="1"/>
        <v>1</v>
      </c>
      <c r="AF25" s="5">
        <f t="shared" si="9"/>
        <v>0</v>
      </c>
      <c r="AG25">
        <f>IF(B25&lt;&gt;"", COUNTIFS($B$2:B25, B25), "")</f>
        <v>2</v>
      </c>
      <c r="AH25">
        <f t="shared" si="10"/>
        <v>5</v>
      </c>
      <c r="AI25" t="str">
        <f>VLOOKUP(B25, Currency!A:B, 2, FALSE)</f>
        <v>INR</v>
      </c>
      <c r="AJ25">
        <f t="shared" si="2"/>
        <v>5</v>
      </c>
      <c r="AK25">
        <f t="shared" si="11"/>
        <v>6</v>
      </c>
      <c r="AL25" t="str">
        <f t="shared" si="12"/>
        <v>June</v>
      </c>
      <c r="AM25">
        <f t="shared" si="13"/>
        <v>2023</v>
      </c>
      <c r="AN25" t="str">
        <f t="shared" si="3"/>
        <v>30Ami Enterprises</v>
      </c>
      <c r="AO25">
        <f>IF(COUNTIF($AN$2:AN25, AN25)=1, 1, 0)</f>
        <v>0</v>
      </c>
      <c r="AP25" t="str">
        <f t="shared" si="14"/>
        <v>&gt;3</v>
      </c>
      <c r="AQ25" t="str">
        <f t="shared" si="15"/>
        <v>&gt;3</v>
      </c>
      <c r="AR25" t="str">
        <f t="shared" si="16"/>
        <v>&gt;3</v>
      </c>
    </row>
    <row r="26" spans="1:44" x14ac:dyDescent="0.3">
      <c r="A26" t="s">
        <v>33</v>
      </c>
      <c r="B26" t="s">
        <v>366</v>
      </c>
      <c r="C26" t="s">
        <v>439</v>
      </c>
      <c r="D26">
        <v>1489</v>
      </c>
      <c r="E26">
        <v>23310037</v>
      </c>
      <c r="F26" t="s">
        <v>569</v>
      </c>
      <c r="G26" t="s">
        <v>570</v>
      </c>
      <c r="H26">
        <v>70</v>
      </c>
      <c r="I26">
        <v>10857.14</v>
      </c>
      <c r="J26">
        <v>759999.8</v>
      </c>
      <c r="K26" t="str">
        <f>IFERROR(IF(B26&lt;&gt;"", TEXT(VLOOKUP(B26, 'Expected Date'!A:B, 2, FALSE) + DATE(RIGHT(C26,2),MID(C26,4,2),LEFT(C26,2)), "dd/mm/yy"), ""), "")</f>
        <v>22/04/23</v>
      </c>
      <c r="L26" t="s">
        <v>38</v>
      </c>
      <c r="M26" t="s">
        <v>48</v>
      </c>
      <c r="N26" t="s">
        <v>574</v>
      </c>
      <c r="O26" t="s">
        <v>35</v>
      </c>
      <c r="P26">
        <v>23390080</v>
      </c>
      <c r="Q26" t="s">
        <v>569</v>
      </c>
      <c r="R26" t="s">
        <v>570</v>
      </c>
      <c r="S26">
        <v>26.114999999999998</v>
      </c>
      <c r="T26">
        <v>10857.14</v>
      </c>
      <c r="U26">
        <v>283534.21000000002</v>
      </c>
      <c r="V26" t="str">
        <f t="shared" si="17"/>
        <v>Accepted</v>
      </c>
      <c r="W26">
        <f>IFERROR(VLOOKUP(N26, Payment_Terms!A:B, 2, FALSE), "Payment term not found!")</f>
        <v>0</v>
      </c>
      <c r="X26" t="str">
        <f>IFERROR(VLOOKUP(R26, Item_Category!A:B, 2, FALSE), "Uncategorized")</f>
        <v>Coal materials</v>
      </c>
      <c r="Y26" s="5">
        <f t="shared" si="4"/>
        <v>0</v>
      </c>
      <c r="Z26">
        <f t="shared" si="5"/>
        <v>5</v>
      </c>
      <c r="AA26">
        <f t="shared" si="6"/>
        <v>5</v>
      </c>
      <c r="AB26">
        <f t="shared" si="7"/>
        <v>3</v>
      </c>
      <c r="AC26" s="10">
        <f t="shared" si="8"/>
        <v>7</v>
      </c>
      <c r="AD26" s="5">
        <f t="shared" si="0"/>
        <v>1</v>
      </c>
      <c r="AE26" s="5">
        <f t="shared" si="1"/>
        <v>1</v>
      </c>
      <c r="AF26" s="5">
        <f t="shared" si="9"/>
        <v>0</v>
      </c>
      <c r="AG26">
        <f>IF(B26&lt;&gt;"", COUNTIFS($B$2:B26, B26), "")</f>
        <v>3</v>
      </c>
      <c r="AH26">
        <f t="shared" si="10"/>
        <v>5</v>
      </c>
      <c r="AI26" t="str">
        <f>VLOOKUP(B26, Currency!A:B, 2, FALSE)</f>
        <v>INR</v>
      </c>
      <c r="AJ26">
        <f t="shared" si="2"/>
        <v>5</v>
      </c>
      <c r="AK26">
        <f t="shared" si="11"/>
        <v>4</v>
      </c>
      <c r="AL26" t="str">
        <f t="shared" si="12"/>
        <v>April</v>
      </c>
      <c r="AM26">
        <f t="shared" si="13"/>
        <v>2023</v>
      </c>
      <c r="AN26" t="str">
        <f t="shared" si="3"/>
        <v>0SKYWIN ENTERPRISE</v>
      </c>
      <c r="AO26">
        <f>IF(COUNTIF($AN$2:AN26, AN26)=1, 1, 0)</f>
        <v>0</v>
      </c>
      <c r="AP26" t="str">
        <f t="shared" si="14"/>
        <v>&gt;3</v>
      </c>
      <c r="AQ26" t="str">
        <f t="shared" si="15"/>
        <v>&gt;3</v>
      </c>
      <c r="AR26" t="str">
        <f t="shared" si="16"/>
        <v>&lt;=3</v>
      </c>
    </row>
    <row r="27" spans="1:44" x14ac:dyDescent="0.3">
      <c r="A27" t="s">
        <v>33</v>
      </c>
      <c r="B27" t="str">
        <f>B14</f>
        <v>Ami Enterprises</v>
      </c>
      <c r="C27" t="s">
        <v>354</v>
      </c>
      <c r="D27">
        <v>2798</v>
      </c>
      <c r="E27">
        <v>23310217</v>
      </c>
      <c r="F27" t="s">
        <v>572</v>
      </c>
      <c r="G27" t="s">
        <v>595</v>
      </c>
      <c r="H27">
        <v>2000</v>
      </c>
      <c r="I27">
        <v>34</v>
      </c>
      <c r="J27">
        <v>68000</v>
      </c>
      <c r="K27" t="str">
        <f>IFERROR(IF(B27&lt;&gt;"", TEXT(VLOOKUP(B27, 'Expected Date'!A:B, 2, FALSE) + DATE(RIGHT(C27,2),MID(C27,4,2),LEFT(C27,2)), "dd/mm/yy"), ""), "")</f>
        <v>13/07/23</v>
      </c>
      <c r="L27" t="s">
        <v>38</v>
      </c>
      <c r="M27" t="s">
        <v>39</v>
      </c>
      <c r="N27" t="s">
        <v>318</v>
      </c>
      <c r="O27" t="s">
        <v>117</v>
      </c>
      <c r="P27">
        <v>23390295</v>
      </c>
      <c r="Q27" t="s">
        <v>572</v>
      </c>
      <c r="R27" t="s">
        <v>573</v>
      </c>
      <c r="S27">
        <v>2283</v>
      </c>
      <c r="T27">
        <v>34</v>
      </c>
      <c r="U27">
        <v>77622</v>
      </c>
      <c r="V27" t="str">
        <f t="shared" si="17"/>
        <v>Accepted</v>
      </c>
      <c r="W27">
        <f>IFERROR(VLOOKUP(N27, Payment_Terms!A:B, 2, FALSE), "Payment term not found!")</f>
        <v>30</v>
      </c>
      <c r="X27" t="str">
        <f>IFERROR(VLOOKUP(R27, Item_Category!A:B, 2, FALSE), "Uncategorized")</f>
        <v>Bags</v>
      </c>
      <c r="Y27" s="5">
        <f t="shared" si="4"/>
        <v>0</v>
      </c>
      <c r="Z27">
        <f t="shared" si="5"/>
        <v>5</v>
      </c>
      <c r="AA27">
        <f t="shared" si="6"/>
        <v>-6</v>
      </c>
      <c r="AB27">
        <f t="shared" si="7"/>
        <v>5</v>
      </c>
      <c r="AC27" s="10">
        <f t="shared" si="8"/>
        <v>4</v>
      </c>
      <c r="AD27" s="5">
        <f t="shared" si="0"/>
        <v>1</v>
      </c>
      <c r="AE27" s="5">
        <f t="shared" si="1"/>
        <v>1</v>
      </c>
      <c r="AF27" s="5">
        <f t="shared" si="9"/>
        <v>0</v>
      </c>
      <c r="AG27">
        <f>IF(B27&lt;&gt;"", COUNTIFS($B$2:B27, B27), "")</f>
        <v>3</v>
      </c>
      <c r="AH27">
        <f t="shared" si="10"/>
        <v>5</v>
      </c>
      <c r="AI27" t="str">
        <f>VLOOKUP(B27, Currency!A:B, 2, FALSE)</f>
        <v>INR</v>
      </c>
      <c r="AJ27">
        <f t="shared" si="2"/>
        <v>5</v>
      </c>
      <c r="AK27">
        <f t="shared" si="11"/>
        <v>7</v>
      </c>
      <c r="AL27" t="str">
        <f t="shared" si="12"/>
        <v>July</v>
      </c>
      <c r="AM27">
        <f t="shared" si="13"/>
        <v>2023</v>
      </c>
      <c r="AN27" t="str">
        <f t="shared" si="3"/>
        <v>30Ami Enterprises</v>
      </c>
      <c r="AO27">
        <f>IF(COUNTIF($AN$2:AN27, AN27)=1, 1, 0)</f>
        <v>0</v>
      </c>
      <c r="AP27" t="str">
        <f t="shared" si="14"/>
        <v>&gt;3</v>
      </c>
      <c r="AQ27" t="str">
        <f t="shared" si="15"/>
        <v>&gt;3</v>
      </c>
      <c r="AR27" t="str">
        <f t="shared" si="16"/>
        <v>&gt;3</v>
      </c>
    </row>
    <row r="28" spans="1:44" x14ac:dyDescent="0.3">
      <c r="A28" t="s">
        <v>33</v>
      </c>
      <c r="B28" t="s">
        <v>386</v>
      </c>
      <c r="C28" t="s">
        <v>428</v>
      </c>
      <c r="D28">
        <v>1184</v>
      </c>
      <c r="E28">
        <v>23310006</v>
      </c>
      <c r="F28" t="s">
        <v>578</v>
      </c>
      <c r="G28" t="s">
        <v>579</v>
      </c>
      <c r="H28">
        <v>150</v>
      </c>
      <c r="I28">
        <v>129</v>
      </c>
      <c r="J28">
        <v>19350</v>
      </c>
      <c r="K28" t="str">
        <f>IFERROR(IF(B28&lt;&gt;"", TEXT(VLOOKUP(B28, 'Expected Date'!A:B, 2, FALSE) + DATE(RIGHT(C28,2),MID(C28,4,2),LEFT(C28,2)), "dd/mm/yy"), ""), "")</f>
        <v>08/04/23</v>
      </c>
      <c r="L28" t="s">
        <v>38</v>
      </c>
      <c r="M28" t="s">
        <v>48</v>
      </c>
      <c r="N28" t="s">
        <v>556</v>
      </c>
      <c r="O28" t="s">
        <v>419</v>
      </c>
      <c r="P28">
        <v>23390051</v>
      </c>
      <c r="Q28" t="s">
        <v>578</v>
      </c>
      <c r="R28" t="s">
        <v>579</v>
      </c>
      <c r="S28">
        <v>172</v>
      </c>
      <c r="T28">
        <v>129</v>
      </c>
      <c r="U28">
        <v>22188</v>
      </c>
      <c r="V28" t="str">
        <f t="shared" si="17"/>
        <v>Accepted</v>
      </c>
      <c r="W28">
        <f>IFERROR(VLOOKUP(N28, Payment_Terms!A:B, 2, FALSE), "Payment term not found!")</f>
        <v>30</v>
      </c>
      <c r="X28" t="str">
        <f>IFERROR(VLOOKUP(R28, Item_Category!A:B, 2, FALSE), "Uncategorized")</f>
        <v>Film</v>
      </c>
      <c r="Y28" s="5">
        <f>IFERROR(IF(AND(E28&lt;&gt;"", G28&lt;&gt;""), MAX(0, (H28-SUMIFS(S:S, E:E, E28, G:G, G28))/H28), ""), (H28-S28)/H28)</f>
        <v>0</v>
      </c>
      <c r="Z28">
        <f t="shared" si="5"/>
        <v>5</v>
      </c>
      <c r="AA28">
        <f t="shared" si="6"/>
        <v>14</v>
      </c>
      <c r="AB28">
        <f t="shared" si="7"/>
        <v>1</v>
      </c>
      <c r="AC28" s="10">
        <f t="shared" si="8"/>
        <v>19</v>
      </c>
      <c r="AD28" s="5">
        <f t="shared" si="0"/>
        <v>1</v>
      </c>
      <c r="AE28" s="5">
        <f t="shared" si="1"/>
        <v>1</v>
      </c>
      <c r="AF28" s="5">
        <f t="shared" si="9"/>
        <v>0</v>
      </c>
      <c r="AG28">
        <f>IF(B28&lt;&gt;"", COUNTIFS($B$2:B28, B28), "")</f>
        <v>6</v>
      </c>
      <c r="AH28">
        <f t="shared" si="10"/>
        <v>5</v>
      </c>
      <c r="AI28" t="str">
        <f>VLOOKUP(B28, Currency!A:B, 2, FALSE)</f>
        <v>INR</v>
      </c>
      <c r="AJ28">
        <f t="shared" si="2"/>
        <v>4</v>
      </c>
      <c r="AK28">
        <f t="shared" si="11"/>
        <v>4</v>
      </c>
      <c r="AL28" t="str">
        <f t="shared" si="12"/>
        <v>April</v>
      </c>
      <c r="AM28">
        <f t="shared" si="13"/>
        <v>2023</v>
      </c>
      <c r="AN28" t="str">
        <f t="shared" si="3"/>
        <v>30Shree Shyam Enterprises</v>
      </c>
      <c r="AO28">
        <f>IF(COUNTIF($AN$2:AN28, AN28)=1, 1, 0)</f>
        <v>0</v>
      </c>
      <c r="AP28" t="str">
        <f t="shared" si="14"/>
        <v>&gt;3</v>
      </c>
      <c r="AQ28" t="str">
        <f t="shared" si="15"/>
        <v>&gt;3</v>
      </c>
      <c r="AR28" t="str">
        <f t="shared" si="16"/>
        <v>&lt;=3</v>
      </c>
    </row>
    <row r="29" spans="1:44" x14ac:dyDescent="0.3">
      <c r="A29" t="s">
        <v>33</v>
      </c>
      <c r="B29" t="s">
        <v>122</v>
      </c>
      <c r="C29" t="s">
        <v>562</v>
      </c>
      <c r="D29">
        <v>1639</v>
      </c>
      <c r="E29">
        <v>23310061</v>
      </c>
      <c r="F29" t="s">
        <v>565</v>
      </c>
      <c r="G29" t="s">
        <v>566</v>
      </c>
      <c r="H29">
        <v>200</v>
      </c>
      <c r="I29">
        <v>930</v>
      </c>
      <c r="J29">
        <v>186000</v>
      </c>
      <c r="K29" t="str">
        <f>IFERROR(IF(B29&lt;&gt;"", TEXT(VLOOKUP(B29, 'Expected Date'!A:B, 2, FALSE) + DATE(RIGHT(C29,2),MID(C29,4,2),LEFT(C29,2)), "dd/mm/yy"), ""), "")</f>
        <v>15/05/23</v>
      </c>
      <c r="L29" t="s">
        <v>38</v>
      </c>
      <c r="M29" t="s">
        <v>39</v>
      </c>
      <c r="N29" t="s">
        <v>318</v>
      </c>
      <c r="O29" t="s">
        <v>110</v>
      </c>
      <c r="P29">
        <v>23390215</v>
      </c>
      <c r="Q29" t="s">
        <v>565</v>
      </c>
      <c r="R29" t="s">
        <v>566</v>
      </c>
      <c r="S29">
        <v>50</v>
      </c>
      <c r="T29">
        <v>930</v>
      </c>
      <c r="U29">
        <v>46500</v>
      </c>
      <c r="V29" t="str">
        <f t="shared" si="17"/>
        <v>Accepted</v>
      </c>
      <c r="W29">
        <f>IFERROR(VLOOKUP(N29, Payment_Terms!A:B, 2, FALSE), "Payment term not found!")</f>
        <v>30</v>
      </c>
      <c r="X29" t="str">
        <f>IFERROR(VLOOKUP(R29, Item_Category!A:B, 2, FALSE), "Uncategorized")</f>
        <v>Pallets</v>
      </c>
      <c r="Y29" s="5">
        <f t="shared" si="4"/>
        <v>0</v>
      </c>
      <c r="Z29">
        <f t="shared" si="5"/>
        <v>5</v>
      </c>
      <c r="AA29">
        <f t="shared" si="6"/>
        <v>16</v>
      </c>
      <c r="AB29">
        <f t="shared" si="7"/>
        <v>1</v>
      </c>
      <c r="AC29" s="10">
        <f t="shared" si="8"/>
        <v>31</v>
      </c>
      <c r="AD29" s="5">
        <f t="shared" si="0"/>
        <v>1</v>
      </c>
      <c r="AE29" s="5">
        <f t="shared" si="1"/>
        <v>1</v>
      </c>
      <c r="AF29" s="5">
        <f t="shared" si="9"/>
        <v>0</v>
      </c>
      <c r="AG29">
        <f>IF(B29&lt;&gt;"", COUNTIFS($B$2:B29, B29), "")</f>
        <v>2</v>
      </c>
      <c r="AH29">
        <f t="shared" si="10"/>
        <v>5</v>
      </c>
      <c r="AI29" t="str">
        <f>VLOOKUP(B29, Currency!A:B, 2, FALSE)</f>
        <v>INR</v>
      </c>
      <c r="AJ29">
        <f t="shared" si="2"/>
        <v>4</v>
      </c>
      <c r="AK29">
        <f t="shared" si="11"/>
        <v>4</v>
      </c>
      <c r="AL29" t="str">
        <f t="shared" si="12"/>
        <v>April</v>
      </c>
      <c r="AM29">
        <f t="shared" si="13"/>
        <v>2023</v>
      </c>
      <c r="AN29" t="str">
        <f t="shared" si="3"/>
        <v>30Plastocon Industries Pvt Ltd</v>
      </c>
      <c r="AO29">
        <f>IF(COUNTIF($AN$2:AN29, AN29)=1, 1, 0)</f>
        <v>0</v>
      </c>
      <c r="AP29" t="str">
        <f t="shared" si="14"/>
        <v>&gt;3</v>
      </c>
      <c r="AQ29" t="str">
        <f t="shared" si="15"/>
        <v>&gt;3</v>
      </c>
      <c r="AR29" t="str">
        <f t="shared" si="16"/>
        <v>&lt;=3</v>
      </c>
    </row>
    <row r="30" spans="1:44" x14ac:dyDescent="0.3">
      <c r="A30" t="str">
        <f>A10</f>
        <v>Woodpulp</v>
      </c>
      <c r="B30" t="s">
        <v>289</v>
      </c>
      <c r="C30" t="s">
        <v>168</v>
      </c>
      <c r="D30">
        <v>1303</v>
      </c>
      <c r="E30">
        <v>23320007</v>
      </c>
      <c r="F30" t="s">
        <v>575</v>
      </c>
      <c r="G30" t="s">
        <v>291</v>
      </c>
      <c r="H30">
        <v>200000</v>
      </c>
      <c r="I30">
        <v>64.099999999999994</v>
      </c>
      <c r="J30">
        <v>12820000</v>
      </c>
      <c r="K30" t="str">
        <f>IFERROR(IF(B30&lt;&gt;"", TEXT(VLOOKUP(B30, 'Expected Date'!A:B, 2, FALSE) + DATE(RIGHT(C30,2),MID(C30,4,2),LEFT(C30,2)), "dd/mm/yy"), ""), "")</f>
        <v>17/05/23</v>
      </c>
      <c r="L30" t="s">
        <v>38</v>
      </c>
      <c r="M30" t="str">
        <f>M20</f>
        <v>MT</v>
      </c>
      <c r="N30" t="s">
        <v>292</v>
      </c>
      <c r="O30" t="s">
        <v>439</v>
      </c>
      <c r="P30">
        <v>23390050</v>
      </c>
      <c r="Q30" t="s">
        <v>575</v>
      </c>
      <c r="R30" t="s">
        <v>291</v>
      </c>
      <c r="S30">
        <v>24134</v>
      </c>
      <c r="T30">
        <v>64.099999999999994</v>
      </c>
      <c r="U30">
        <v>1546989.4</v>
      </c>
      <c r="V30" t="str">
        <f t="shared" si="17"/>
        <v>Accepted</v>
      </c>
      <c r="W30">
        <f>IFERROR(VLOOKUP(N30, Payment_Terms!A:B, 2, FALSE), "Payment term not found!")</f>
        <v>0</v>
      </c>
      <c r="X30" t="str">
        <f>IFERROR(VLOOKUP(R30, Item_Category!A:B, 2, FALSE), "Uncategorized")</f>
        <v>Wood pulp</v>
      </c>
      <c r="Y30" s="5">
        <f t="shared" si="4"/>
        <v>0</v>
      </c>
      <c r="Z30">
        <f t="shared" si="5"/>
        <v>5</v>
      </c>
      <c r="AA30">
        <f t="shared" si="6"/>
        <v>-27</v>
      </c>
      <c r="AB30">
        <f t="shared" si="7"/>
        <v>5</v>
      </c>
      <c r="AC30" s="10">
        <f t="shared" si="8"/>
        <v>3</v>
      </c>
      <c r="AD30" s="5">
        <f t="shared" si="0"/>
        <v>1</v>
      </c>
      <c r="AE30" s="5">
        <f t="shared" si="1"/>
        <v>1</v>
      </c>
      <c r="AF30" s="5">
        <f t="shared" si="9"/>
        <v>0</v>
      </c>
      <c r="AG30">
        <f>IF(B30&lt;&gt;"", COUNTIFS($B$2:B30, B30), "")</f>
        <v>6</v>
      </c>
      <c r="AH30">
        <f t="shared" si="10"/>
        <v>5</v>
      </c>
      <c r="AI30" t="str">
        <f>VLOOKUP(B30, Currency!A:B, 2, FALSE)</f>
        <v>INR</v>
      </c>
      <c r="AJ30">
        <f t="shared" si="2"/>
        <v>5</v>
      </c>
      <c r="AK30">
        <f t="shared" si="11"/>
        <v>4</v>
      </c>
      <c r="AL30" t="str">
        <f t="shared" si="12"/>
        <v>April</v>
      </c>
      <c r="AM30">
        <f t="shared" si="13"/>
        <v>2023</v>
      </c>
      <c r="AN30" t="str">
        <f t="shared" si="3"/>
        <v>0N.E. IMPEX PRIVATE LIMITED</v>
      </c>
      <c r="AO30">
        <f>IF(COUNTIF($AN$2:AN30, AN30)=1, 1, 0)</f>
        <v>0</v>
      </c>
      <c r="AP30" t="str">
        <f t="shared" si="14"/>
        <v>&gt;3</v>
      </c>
      <c r="AQ30" t="str">
        <f t="shared" si="15"/>
        <v>&gt;3</v>
      </c>
      <c r="AR30" t="str">
        <f t="shared" si="16"/>
        <v>&gt;3</v>
      </c>
    </row>
    <row r="31" spans="1:44" x14ac:dyDescent="0.3">
      <c r="A31" t="s">
        <v>95</v>
      </c>
      <c r="B31" t="s">
        <v>580</v>
      </c>
      <c r="C31" t="s">
        <v>108</v>
      </c>
      <c r="D31">
        <v>1805</v>
      </c>
      <c r="E31">
        <v>23320011</v>
      </c>
      <c r="F31" t="s">
        <v>575</v>
      </c>
      <c r="G31" t="s">
        <v>291</v>
      </c>
      <c r="H31">
        <v>100</v>
      </c>
      <c r="I31">
        <v>57426</v>
      </c>
      <c r="J31">
        <v>5742600</v>
      </c>
      <c r="K31" t="str">
        <f>IFERROR(IF(B31&lt;&gt;"", TEXT(VLOOKUP(B31, 'Expected Date'!A:B, 2, FALSE) + DATE(RIGHT(C31,2),MID(C31,4,2),LEFT(C31,2)), "dd/mm/yy"), ""), "")</f>
        <v>09/06/23</v>
      </c>
      <c r="L31" t="s">
        <v>38</v>
      </c>
      <c r="M31" t="str">
        <f>M20</f>
        <v>MT</v>
      </c>
      <c r="N31" t="s">
        <v>292</v>
      </c>
      <c r="O31" t="s">
        <v>108</v>
      </c>
      <c r="P31">
        <v>23390137</v>
      </c>
      <c r="Q31" t="s">
        <v>575</v>
      </c>
      <c r="R31" t="s">
        <v>291</v>
      </c>
      <c r="S31">
        <v>24.097999999999999</v>
      </c>
      <c r="T31">
        <v>57430</v>
      </c>
      <c r="U31">
        <v>1383948.14</v>
      </c>
      <c r="V31" t="str">
        <f t="shared" si="17"/>
        <v>Accepted</v>
      </c>
      <c r="W31">
        <f>IFERROR(VLOOKUP(N31, Payment_Terms!A:B, 2, FALSE), "Payment term not found!")</f>
        <v>0</v>
      </c>
      <c r="X31" t="str">
        <f>IFERROR(VLOOKUP(R31, Item_Category!A:B, 2, FALSE), "Uncategorized")</f>
        <v>Wood pulp</v>
      </c>
      <c r="Y31" s="5">
        <f t="shared" si="4"/>
        <v>0</v>
      </c>
      <c r="Z31">
        <f t="shared" si="5"/>
        <v>5</v>
      </c>
      <c r="AA31">
        <f t="shared" si="6"/>
        <v>-30</v>
      </c>
      <c r="AB31">
        <f t="shared" si="7"/>
        <v>5</v>
      </c>
      <c r="AC31" s="10">
        <f t="shared" si="8"/>
        <v>0</v>
      </c>
      <c r="AD31" s="5">
        <f t="shared" si="0"/>
        <v>1</v>
      </c>
      <c r="AE31" s="5">
        <f t="shared" si="1"/>
        <v>1</v>
      </c>
      <c r="AF31" s="5">
        <f t="shared" si="9"/>
        <v>0</v>
      </c>
      <c r="AG31">
        <f>IF(B31&lt;&gt;"", COUNTIFS($B$2:B31, B31), "")</f>
        <v>1</v>
      </c>
      <c r="AH31">
        <f t="shared" si="10"/>
        <v>5</v>
      </c>
      <c r="AI31" t="str">
        <f>VLOOKUP(B31, Currency!A:B, 2, FALSE)</f>
        <v>INR</v>
      </c>
      <c r="AJ31">
        <f t="shared" si="2"/>
        <v>5</v>
      </c>
      <c r="AK31">
        <f t="shared" si="11"/>
        <v>5</v>
      </c>
      <c r="AL31" t="str">
        <f t="shared" si="12"/>
        <v>May</v>
      </c>
      <c r="AM31">
        <f t="shared" si="13"/>
        <v>2023</v>
      </c>
      <c r="AN31" t="str">
        <f t="shared" si="3"/>
        <v>0Dhanalaxmi Roto Spinners Ltd</v>
      </c>
      <c r="AO31">
        <f>IF(COUNTIF($AN$2:AN31, AN31)=1, 1, 0)</f>
        <v>1</v>
      </c>
      <c r="AP31" t="str">
        <f t="shared" si="14"/>
        <v>&gt;3</v>
      </c>
      <c r="AQ31" t="str">
        <f t="shared" si="15"/>
        <v>&gt;3</v>
      </c>
      <c r="AR31" t="str">
        <f t="shared" si="16"/>
        <v>&gt;3</v>
      </c>
    </row>
    <row r="32" spans="1:44" x14ac:dyDescent="0.3">
      <c r="A32" t="str">
        <f>A31</f>
        <v>Woodpulp</v>
      </c>
      <c r="B32" t="s">
        <v>580</v>
      </c>
      <c r="C32" t="s">
        <v>108</v>
      </c>
      <c r="D32">
        <v>1805</v>
      </c>
      <c r="E32">
        <v>23320011</v>
      </c>
      <c r="F32" t="s">
        <v>575</v>
      </c>
      <c r="G32" t="s">
        <v>291</v>
      </c>
      <c r="H32">
        <v>100</v>
      </c>
      <c r="I32">
        <v>57426</v>
      </c>
      <c r="J32">
        <v>5742600</v>
      </c>
      <c r="K32" t="str">
        <f>IFERROR(IF(B32&lt;&gt;"", TEXT(VLOOKUP(B32, 'Expected Date'!A:B, 2, FALSE) + DATE(RIGHT(C32,2),MID(C32,4,2),LEFT(C32,2)), "dd/mm/yy"), ""), "")</f>
        <v>09/06/23</v>
      </c>
      <c r="L32" t="s">
        <v>38</v>
      </c>
      <c r="M32" t="str">
        <f>M20</f>
        <v>MT</v>
      </c>
      <c r="N32" t="s">
        <v>292</v>
      </c>
      <c r="O32" t="s">
        <v>108</v>
      </c>
      <c r="P32">
        <v>23390135</v>
      </c>
      <c r="Q32" t="s">
        <v>575</v>
      </c>
      <c r="R32" t="s">
        <v>291</v>
      </c>
      <c r="S32">
        <v>24.122</v>
      </c>
      <c r="T32">
        <v>57430</v>
      </c>
      <c r="U32">
        <v>1385326.46</v>
      </c>
      <c r="V32" t="str">
        <f t="shared" si="17"/>
        <v>Accepted</v>
      </c>
      <c r="W32">
        <f>IFERROR(VLOOKUP(N32, Payment_Terms!A:B, 2, FALSE), "Payment term not found!")</f>
        <v>0</v>
      </c>
      <c r="X32" t="str">
        <f>IFERROR(VLOOKUP(R32, Item_Category!A:B, 2, FALSE), "Uncategorized")</f>
        <v>Wood pulp</v>
      </c>
      <c r="Y32" s="5">
        <f t="shared" si="4"/>
        <v>0</v>
      </c>
      <c r="Z32">
        <f t="shared" si="5"/>
        <v>5</v>
      </c>
      <c r="AA32">
        <f t="shared" si="6"/>
        <v>-30</v>
      </c>
      <c r="AB32">
        <f t="shared" si="7"/>
        <v>5</v>
      </c>
      <c r="AC32" s="10">
        <f t="shared" si="8"/>
        <v>0</v>
      </c>
      <c r="AD32" s="5">
        <f t="shared" si="0"/>
        <v>1</v>
      </c>
      <c r="AE32" s="5">
        <f t="shared" si="1"/>
        <v>1</v>
      </c>
      <c r="AF32" s="5">
        <f t="shared" si="9"/>
        <v>0</v>
      </c>
      <c r="AG32">
        <f>IF(B32&lt;&gt;"", COUNTIFS($B$2:B32, B32), "")</f>
        <v>2</v>
      </c>
      <c r="AH32">
        <f t="shared" si="10"/>
        <v>5</v>
      </c>
      <c r="AI32" t="str">
        <f>VLOOKUP(B32, Currency!A:B, 2, FALSE)</f>
        <v>INR</v>
      </c>
      <c r="AJ32">
        <f t="shared" si="2"/>
        <v>5</v>
      </c>
      <c r="AK32">
        <f t="shared" si="11"/>
        <v>5</v>
      </c>
      <c r="AL32" t="str">
        <f t="shared" si="12"/>
        <v>May</v>
      </c>
      <c r="AM32">
        <f t="shared" si="13"/>
        <v>2023</v>
      </c>
      <c r="AN32" t="str">
        <f t="shared" si="3"/>
        <v>0Dhanalaxmi Roto Spinners Ltd</v>
      </c>
      <c r="AO32">
        <f>IF(COUNTIF($AN$2:AN32, AN32)=1, 1, 0)</f>
        <v>0</v>
      </c>
      <c r="AP32" t="str">
        <f t="shared" si="14"/>
        <v>&gt;3</v>
      </c>
      <c r="AQ32" t="str">
        <f t="shared" si="15"/>
        <v>&gt;3</v>
      </c>
      <c r="AR32" t="str">
        <f t="shared" si="16"/>
        <v>&gt;3</v>
      </c>
    </row>
    <row r="33" spans="1:44" x14ac:dyDescent="0.3">
      <c r="A33" t="s">
        <v>33</v>
      </c>
      <c r="B33" t="s">
        <v>436</v>
      </c>
      <c r="C33" t="s">
        <v>562</v>
      </c>
      <c r="D33">
        <v>1634</v>
      </c>
      <c r="E33">
        <v>23310056</v>
      </c>
      <c r="F33" t="s">
        <v>581</v>
      </c>
      <c r="G33" t="s">
        <v>582</v>
      </c>
      <c r="H33">
        <v>2000</v>
      </c>
      <c r="I33">
        <v>8</v>
      </c>
      <c r="J33">
        <v>16000</v>
      </c>
      <c r="K33" t="str">
        <f>IFERROR(IF(B33&lt;&gt;"", TEXT(VLOOKUP(B33, 'Expected Date'!A:B, 2, FALSE) + DATE(RIGHT(C33,2),MID(C33,4,2),LEFT(C33,2)), "dd/mm/yy"), ""), "")</f>
        <v>10/05/23</v>
      </c>
      <c r="L33" t="s">
        <v>38</v>
      </c>
      <c r="M33" t="s">
        <v>48</v>
      </c>
      <c r="N33" t="s">
        <v>318</v>
      </c>
      <c r="O33" t="s">
        <v>141</v>
      </c>
      <c r="P33">
        <v>23390118</v>
      </c>
      <c r="Q33" t="s">
        <v>581</v>
      </c>
      <c r="R33" t="s">
        <v>582</v>
      </c>
      <c r="S33">
        <v>2280</v>
      </c>
      <c r="T33">
        <v>8</v>
      </c>
      <c r="U33">
        <v>18240</v>
      </c>
      <c r="V33" t="str">
        <f t="shared" si="17"/>
        <v>Accepted</v>
      </c>
      <c r="W33">
        <f>IFERROR(VLOOKUP(N33, Payment_Terms!A:B, 2, FALSE), "Payment term not found!")</f>
        <v>30</v>
      </c>
      <c r="X33" t="str">
        <f>IFERROR(VLOOKUP(R33, Item_Category!A:B, 2, FALSE), "Uncategorized")</f>
        <v>Lime</v>
      </c>
      <c r="Y33" s="5">
        <f t="shared" si="4"/>
        <v>0</v>
      </c>
      <c r="Z33">
        <f t="shared" si="5"/>
        <v>5</v>
      </c>
      <c r="AA33">
        <f t="shared" si="6"/>
        <v>-2</v>
      </c>
      <c r="AB33">
        <f t="shared" si="7"/>
        <v>5</v>
      </c>
      <c r="AC33" s="10">
        <f t="shared" si="8"/>
        <v>8</v>
      </c>
      <c r="AD33" s="5">
        <f t="shared" si="0"/>
        <v>1</v>
      </c>
      <c r="AE33" s="5">
        <f t="shared" si="1"/>
        <v>1</v>
      </c>
      <c r="AF33" s="5">
        <f t="shared" si="9"/>
        <v>0</v>
      </c>
      <c r="AG33">
        <f>IF(B33&lt;&gt;"", COUNTIFS($B$2:B33, B33), "")</f>
        <v>1</v>
      </c>
      <c r="AH33">
        <f t="shared" si="10"/>
        <v>5</v>
      </c>
      <c r="AI33" t="str">
        <f>VLOOKUP(B33, Currency!A:B, 2, FALSE)</f>
        <v>INR</v>
      </c>
      <c r="AJ33">
        <f t="shared" si="2"/>
        <v>5</v>
      </c>
      <c r="AK33">
        <f t="shared" si="11"/>
        <v>4</v>
      </c>
      <c r="AL33" t="str">
        <f t="shared" si="12"/>
        <v>April</v>
      </c>
      <c r="AM33">
        <f t="shared" si="13"/>
        <v>2023</v>
      </c>
      <c r="AN33" t="str">
        <f t="shared" si="3"/>
        <v>30Shree Gopal Celluchem Pvt Ltd</v>
      </c>
      <c r="AO33">
        <f>IF(COUNTIF($AN$2:AN33, AN33)=1, 1, 0)</f>
        <v>1</v>
      </c>
      <c r="AP33" t="str">
        <f t="shared" si="14"/>
        <v>&gt;3</v>
      </c>
      <c r="AQ33" t="str">
        <f t="shared" si="15"/>
        <v>&gt;3</v>
      </c>
      <c r="AR33" t="str">
        <f t="shared" si="16"/>
        <v>&gt;3</v>
      </c>
    </row>
    <row r="34" spans="1:44" x14ac:dyDescent="0.3">
      <c r="A34" t="s">
        <v>33</v>
      </c>
      <c r="B34" t="s">
        <v>34</v>
      </c>
      <c r="C34" t="s">
        <v>352</v>
      </c>
      <c r="D34">
        <v>2378</v>
      </c>
      <c r="E34">
        <v>23310161</v>
      </c>
      <c r="F34" t="s">
        <v>572</v>
      </c>
      <c r="G34" t="s">
        <v>595</v>
      </c>
      <c r="H34">
        <v>3200</v>
      </c>
      <c r="I34">
        <v>35</v>
      </c>
      <c r="J34">
        <v>112000</v>
      </c>
      <c r="K34" t="str">
        <f>IFERROR(IF(B34&lt;&gt;"", TEXT(VLOOKUP(B34, 'Expected Date'!A:B, 2, FALSE) + DATE(RIGHT(C34,2),MID(C34,4,2),LEFT(C34,2)), "dd/mm/yy"), ""), "")</f>
        <v>12/06/23</v>
      </c>
      <c r="L34" t="s">
        <v>38</v>
      </c>
      <c r="M34" t="s">
        <v>39</v>
      </c>
      <c r="N34" t="s">
        <v>318</v>
      </c>
      <c r="O34" t="s">
        <v>182</v>
      </c>
      <c r="P34">
        <v>23390237</v>
      </c>
      <c r="Q34" t="s">
        <v>572</v>
      </c>
      <c r="R34" t="s">
        <v>573</v>
      </c>
      <c r="S34">
        <v>2404</v>
      </c>
      <c r="T34">
        <v>35</v>
      </c>
      <c r="U34">
        <v>84140</v>
      </c>
      <c r="V34" t="str">
        <f t="shared" si="17"/>
        <v>Accepted</v>
      </c>
      <c r="W34">
        <f>IFERROR(VLOOKUP(N34, Payment_Terms!A:B, 2, FALSE), "Payment term not found!")</f>
        <v>30</v>
      </c>
      <c r="X34" t="str">
        <f>IFERROR(VLOOKUP(R34, Item_Category!A:B, 2, FALSE), "Uncategorized")</f>
        <v>Bags</v>
      </c>
      <c r="Y34" s="5">
        <f t="shared" si="4"/>
        <v>0</v>
      </c>
      <c r="Z34">
        <f t="shared" si="5"/>
        <v>5</v>
      </c>
      <c r="AA34">
        <f t="shared" si="6"/>
        <v>1</v>
      </c>
      <c r="AB34">
        <f t="shared" si="7"/>
        <v>5</v>
      </c>
      <c r="AC34" s="10">
        <f t="shared" si="8"/>
        <v>11</v>
      </c>
      <c r="AD34" s="5">
        <f t="shared" si="0"/>
        <v>1</v>
      </c>
      <c r="AE34" s="5">
        <f t="shared" si="1"/>
        <v>1</v>
      </c>
      <c r="AF34" s="5">
        <f t="shared" si="9"/>
        <v>0</v>
      </c>
      <c r="AG34">
        <f>IF(B34&lt;&gt;"", COUNTIFS($B$2:B34, B34), "")</f>
        <v>4</v>
      </c>
      <c r="AH34">
        <f t="shared" si="10"/>
        <v>5</v>
      </c>
      <c r="AI34" t="str">
        <f>VLOOKUP(B34, Currency!A:B, 2, FALSE)</f>
        <v>INR</v>
      </c>
      <c r="AJ34">
        <f t="shared" si="2"/>
        <v>5</v>
      </c>
      <c r="AK34">
        <f t="shared" si="11"/>
        <v>6</v>
      </c>
      <c r="AL34" t="str">
        <f t="shared" si="12"/>
        <v>June</v>
      </c>
      <c r="AM34">
        <f t="shared" si="13"/>
        <v>2023</v>
      </c>
      <c r="AN34" t="str">
        <f t="shared" ref="AN34:AN65" si="18">W34&amp;B34</f>
        <v>30Ami Enterprises</v>
      </c>
      <c r="AO34">
        <f>IF(COUNTIF($AN$2:AN34, AN34)=1, 1, 0)</f>
        <v>0</v>
      </c>
      <c r="AP34" t="str">
        <f t="shared" si="14"/>
        <v>&gt;3</v>
      </c>
      <c r="AQ34" t="str">
        <f t="shared" si="15"/>
        <v>&gt;3</v>
      </c>
      <c r="AR34" t="str">
        <f t="shared" si="16"/>
        <v>&gt;3</v>
      </c>
    </row>
    <row r="35" spans="1:44" x14ac:dyDescent="0.3">
      <c r="A35" t="str">
        <f>A10</f>
        <v>Woodpulp</v>
      </c>
      <c r="B35" t="s">
        <v>289</v>
      </c>
      <c r="C35" t="s">
        <v>394</v>
      </c>
      <c r="D35">
        <v>3808</v>
      </c>
      <c r="E35">
        <v>23320036</v>
      </c>
      <c r="F35" t="s">
        <v>571</v>
      </c>
      <c r="G35" t="s">
        <v>360</v>
      </c>
      <c r="H35">
        <v>98</v>
      </c>
      <c r="I35">
        <v>61500</v>
      </c>
      <c r="J35">
        <v>6027000</v>
      </c>
      <c r="K35" t="str">
        <f>IFERROR(IF(B35&lt;&gt;"", TEXT(VLOOKUP(B35, 'Expected Date'!A:B, 2, FALSE) + DATE(RIGHT(C35,2),MID(C35,4,2),LEFT(C35,2)), "dd/mm/yy"), ""), "")</f>
        <v>16/09/23</v>
      </c>
      <c r="L35" t="s">
        <v>38</v>
      </c>
      <c r="M35" t="str">
        <f>M20</f>
        <v>MT</v>
      </c>
      <c r="N35" t="s">
        <v>109</v>
      </c>
      <c r="O35" t="s">
        <v>164</v>
      </c>
      <c r="P35">
        <v>23390519</v>
      </c>
      <c r="Q35" t="s">
        <v>571</v>
      </c>
      <c r="R35" t="s">
        <v>143</v>
      </c>
      <c r="S35">
        <v>30.34</v>
      </c>
      <c r="T35">
        <v>61500</v>
      </c>
      <c r="U35">
        <v>1865910</v>
      </c>
      <c r="V35" t="str">
        <f t="shared" si="17"/>
        <v>Accepted</v>
      </c>
      <c r="W35">
        <f>IFERROR(VLOOKUP(N35, Payment_Terms!A:B, 2, FALSE), "Payment term not found!")</f>
        <v>0</v>
      </c>
      <c r="X35" t="str">
        <f>IFERROR(VLOOKUP(R35, Item_Category!A:B, 2, FALSE), "Uncategorized")</f>
        <v>Wood pulp</v>
      </c>
      <c r="Y35" s="5">
        <f t="shared" si="4"/>
        <v>0</v>
      </c>
      <c r="Z35">
        <f t="shared" si="5"/>
        <v>5</v>
      </c>
      <c r="AA35">
        <f t="shared" si="6"/>
        <v>-8</v>
      </c>
      <c r="AB35">
        <f t="shared" si="7"/>
        <v>5</v>
      </c>
      <c r="AC35" s="10">
        <f t="shared" si="8"/>
        <v>22</v>
      </c>
      <c r="AD35" s="5">
        <f t="shared" si="0"/>
        <v>1</v>
      </c>
      <c r="AE35" s="5">
        <f t="shared" si="1"/>
        <v>1</v>
      </c>
      <c r="AF35" s="5">
        <f t="shared" si="9"/>
        <v>0</v>
      </c>
      <c r="AG35">
        <f>IF(B35&lt;&gt;"", COUNTIFS($B$2:B35, B35), "")</f>
        <v>7</v>
      </c>
      <c r="AH35">
        <f t="shared" si="10"/>
        <v>5</v>
      </c>
      <c r="AI35" t="str">
        <f>VLOOKUP(B35, Currency!A:B, 2, FALSE)</f>
        <v>INR</v>
      </c>
      <c r="AJ35">
        <f t="shared" si="2"/>
        <v>5</v>
      </c>
      <c r="AK35">
        <f t="shared" si="11"/>
        <v>8</v>
      </c>
      <c r="AL35" t="str">
        <f t="shared" si="12"/>
        <v>August</v>
      </c>
      <c r="AM35">
        <f t="shared" si="13"/>
        <v>2023</v>
      </c>
      <c r="AN35" t="str">
        <f t="shared" si="18"/>
        <v>0N.E. IMPEX PRIVATE LIMITED</v>
      </c>
      <c r="AO35">
        <f>IF(COUNTIF($AN$2:AN35, AN35)=1, 1, 0)</f>
        <v>0</v>
      </c>
      <c r="AP35" t="str">
        <f t="shared" si="14"/>
        <v>&gt;3</v>
      </c>
      <c r="AQ35" t="str">
        <f t="shared" si="15"/>
        <v>&gt;3</v>
      </c>
      <c r="AR35" t="str">
        <f t="shared" si="16"/>
        <v>&gt;3</v>
      </c>
    </row>
    <row r="36" spans="1:44" x14ac:dyDescent="0.3">
      <c r="A36" t="s">
        <v>33</v>
      </c>
      <c r="B36" t="s">
        <v>557</v>
      </c>
      <c r="C36" t="s">
        <v>562</v>
      </c>
      <c r="D36">
        <v>1637</v>
      </c>
      <c r="E36">
        <v>23310059</v>
      </c>
      <c r="F36" t="s">
        <v>558</v>
      </c>
      <c r="G36" t="s">
        <v>384</v>
      </c>
      <c r="H36">
        <v>400</v>
      </c>
      <c r="I36">
        <v>99</v>
      </c>
      <c r="J36">
        <v>39600</v>
      </c>
      <c r="K36" t="str">
        <f>IFERROR(IF(B36&lt;&gt;"", TEXT(VLOOKUP(B36, 'Expected Date'!A:B, 2, FALSE) + DATE(RIGHT(C36,2),MID(C36,4,2),LEFT(C36,2)), "dd/mm/yy"), ""), "")</f>
        <v>10/05/23</v>
      </c>
      <c r="L36" t="s">
        <v>38</v>
      </c>
      <c r="M36" t="s">
        <v>48</v>
      </c>
      <c r="N36" t="s">
        <v>364</v>
      </c>
      <c r="O36" t="s">
        <v>447</v>
      </c>
      <c r="P36">
        <v>23390221</v>
      </c>
      <c r="Q36" t="s">
        <v>558</v>
      </c>
      <c r="R36" t="s">
        <v>559</v>
      </c>
      <c r="S36">
        <v>100</v>
      </c>
      <c r="T36">
        <v>99</v>
      </c>
      <c r="U36">
        <v>9900</v>
      </c>
      <c r="V36" t="str">
        <f t="shared" si="17"/>
        <v>Accepted</v>
      </c>
      <c r="W36">
        <f>IFERROR(VLOOKUP(N36, Payment_Terms!A:B, 2, FALSE), "Payment term not found!")</f>
        <v>30</v>
      </c>
      <c r="X36" t="str">
        <f>IFERROR(VLOOKUP(R36, Item_Category!A:B, 2, FALSE), "Uncategorized")</f>
        <v>Anhydrous Ammonia</v>
      </c>
      <c r="Y36" s="5">
        <f t="shared" si="4"/>
        <v>0</v>
      </c>
      <c r="Z36">
        <f t="shared" si="5"/>
        <v>5</v>
      </c>
      <c r="AA36">
        <f t="shared" si="6"/>
        <v>25</v>
      </c>
      <c r="AB36">
        <f t="shared" si="7"/>
        <v>1</v>
      </c>
      <c r="AC36" s="10">
        <f t="shared" si="8"/>
        <v>35</v>
      </c>
      <c r="AD36" s="5">
        <f t="shared" si="0"/>
        <v>1</v>
      </c>
      <c r="AE36" s="5">
        <f t="shared" si="1"/>
        <v>1</v>
      </c>
      <c r="AF36" s="5">
        <f t="shared" si="9"/>
        <v>0</v>
      </c>
      <c r="AG36">
        <f>IF(B36&lt;&gt;"", COUNTIFS($B$2:B36, B36), "")</f>
        <v>3</v>
      </c>
      <c r="AH36">
        <f t="shared" si="10"/>
        <v>5</v>
      </c>
      <c r="AI36" t="str">
        <f>VLOOKUP(B36, Currency!A:B, 2, FALSE)</f>
        <v>INR</v>
      </c>
      <c r="AJ36">
        <f t="shared" si="2"/>
        <v>4</v>
      </c>
      <c r="AK36">
        <f t="shared" si="11"/>
        <v>4</v>
      </c>
      <c r="AL36" t="str">
        <f t="shared" si="12"/>
        <v>April</v>
      </c>
      <c r="AM36">
        <f t="shared" si="13"/>
        <v>2023</v>
      </c>
      <c r="AN36" t="str">
        <f t="shared" si="18"/>
        <v>30Jaysons Chemical Industries Vapi</v>
      </c>
      <c r="AO36">
        <f>IF(COUNTIF($AN$2:AN36, AN36)=1, 1, 0)</f>
        <v>0</v>
      </c>
      <c r="AP36" t="str">
        <f t="shared" si="14"/>
        <v>&gt;3</v>
      </c>
      <c r="AQ36" t="str">
        <f t="shared" si="15"/>
        <v>&gt;3</v>
      </c>
      <c r="AR36" t="str">
        <f t="shared" si="16"/>
        <v>&lt;=3</v>
      </c>
    </row>
    <row r="37" spans="1:44" x14ac:dyDescent="0.3">
      <c r="A37" t="s">
        <v>33</v>
      </c>
      <c r="B37" t="s">
        <v>395</v>
      </c>
      <c r="C37" t="s">
        <v>416</v>
      </c>
      <c r="D37">
        <v>2024</v>
      </c>
      <c r="E37">
        <v>23310112</v>
      </c>
      <c r="F37" t="s">
        <v>569</v>
      </c>
      <c r="G37" t="s">
        <v>570</v>
      </c>
      <c r="H37">
        <v>100</v>
      </c>
      <c r="I37">
        <v>11523.81</v>
      </c>
      <c r="J37">
        <v>1152381</v>
      </c>
      <c r="K37" t="str">
        <f>IFERROR(IF(B37&lt;&gt;"", TEXT(VLOOKUP(B37, 'Expected Date'!A:B, 2, FALSE) + DATE(RIGHT(C37,2),MID(C37,4,2),LEFT(C37,2)), "dd/mm/yy"), ""), "")</f>
        <v>25/05/23</v>
      </c>
      <c r="L37" t="s">
        <v>38</v>
      </c>
      <c r="M37" t="s">
        <v>48</v>
      </c>
      <c r="N37" t="s">
        <v>342</v>
      </c>
      <c r="O37" t="s">
        <v>447</v>
      </c>
      <c r="P37">
        <v>23390222</v>
      </c>
      <c r="Q37" t="s">
        <v>569</v>
      </c>
      <c r="R37" t="s">
        <v>570</v>
      </c>
      <c r="S37">
        <v>30.54</v>
      </c>
      <c r="T37">
        <v>11523.81</v>
      </c>
      <c r="U37">
        <v>351937.16</v>
      </c>
      <c r="V37" t="str">
        <f t="shared" si="17"/>
        <v>Accepted</v>
      </c>
      <c r="W37">
        <f>IFERROR(VLOOKUP(N37, Payment_Terms!A:B, 2, FALSE), "Payment term not found!")</f>
        <v>30</v>
      </c>
      <c r="X37" t="str">
        <f>IFERROR(VLOOKUP(R37, Item_Category!A:B, 2, FALSE), "Uncategorized")</f>
        <v>Coal materials</v>
      </c>
      <c r="Y37" s="5">
        <f t="shared" si="4"/>
        <v>0</v>
      </c>
      <c r="Z37">
        <f t="shared" si="5"/>
        <v>5</v>
      </c>
      <c r="AA37">
        <f t="shared" si="6"/>
        <v>10</v>
      </c>
      <c r="AB37">
        <f t="shared" si="7"/>
        <v>2</v>
      </c>
      <c r="AC37" s="10">
        <f t="shared" si="8"/>
        <v>15</v>
      </c>
      <c r="AD37" s="5">
        <f t="shared" si="0"/>
        <v>1</v>
      </c>
      <c r="AE37" s="5">
        <f t="shared" si="1"/>
        <v>1</v>
      </c>
      <c r="AF37" s="5">
        <f t="shared" si="9"/>
        <v>0</v>
      </c>
      <c r="AG37">
        <f>IF(B37&lt;&gt;"", COUNTIFS($B$2:B37, B37), "")</f>
        <v>2</v>
      </c>
      <c r="AH37">
        <f t="shared" si="10"/>
        <v>5</v>
      </c>
      <c r="AI37" t="str">
        <f>VLOOKUP(B37, Currency!A:B, 2, FALSE)</f>
        <v>INR</v>
      </c>
      <c r="AJ37">
        <f t="shared" si="2"/>
        <v>5</v>
      </c>
      <c r="AK37">
        <f t="shared" si="11"/>
        <v>5</v>
      </c>
      <c r="AL37" t="str">
        <f t="shared" si="12"/>
        <v>May</v>
      </c>
      <c r="AM37">
        <f t="shared" si="13"/>
        <v>2023</v>
      </c>
      <c r="AN37" t="str">
        <f t="shared" si="18"/>
        <v>30Crystal coal corporation</v>
      </c>
      <c r="AO37">
        <f>IF(COUNTIF($AN$2:AN37, AN37)=1, 1, 0)</f>
        <v>0</v>
      </c>
      <c r="AP37" t="str">
        <f t="shared" si="14"/>
        <v>&gt;3</v>
      </c>
      <c r="AQ37" t="str">
        <f t="shared" si="15"/>
        <v>&gt;3</v>
      </c>
      <c r="AR37" t="str">
        <f t="shared" si="16"/>
        <v>&lt;=3</v>
      </c>
    </row>
    <row r="38" spans="1:44" x14ac:dyDescent="0.3">
      <c r="A38" t="s">
        <v>33</v>
      </c>
      <c r="B38" t="s">
        <v>366</v>
      </c>
      <c r="C38" t="s">
        <v>265</v>
      </c>
      <c r="D38">
        <v>1264</v>
      </c>
      <c r="E38">
        <v>23310015</v>
      </c>
      <c r="F38" t="s">
        <v>569</v>
      </c>
      <c r="G38" t="s">
        <v>570</v>
      </c>
      <c r="H38">
        <v>70</v>
      </c>
      <c r="I38">
        <v>10857.14</v>
      </c>
      <c r="J38">
        <v>759999.8</v>
      </c>
      <c r="K38" t="str">
        <f>IFERROR(IF(B38&lt;&gt;"", TEXT(VLOOKUP(B38, 'Expected Date'!A:B, 2, FALSE) + DATE(RIGHT(C38,2),MID(C38,4,2),LEFT(C38,2)), "dd/mm/yy"), ""), "")</f>
        <v>12/04/23</v>
      </c>
      <c r="L38" t="s">
        <v>38</v>
      </c>
      <c r="M38" t="s">
        <v>48</v>
      </c>
      <c r="N38" t="s">
        <v>574</v>
      </c>
      <c r="O38" t="s">
        <v>124</v>
      </c>
      <c r="P38">
        <v>23390036</v>
      </c>
      <c r="Q38" t="s">
        <v>569</v>
      </c>
      <c r="R38" t="s">
        <v>570</v>
      </c>
      <c r="S38">
        <v>28.67</v>
      </c>
      <c r="T38">
        <v>10857.14</v>
      </c>
      <c r="U38">
        <v>311274.2</v>
      </c>
      <c r="V38" t="str">
        <f t="shared" si="17"/>
        <v>Accepted</v>
      </c>
      <c r="W38">
        <f>IFERROR(VLOOKUP(N38, Payment_Terms!A:B, 2, FALSE), "Payment term not found!")</f>
        <v>0</v>
      </c>
      <c r="X38" t="str">
        <f>IFERROR(VLOOKUP(R38, Item_Category!A:B, 2, FALSE), "Uncategorized")</f>
        <v>Coal materials</v>
      </c>
      <c r="Y38" s="5">
        <f t="shared" si="4"/>
        <v>0</v>
      </c>
      <c r="Z38">
        <f t="shared" si="5"/>
        <v>5</v>
      </c>
      <c r="AA38">
        <f t="shared" si="6"/>
        <v>6</v>
      </c>
      <c r="AB38">
        <f t="shared" si="7"/>
        <v>3</v>
      </c>
      <c r="AC38" s="10">
        <f t="shared" si="8"/>
        <v>8</v>
      </c>
      <c r="AD38" s="5">
        <f t="shared" si="0"/>
        <v>1</v>
      </c>
      <c r="AE38" s="5">
        <f t="shared" si="1"/>
        <v>1</v>
      </c>
      <c r="AF38" s="5">
        <f t="shared" si="9"/>
        <v>0</v>
      </c>
      <c r="AG38">
        <f>IF(B38&lt;&gt;"", COUNTIFS($B$2:B38, B38), "")</f>
        <v>4</v>
      </c>
      <c r="AH38">
        <f t="shared" si="10"/>
        <v>5</v>
      </c>
      <c r="AI38" t="str">
        <f>VLOOKUP(B38, Currency!A:B, 2, FALSE)</f>
        <v>INR</v>
      </c>
      <c r="AJ38">
        <f t="shared" si="2"/>
        <v>5</v>
      </c>
      <c r="AK38">
        <f t="shared" si="11"/>
        <v>4</v>
      </c>
      <c r="AL38" t="str">
        <f t="shared" si="12"/>
        <v>April</v>
      </c>
      <c r="AM38">
        <f t="shared" si="13"/>
        <v>2023</v>
      </c>
      <c r="AN38" t="str">
        <f t="shared" si="18"/>
        <v>0SKYWIN ENTERPRISE</v>
      </c>
      <c r="AO38">
        <f>IF(COUNTIF($AN$2:AN38, AN38)=1, 1, 0)</f>
        <v>0</v>
      </c>
      <c r="AP38" t="str">
        <f t="shared" si="14"/>
        <v>&gt;3</v>
      </c>
      <c r="AQ38" t="str">
        <f t="shared" si="15"/>
        <v>&gt;3</v>
      </c>
      <c r="AR38" t="str">
        <f t="shared" si="16"/>
        <v>&lt;=3</v>
      </c>
    </row>
    <row r="39" spans="1:44" x14ac:dyDescent="0.3">
      <c r="A39" t="s">
        <v>33</v>
      </c>
      <c r="B39" t="str">
        <f>B27</f>
        <v>Ami Enterprises</v>
      </c>
      <c r="C39" t="s">
        <v>146</v>
      </c>
      <c r="D39">
        <v>1769</v>
      </c>
      <c r="E39">
        <v>23310081</v>
      </c>
      <c r="F39" t="s">
        <v>572</v>
      </c>
      <c r="G39" t="s">
        <v>595</v>
      </c>
      <c r="H39">
        <v>5000</v>
      </c>
      <c r="I39">
        <v>35</v>
      </c>
      <c r="J39">
        <v>175000</v>
      </c>
      <c r="K39" t="str">
        <f>IFERROR(IF(B39&lt;&gt;"", TEXT(VLOOKUP(B39, 'Expected Date'!A:B, 2, FALSE) + DATE(RIGHT(C39,2),MID(C39,4,2),LEFT(C39,2)), "dd/mm/yy"), ""), "")</f>
        <v>19/05/23</v>
      </c>
      <c r="L39" t="s">
        <v>38</v>
      </c>
      <c r="M39" t="s">
        <v>39</v>
      </c>
      <c r="N39" t="s">
        <v>318</v>
      </c>
      <c r="O39" t="s">
        <v>210</v>
      </c>
      <c r="P39">
        <v>23390136</v>
      </c>
      <c r="Q39" t="s">
        <v>572</v>
      </c>
      <c r="R39" t="s">
        <v>573</v>
      </c>
      <c r="S39">
        <v>3030</v>
      </c>
      <c r="T39">
        <v>35</v>
      </c>
      <c r="U39">
        <v>106050</v>
      </c>
      <c r="V39" t="str">
        <f t="shared" si="17"/>
        <v>Accepted</v>
      </c>
      <c r="W39">
        <f>IFERROR(VLOOKUP(N39, Payment_Terms!A:B, 2, FALSE), "Payment term not found!")</f>
        <v>30</v>
      </c>
      <c r="X39" t="str">
        <f>IFERROR(VLOOKUP(R39, Item_Category!A:B, 2, FALSE), "Uncategorized")</f>
        <v>Bags</v>
      </c>
      <c r="Y39" s="5">
        <f t="shared" si="4"/>
        <v>0</v>
      </c>
      <c r="Z39">
        <f t="shared" si="5"/>
        <v>5</v>
      </c>
      <c r="AA39">
        <f t="shared" si="6"/>
        <v>-6</v>
      </c>
      <c r="AB39">
        <f t="shared" si="7"/>
        <v>5</v>
      </c>
      <c r="AC39" s="10">
        <f t="shared" si="8"/>
        <v>4</v>
      </c>
      <c r="AD39" s="5">
        <f t="shared" si="0"/>
        <v>1</v>
      </c>
      <c r="AE39" s="5">
        <f t="shared" si="1"/>
        <v>1</v>
      </c>
      <c r="AF39" s="5">
        <f t="shared" si="9"/>
        <v>0</v>
      </c>
      <c r="AG39">
        <f>IF(B39&lt;&gt;"", COUNTIFS($B$2:B39, B39), "")</f>
        <v>5</v>
      </c>
      <c r="AH39">
        <f t="shared" si="10"/>
        <v>5</v>
      </c>
      <c r="AI39" t="str">
        <f>VLOOKUP(B39, Currency!A:B, 2, FALSE)</f>
        <v>INR</v>
      </c>
      <c r="AJ39">
        <f t="shared" si="2"/>
        <v>5</v>
      </c>
      <c r="AK39">
        <f t="shared" si="11"/>
        <v>5</v>
      </c>
      <c r="AL39" t="str">
        <f t="shared" si="12"/>
        <v>May</v>
      </c>
      <c r="AM39">
        <f t="shared" si="13"/>
        <v>2023</v>
      </c>
      <c r="AN39" t="str">
        <f t="shared" si="18"/>
        <v>30Ami Enterprises</v>
      </c>
      <c r="AO39">
        <f>IF(COUNTIF($AN$2:AN39, AN39)=1, 1, 0)</f>
        <v>0</v>
      </c>
      <c r="AP39" t="str">
        <f t="shared" si="14"/>
        <v>&gt;3</v>
      </c>
      <c r="AQ39" t="str">
        <f t="shared" si="15"/>
        <v>&gt;3</v>
      </c>
      <c r="AR39" t="str">
        <f t="shared" si="16"/>
        <v>&gt;3</v>
      </c>
    </row>
    <row r="40" spans="1:44" x14ac:dyDescent="0.3">
      <c r="A40" t="s">
        <v>33</v>
      </c>
      <c r="B40" t="s">
        <v>157</v>
      </c>
      <c r="C40" t="s">
        <v>162</v>
      </c>
      <c r="D40">
        <v>2764</v>
      </c>
      <c r="E40">
        <v>23310209</v>
      </c>
      <c r="F40" t="s">
        <v>583</v>
      </c>
      <c r="G40" t="s">
        <v>159</v>
      </c>
      <c r="H40">
        <v>400</v>
      </c>
      <c r="I40">
        <v>270</v>
      </c>
      <c r="J40">
        <v>108000</v>
      </c>
      <c r="K40" t="str">
        <f>IFERROR(IF(B40&lt;&gt;"", TEXT(VLOOKUP(B40, 'Expected Date'!A:B, 2, FALSE) + DATE(RIGHT(C40,2),MID(C40,4,2),LEFT(C40,2)), "dd/mm/yy"), ""), "")</f>
        <v>09/07/23</v>
      </c>
      <c r="L40" t="s">
        <v>38</v>
      </c>
      <c r="M40" t="s">
        <v>48</v>
      </c>
      <c r="N40" t="s">
        <v>584</v>
      </c>
      <c r="O40" t="s">
        <v>117</v>
      </c>
      <c r="P40">
        <v>23390296</v>
      </c>
      <c r="Q40" t="s">
        <v>583</v>
      </c>
      <c r="R40" t="s">
        <v>159</v>
      </c>
      <c r="S40">
        <v>400</v>
      </c>
      <c r="T40">
        <v>270</v>
      </c>
      <c r="U40">
        <v>108000</v>
      </c>
      <c r="V40" t="str">
        <f t="shared" si="17"/>
        <v>Accepted</v>
      </c>
      <c r="W40">
        <f>IFERROR(VLOOKUP(N40, Payment_Terms!A:B, 2, FALSE), "Payment term not found!")</f>
        <v>0</v>
      </c>
      <c r="X40" t="str">
        <f>IFERROR(VLOOKUP(R40, Item_Category!A:B, 2, FALSE), "Uncategorized")</f>
        <v>Sodium salts</v>
      </c>
      <c r="Y40" s="5">
        <f t="shared" si="4"/>
        <v>0</v>
      </c>
      <c r="Z40">
        <f t="shared" si="5"/>
        <v>5</v>
      </c>
      <c r="AA40">
        <f t="shared" si="6"/>
        <v>-2</v>
      </c>
      <c r="AB40">
        <f t="shared" si="7"/>
        <v>5</v>
      </c>
      <c r="AC40" s="10">
        <f t="shared" si="8"/>
        <v>8</v>
      </c>
      <c r="AD40" s="5">
        <f t="shared" si="0"/>
        <v>1</v>
      </c>
      <c r="AE40" s="5">
        <f t="shared" si="1"/>
        <v>1</v>
      </c>
      <c r="AF40" s="5">
        <f t="shared" si="9"/>
        <v>0</v>
      </c>
      <c r="AG40">
        <f>IF(B40&lt;&gt;"", COUNTIFS($B$2:B40, B40), "")</f>
        <v>1</v>
      </c>
      <c r="AH40">
        <f t="shared" si="10"/>
        <v>5</v>
      </c>
      <c r="AI40" t="str">
        <f>VLOOKUP(B40, Currency!A:B, 2, FALSE)</f>
        <v>INR</v>
      </c>
      <c r="AJ40">
        <f t="shared" si="2"/>
        <v>5</v>
      </c>
      <c r="AK40">
        <f t="shared" si="11"/>
        <v>6</v>
      </c>
      <c r="AL40" t="str">
        <f t="shared" si="12"/>
        <v>June</v>
      </c>
      <c r="AM40">
        <f t="shared" si="13"/>
        <v>2023</v>
      </c>
      <c r="AN40" t="str">
        <f t="shared" si="18"/>
        <v>0ZED CHEM PVT LTD</v>
      </c>
      <c r="AO40">
        <f>IF(COUNTIF($AN$2:AN40, AN40)=1, 1, 0)</f>
        <v>1</v>
      </c>
      <c r="AP40" t="str">
        <f t="shared" si="14"/>
        <v>&gt;3</v>
      </c>
      <c r="AQ40" t="str">
        <f t="shared" si="15"/>
        <v>&gt;3</v>
      </c>
      <c r="AR40" t="str">
        <f t="shared" si="16"/>
        <v>&gt;3</v>
      </c>
    </row>
    <row r="41" spans="1:44" x14ac:dyDescent="0.3">
      <c r="A41" t="s">
        <v>33</v>
      </c>
      <c r="B41" t="s">
        <v>429</v>
      </c>
      <c r="C41" t="s">
        <v>58</v>
      </c>
      <c r="D41">
        <v>3492</v>
      </c>
      <c r="E41">
        <v>23310270</v>
      </c>
      <c r="F41" t="s">
        <v>581</v>
      </c>
      <c r="G41" t="s">
        <v>582</v>
      </c>
      <c r="H41">
        <v>4000</v>
      </c>
      <c r="I41">
        <v>8</v>
      </c>
      <c r="J41">
        <v>32000</v>
      </c>
      <c r="K41" t="str">
        <f>IFERROR(IF(B41&lt;&gt;"", TEXT(VLOOKUP(B41, 'Expected Date'!A:B, 2, FALSE) + DATE(RIGHT(C41,2),MID(C41,4,2),LEFT(C41,2)), "dd/mm/yy"), ""), "")</f>
        <v>06/08/23</v>
      </c>
      <c r="L41" t="s">
        <v>38</v>
      </c>
      <c r="M41" t="s">
        <v>48</v>
      </c>
      <c r="N41" t="s">
        <v>318</v>
      </c>
      <c r="O41" t="s">
        <v>127</v>
      </c>
      <c r="P41">
        <v>23390377</v>
      </c>
      <c r="Q41" t="s">
        <v>581</v>
      </c>
      <c r="R41" t="s">
        <v>582</v>
      </c>
      <c r="S41">
        <v>2590</v>
      </c>
      <c r="T41">
        <v>8</v>
      </c>
      <c r="U41">
        <v>20720</v>
      </c>
      <c r="V41" t="str">
        <f t="shared" si="17"/>
        <v>Accepted</v>
      </c>
      <c r="W41">
        <f>IFERROR(VLOOKUP(N41, Payment_Terms!A:B, 2, FALSE), "Payment term not found!")</f>
        <v>30</v>
      </c>
      <c r="X41" t="str">
        <f>IFERROR(VLOOKUP(R41, Item_Category!A:B, 2, FALSE), "Uncategorized")</f>
        <v>Lime</v>
      </c>
      <c r="Y41" s="5">
        <f t="shared" si="4"/>
        <v>0</v>
      </c>
      <c r="Z41">
        <f t="shared" si="5"/>
        <v>5</v>
      </c>
      <c r="AA41">
        <f t="shared" si="6"/>
        <v>-4</v>
      </c>
      <c r="AB41">
        <f t="shared" si="7"/>
        <v>5</v>
      </c>
      <c r="AC41" s="10">
        <f t="shared" si="8"/>
        <v>1</v>
      </c>
      <c r="AD41" s="5">
        <f t="shared" si="0"/>
        <v>1</v>
      </c>
      <c r="AE41" s="5">
        <f t="shared" si="1"/>
        <v>1</v>
      </c>
      <c r="AF41" s="5">
        <f t="shared" si="9"/>
        <v>0</v>
      </c>
      <c r="AG41">
        <f>IF(B41&lt;&gt;"", COUNTIFS($B$2:B41, B41), "")</f>
        <v>1</v>
      </c>
      <c r="AH41">
        <f t="shared" si="10"/>
        <v>5</v>
      </c>
      <c r="AI41" t="str">
        <f>VLOOKUP(B41, Currency!A:B, 2, FALSE)</f>
        <v>INR</v>
      </c>
      <c r="AJ41">
        <f t="shared" si="2"/>
        <v>5</v>
      </c>
      <c r="AK41">
        <f t="shared" si="11"/>
        <v>8</v>
      </c>
      <c r="AL41" t="str">
        <f t="shared" si="12"/>
        <v>August</v>
      </c>
      <c r="AM41">
        <f t="shared" si="13"/>
        <v>2023</v>
      </c>
      <c r="AN41" t="str">
        <f t="shared" si="18"/>
        <v>30HELIK ENTERPRISE</v>
      </c>
      <c r="AO41">
        <f>IF(COUNTIF($AN$2:AN41, AN41)=1, 1, 0)</f>
        <v>1</v>
      </c>
      <c r="AP41" t="str">
        <f t="shared" si="14"/>
        <v>&gt;3</v>
      </c>
      <c r="AQ41" t="str">
        <f t="shared" si="15"/>
        <v>&gt;3</v>
      </c>
      <c r="AR41" t="str">
        <f t="shared" si="16"/>
        <v>&gt;3</v>
      </c>
    </row>
    <row r="42" spans="1:44" x14ac:dyDescent="0.3">
      <c r="A42" t="str">
        <f>A10</f>
        <v>Woodpulp</v>
      </c>
      <c r="B42" t="s">
        <v>289</v>
      </c>
      <c r="C42" t="s">
        <v>168</v>
      </c>
      <c r="D42">
        <v>1303</v>
      </c>
      <c r="E42">
        <v>23320007</v>
      </c>
      <c r="F42" t="s">
        <v>575</v>
      </c>
      <c r="G42" t="s">
        <v>291</v>
      </c>
      <c r="H42">
        <v>200000</v>
      </c>
      <c r="I42">
        <v>64.099999999999994</v>
      </c>
      <c r="J42">
        <v>12820000</v>
      </c>
      <c r="K42" t="str">
        <f>IFERROR(IF(B42&lt;&gt;"", TEXT(VLOOKUP(B42, 'Expected Date'!A:B, 2, FALSE) + DATE(RIGHT(C42,2),MID(C42,4,2),LEFT(C42,2)), "dd/mm/yy"), ""), "")</f>
        <v>17/05/23</v>
      </c>
      <c r="L42" t="s">
        <v>38</v>
      </c>
      <c r="M42" t="str">
        <f>M20</f>
        <v>MT</v>
      </c>
      <c r="N42" t="s">
        <v>292</v>
      </c>
      <c r="O42" t="s">
        <v>124</v>
      </c>
      <c r="P42">
        <v>23390038</v>
      </c>
      <c r="Q42" t="s">
        <v>575</v>
      </c>
      <c r="R42" t="s">
        <v>291</v>
      </c>
      <c r="S42">
        <v>24134</v>
      </c>
      <c r="T42">
        <v>64.099999999999994</v>
      </c>
      <c r="U42">
        <v>1546989.4</v>
      </c>
      <c r="V42" t="str">
        <f t="shared" si="17"/>
        <v>Accepted</v>
      </c>
      <c r="W42">
        <f>IFERROR(VLOOKUP(N42, Payment_Terms!A:B, 2, FALSE), "Payment term not found!")</f>
        <v>0</v>
      </c>
      <c r="X42" t="str">
        <f>IFERROR(VLOOKUP(R42, Item_Category!A:B, 2, FALSE), "Uncategorized")</f>
        <v>Wood pulp</v>
      </c>
      <c r="Y42" s="5">
        <f t="shared" si="4"/>
        <v>0</v>
      </c>
      <c r="Z42">
        <f t="shared" si="5"/>
        <v>5</v>
      </c>
      <c r="AA42">
        <f t="shared" si="6"/>
        <v>-29</v>
      </c>
      <c r="AB42">
        <f t="shared" si="7"/>
        <v>5</v>
      </c>
      <c r="AC42" s="10">
        <f t="shared" si="8"/>
        <v>1</v>
      </c>
      <c r="AD42" s="5">
        <f t="shared" si="0"/>
        <v>1</v>
      </c>
      <c r="AE42" s="5">
        <f t="shared" si="1"/>
        <v>1</v>
      </c>
      <c r="AF42" s="5">
        <f t="shared" si="9"/>
        <v>0</v>
      </c>
      <c r="AG42">
        <f>IF(B42&lt;&gt;"", COUNTIFS($B$2:B42, B42), "")</f>
        <v>8</v>
      </c>
      <c r="AH42">
        <f t="shared" si="10"/>
        <v>5</v>
      </c>
      <c r="AI42" t="str">
        <f>VLOOKUP(B42, Currency!A:B, 2, FALSE)</f>
        <v>INR</v>
      </c>
      <c r="AJ42">
        <f t="shared" si="2"/>
        <v>5</v>
      </c>
      <c r="AK42">
        <f t="shared" si="11"/>
        <v>4</v>
      </c>
      <c r="AL42" t="str">
        <f t="shared" si="12"/>
        <v>April</v>
      </c>
      <c r="AM42">
        <f t="shared" si="13"/>
        <v>2023</v>
      </c>
      <c r="AN42" t="str">
        <f t="shared" si="18"/>
        <v>0N.E. IMPEX PRIVATE LIMITED</v>
      </c>
      <c r="AO42">
        <f>IF(COUNTIF($AN$2:AN42, AN42)=1, 1, 0)</f>
        <v>0</v>
      </c>
      <c r="AP42" t="str">
        <f t="shared" si="14"/>
        <v>&gt;3</v>
      </c>
      <c r="AQ42" t="str">
        <f t="shared" si="15"/>
        <v>&gt;3</v>
      </c>
      <c r="AR42" t="str">
        <f t="shared" si="16"/>
        <v>&gt;3</v>
      </c>
    </row>
    <row r="43" spans="1:44" x14ac:dyDescent="0.3">
      <c r="A43" t="str">
        <f>A10</f>
        <v>Woodpulp</v>
      </c>
      <c r="B43" t="s">
        <v>289</v>
      </c>
      <c r="C43" t="s">
        <v>168</v>
      </c>
      <c r="D43">
        <v>1303</v>
      </c>
      <c r="E43">
        <v>23320007</v>
      </c>
      <c r="F43" t="s">
        <v>575</v>
      </c>
      <c r="G43" t="s">
        <v>291</v>
      </c>
      <c r="H43">
        <v>200000</v>
      </c>
      <c r="I43">
        <v>64.099999999999994</v>
      </c>
      <c r="J43">
        <v>12820000</v>
      </c>
      <c r="K43" t="str">
        <f>IFERROR(IF(B43&lt;&gt;"", TEXT(VLOOKUP(B43, 'Expected Date'!A:B, 2, FALSE) + DATE(RIGHT(C43,2),MID(C43,4,2),LEFT(C43,2)), "dd/mm/yy"), ""), "")</f>
        <v>17/05/23</v>
      </c>
      <c r="L43" t="s">
        <v>38</v>
      </c>
      <c r="M43" t="str">
        <f>M20</f>
        <v>MT</v>
      </c>
      <c r="N43" t="s">
        <v>292</v>
      </c>
      <c r="O43" t="s">
        <v>65</v>
      </c>
      <c r="P43">
        <v>23390046</v>
      </c>
      <c r="Q43" t="s">
        <v>575</v>
      </c>
      <c r="R43" t="s">
        <v>291</v>
      </c>
      <c r="S43">
        <v>24134</v>
      </c>
      <c r="T43">
        <v>64.099999999999994</v>
      </c>
      <c r="U43">
        <v>1546989.4</v>
      </c>
      <c r="V43" t="str">
        <f t="shared" si="17"/>
        <v>Accepted</v>
      </c>
      <c r="W43">
        <f>IFERROR(VLOOKUP(N43, Payment_Terms!A:B, 2, FALSE), "Payment term not found!")</f>
        <v>0</v>
      </c>
      <c r="X43" t="str">
        <f>IFERROR(VLOOKUP(R43, Item_Category!A:B, 2, FALSE), "Uncategorized")</f>
        <v>Wood pulp</v>
      </c>
      <c r="Y43" s="5">
        <f t="shared" si="4"/>
        <v>0</v>
      </c>
      <c r="Z43">
        <f t="shared" si="5"/>
        <v>5</v>
      </c>
      <c r="AA43">
        <f t="shared" si="6"/>
        <v>-28</v>
      </c>
      <c r="AB43">
        <f t="shared" si="7"/>
        <v>5</v>
      </c>
      <c r="AC43" s="10">
        <f t="shared" si="8"/>
        <v>2</v>
      </c>
      <c r="AD43" s="5">
        <f t="shared" si="0"/>
        <v>1</v>
      </c>
      <c r="AE43" s="5">
        <f t="shared" si="1"/>
        <v>1</v>
      </c>
      <c r="AF43" s="5">
        <f t="shared" si="9"/>
        <v>0</v>
      </c>
      <c r="AG43">
        <f>IF(B43&lt;&gt;"", COUNTIFS($B$2:B43, B43), "")</f>
        <v>9</v>
      </c>
      <c r="AH43">
        <f t="shared" si="10"/>
        <v>5</v>
      </c>
      <c r="AI43" t="str">
        <f>VLOOKUP(B43, Currency!A:B, 2, FALSE)</f>
        <v>INR</v>
      </c>
      <c r="AJ43">
        <f t="shared" si="2"/>
        <v>5</v>
      </c>
      <c r="AK43">
        <f t="shared" si="11"/>
        <v>4</v>
      </c>
      <c r="AL43" t="str">
        <f t="shared" si="12"/>
        <v>April</v>
      </c>
      <c r="AM43">
        <f t="shared" si="13"/>
        <v>2023</v>
      </c>
      <c r="AN43" t="str">
        <f t="shared" si="18"/>
        <v>0N.E. IMPEX PRIVATE LIMITED</v>
      </c>
      <c r="AO43">
        <f>IF(COUNTIF($AN$2:AN43, AN43)=1, 1, 0)</f>
        <v>0</v>
      </c>
      <c r="AP43" t="str">
        <f t="shared" si="14"/>
        <v>&gt;3</v>
      </c>
      <c r="AQ43" t="str">
        <f t="shared" si="15"/>
        <v>&gt;3</v>
      </c>
      <c r="AR43" t="str">
        <f t="shared" si="16"/>
        <v>&gt;3</v>
      </c>
    </row>
    <row r="44" spans="1:44" x14ac:dyDescent="0.3">
      <c r="A44" t="s">
        <v>33</v>
      </c>
      <c r="B44" t="s">
        <v>122</v>
      </c>
      <c r="C44" t="s">
        <v>397</v>
      </c>
      <c r="D44">
        <v>1189</v>
      </c>
      <c r="E44">
        <v>23310011</v>
      </c>
      <c r="F44" t="s">
        <v>565</v>
      </c>
      <c r="G44" t="s">
        <v>566</v>
      </c>
      <c r="H44">
        <v>160</v>
      </c>
      <c r="I44">
        <v>930</v>
      </c>
      <c r="J44">
        <v>148800</v>
      </c>
      <c r="K44" t="str">
        <f>IFERROR(IF(B44&lt;&gt;"", TEXT(VLOOKUP(B44, 'Expected Date'!A:B, 2, FALSE) + DATE(RIGHT(C44,2),MID(C44,4,2),LEFT(C44,2)), "dd/mm/yy"), ""), "")</f>
        <v>20/04/23</v>
      </c>
      <c r="L44" t="s">
        <v>38</v>
      </c>
      <c r="M44" t="s">
        <v>39</v>
      </c>
      <c r="N44" t="s">
        <v>318</v>
      </c>
      <c r="O44" t="s">
        <v>65</v>
      </c>
      <c r="P44">
        <v>23390047</v>
      </c>
      <c r="Q44" t="s">
        <v>565</v>
      </c>
      <c r="R44" t="s">
        <v>566</v>
      </c>
      <c r="S44">
        <v>50</v>
      </c>
      <c r="T44">
        <v>930</v>
      </c>
      <c r="U44">
        <v>46500</v>
      </c>
      <c r="V44" t="str">
        <f t="shared" si="17"/>
        <v>Accepted</v>
      </c>
      <c r="W44">
        <f>IFERROR(VLOOKUP(N44, Payment_Terms!A:B, 2, FALSE), "Payment term not found!")</f>
        <v>30</v>
      </c>
      <c r="X44" t="str">
        <f>IFERROR(VLOOKUP(R44, Item_Category!A:B, 2, FALSE), "Uncategorized")</f>
        <v>Pallets</v>
      </c>
      <c r="Y44" s="5">
        <f t="shared" si="4"/>
        <v>0</v>
      </c>
      <c r="Z44">
        <f t="shared" si="5"/>
        <v>5</v>
      </c>
      <c r="AA44">
        <f t="shared" si="6"/>
        <v>-1</v>
      </c>
      <c r="AB44">
        <f t="shared" si="7"/>
        <v>5</v>
      </c>
      <c r="AC44" s="10">
        <f t="shared" si="8"/>
        <v>14</v>
      </c>
      <c r="AD44" s="5">
        <f t="shared" si="0"/>
        <v>1</v>
      </c>
      <c r="AE44" s="5">
        <f t="shared" si="1"/>
        <v>1</v>
      </c>
      <c r="AF44" s="5">
        <f t="shared" si="9"/>
        <v>0</v>
      </c>
      <c r="AG44">
        <f>IF(B44&lt;&gt;"", COUNTIFS($B$2:B44, B44), "")</f>
        <v>3</v>
      </c>
      <c r="AH44">
        <f t="shared" si="10"/>
        <v>5</v>
      </c>
      <c r="AI44" t="str">
        <f>VLOOKUP(B44, Currency!A:B, 2, FALSE)</f>
        <v>INR</v>
      </c>
      <c r="AJ44">
        <f t="shared" si="2"/>
        <v>5</v>
      </c>
      <c r="AK44">
        <f t="shared" si="11"/>
        <v>4</v>
      </c>
      <c r="AL44" t="str">
        <f t="shared" si="12"/>
        <v>April</v>
      </c>
      <c r="AM44">
        <f t="shared" si="13"/>
        <v>2023</v>
      </c>
      <c r="AN44" t="str">
        <f t="shared" si="18"/>
        <v>30Plastocon Industries Pvt Ltd</v>
      </c>
      <c r="AO44">
        <f>IF(COUNTIF($AN$2:AN44, AN44)=1, 1, 0)</f>
        <v>0</v>
      </c>
      <c r="AP44" t="str">
        <f t="shared" si="14"/>
        <v>&gt;3</v>
      </c>
      <c r="AQ44" t="str">
        <f t="shared" si="15"/>
        <v>&gt;3</v>
      </c>
      <c r="AR44" t="str">
        <f t="shared" si="16"/>
        <v>&gt;3</v>
      </c>
    </row>
    <row r="45" spans="1:44" x14ac:dyDescent="0.3">
      <c r="A45" t="s">
        <v>33</v>
      </c>
      <c r="B45" t="s">
        <v>429</v>
      </c>
      <c r="C45" t="s">
        <v>354</v>
      </c>
      <c r="D45">
        <v>2795</v>
      </c>
      <c r="E45">
        <v>23310214</v>
      </c>
      <c r="F45" t="s">
        <v>581</v>
      </c>
      <c r="G45" t="s">
        <v>582</v>
      </c>
      <c r="H45">
        <v>3000</v>
      </c>
      <c r="I45">
        <v>8</v>
      </c>
      <c r="J45">
        <v>24000</v>
      </c>
      <c r="K45" t="str">
        <f>IFERROR(IF(B45&lt;&gt;"", TEXT(VLOOKUP(B45, 'Expected Date'!A:B, 2, FALSE) + DATE(RIGHT(C45,2),MID(C45,4,2),LEFT(C45,2)), "dd/mm/yy"), ""), "")</f>
        <v>08/07/23</v>
      </c>
      <c r="L45" t="s">
        <v>38</v>
      </c>
      <c r="M45" t="s">
        <v>48</v>
      </c>
      <c r="N45" t="s">
        <v>318</v>
      </c>
      <c r="O45" t="s">
        <v>91</v>
      </c>
      <c r="P45">
        <v>23390315</v>
      </c>
      <c r="Q45" t="s">
        <v>581</v>
      </c>
      <c r="R45" t="s">
        <v>582</v>
      </c>
      <c r="S45">
        <v>3000</v>
      </c>
      <c r="T45">
        <v>8</v>
      </c>
      <c r="U45">
        <v>24000</v>
      </c>
      <c r="V45" t="str">
        <f t="shared" si="17"/>
        <v>Accepted</v>
      </c>
      <c r="W45">
        <f>IFERROR(VLOOKUP(N45, Payment_Terms!A:B, 2, FALSE), "Payment term not found!")</f>
        <v>30</v>
      </c>
      <c r="X45" t="str">
        <f>IFERROR(VLOOKUP(R45, Item_Category!A:B, 2, FALSE), "Uncategorized")</f>
        <v>Lime</v>
      </c>
      <c r="Y45" s="5">
        <f>IFERROR(IF(AND(E45&lt;&gt;"", G45&lt;&gt;""), MAX(0, (H45-SUMIFS(S:S, E:E, E45, G:G, G45))/H45), ""), (H45-S45)/H45)</f>
        <v>0</v>
      </c>
      <c r="Z45">
        <f t="shared" si="5"/>
        <v>5</v>
      </c>
      <c r="AA45">
        <f t="shared" si="6"/>
        <v>1</v>
      </c>
      <c r="AB45">
        <f t="shared" si="7"/>
        <v>5</v>
      </c>
      <c r="AC45" s="10">
        <f t="shared" si="8"/>
        <v>6</v>
      </c>
      <c r="AD45" s="5">
        <f t="shared" si="0"/>
        <v>1</v>
      </c>
      <c r="AE45" s="5">
        <f t="shared" si="1"/>
        <v>1</v>
      </c>
      <c r="AF45" s="5">
        <f t="shared" si="9"/>
        <v>0</v>
      </c>
      <c r="AG45">
        <f>IF(B45&lt;&gt;"", COUNTIFS($B$2:B45, B45), "")</f>
        <v>2</v>
      </c>
      <c r="AH45">
        <f t="shared" si="10"/>
        <v>5</v>
      </c>
      <c r="AI45" t="str">
        <f>VLOOKUP(B45, Currency!A:B, 2, FALSE)</f>
        <v>INR</v>
      </c>
      <c r="AJ45">
        <f t="shared" si="2"/>
        <v>5</v>
      </c>
      <c r="AK45">
        <f t="shared" si="11"/>
        <v>7</v>
      </c>
      <c r="AL45" t="str">
        <f t="shared" si="12"/>
        <v>July</v>
      </c>
      <c r="AM45">
        <f t="shared" si="13"/>
        <v>2023</v>
      </c>
      <c r="AN45" t="str">
        <f t="shared" si="18"/>
        <v>30HELIK ENTERPRISE</v>
      </c>
      <c r="AO45">
        <f>IF(COUNTIF($AN$2:AN45, AN45)=1, 1, 0)</f>
        <v>0</v>
      </c>
      <c r="AP45" t="str">
        <f t="shared" si="14"/>
        <v>&gt;3</v>
      </c>
      <c r="AQ45" t="str">
        <f t="shared" si="15"/>
        <v>&gt;3</v>
      </c>
      <c r="AR45" t="str">
        <f t="shared" si="16"/>
        <v>&gt;3</v>
      </c>
    </row>
    <row r="46" spans="1:44" x14ac:dyDescent="0.3">
      <c r="A46" t="s">
        <v>33</v>
      </c>
      <c r="B46" t="s">
        <v>366</v>
      </c>
      <c r="C46" t="s">
        <v>398</v>
      </c>
      <c r="D46">
        <v>1699</v>
      </c>
      <c r="E46">
        <v>23310072</v>
      </c>
      <c r="F46" t="s">
        <v>569</v>
      </c>
      <c r="G46" t="s">
        <v>570</v>
      </c>
      <c r="H46">
        <v>70</v>
      </c>
      <c r="I46">
        <v>10857.14</v>
      </c>
      <c r="J46">
        <v>759999.8</v>
      </c>
      <c r="K46" t="str">
        <f>IFERROR(IF(B46&lt;&gt;"", TEXT(VLOOKUP(B46, 'Expected Date'!A:B, 2, FALSE) + DATE(RIGHT(C46,2),MID(C46,4,2),LEFT(C46,2)), "dd/mm/yy"), ""), "")</f>
        <v>03/05/23</v>
      </c>
      <c r="L46" t="s">
        <v>38</v>
      </c>
      <c r="M46" t="s">
        <v>48</v>
      </c>
      <c r="N46" t="s">
        <v>574</v>
      </c>
      <c r="O46" t="s">
        <v>145</v>
      </c>
      <c r="P46">
        <v>23390116</v>
      </c>
      <c r="Q46" t="s">
        <v>569</v>
      </c>
      <c r="R46" t="s">
        <v>570</v>
      </c>
      <c r="S46">
        <v>23.36</v>
      </c>
      <c r="T46">
        <v>10857.14</v>
      </c>
      <c r="U46">
        <v>253622.79</v>
      </c>
      <c r="V46" t="str">
        <f t="shared" si="17"/>
        <v>Accepted</v>
      </c>
      <c r="W46">
        <f>IFERROR(VLOOKUP(N46, Payment_Terms!A:B, 2, FALSE), "Payment term not found!")</f>
        <v>0</v>
      </c>
      <c r="X46" t="str">
        <f>IFERROR(VLOOKUP(R46, Item_Category!A:B, 2, FALSE), "Uncategorized")</f>
        <v>Coal materials</v>
      </c>
      <c r="Y46" s="5">
        <f t="shared" si="4"/>
        <v>0</v>
      </c>
      <c r="Z46">
        <f t="shared" si="5"/>
        <v>5</v>
      </c>
      <c r="AA46">
        <f t="shared" si="6"/>
        <v>4</v>
      </c>
      <c r="AB46">
        <f t="shared" si="7"/>
        <v>4</v>
      </c>
      <c r="AC46" s="10">
        <f t="shared" si="8"/>
        <v>6</v>
      </c>
      <c r="AD46" s="5">
        <f t="shared" si="0"/>
        <v>1</v>
      </c>
      <c r="AE46" s="5">
        <f t="shared" si="1"/>
        <v>1</v>
      </c>
      <c r="AF46" s="5">
        <f t="shared" si="9"/>
        <v>0</v>
      </c>
      <c r="AG46">
        <f>IF(B46&lt;&gt;"", COUNTIFS($B$2:B46, B46), "")</f>
        <v>5</v>
      </c>
      <c r="AH46">
        <f t="shared" si="10"/>
        <v>5</v>
      </c>
      <c r="AI46" t="str">
        <f>VLOOKUP(B46, Currency!A:B, 2, FALSE)</f>
        <v>INR</v>
      </c>
      <c r="AJ46">
        <f t="shared" si="2"/>
        <v>5</v>
      </c>
      <c r="AK46">
        <f t="shared" si="11"/>
        <v>5</v>
      </c>
      <c r="AL46" t="str">
        <f t="shared" si="12"/>
        <v>May</v>
      </c>
      <c r="AM46">
        <f t="shared" si="13"/>
        <v>2023</v>
      </c>
      <c r="AN46" t="str">
        <f t="shared" si="18"/>
        <v>0SKYWIN ENTERPRISE</v>
      </c>
      <c r="AO46">
        <f>IF(COUNTIF($AN$2:AN46, AN46)=1, 1, 0)</f>
        <v>0</v>
      </c>
      <c r="AP46" t="str">
        <f t="shared" si="14"/>
        <v>&gt;3</v>
      </c>
      <c r="AQ46" t="str">
        <f t="shared" si="15"/>
        <v>&gt;3</v>
      </c>
      <c r="AR46" t="str">
        <f t="shared" si="16"/>
        <v>&gt;3</v>
      </c>
    </row>
    <row r="47" spans="1:44" x14ac:dyDescent="0.3">
      <c r="A47" t="s">
        <v>33</v>
      </c>
      <c r="B47" t="s">
        <v>557</v>
      </c>
      <c r="C47" t="s">
        <v>414</v>
      </c>
      <c r="D47">
        <v>2296</v>
      </c>
      <c r="E47">
        <v>23310158</v>
      </c>
      <c r="F47" t="s">
        <v>558</v>
      </c>
      <c r="G47" t="s">
        <v>384</v>
      </c>
      <c r="H47">
        <v>400</v>
      </c>
      <c r="I47">
        <v>99</v>
      </c>
      <c r="J47">
        <v>39600</v>
      </c>
      <c r="K47" t="str">
        <f>IFERROR(IF(B47&lt;&gt;"", TEXT(VLOOKUP(B47, 'Expected Date'!A:B, 2, FALSE) + DATE(RIGHT(C47,2),MID(C47,4,2),LEFT(C47,2)), "dd/mm/yy"), ""), "")</f>
        <v>11/06/23</v>
      </c>
      <c r="L47" t="s">
        <v>68</v>
      </c>
      <c r="M47" t="s">
        <v>48</v>
      </c>
      <c r="N47" t="s">
        <v>364</v>
      </c>
      <c r="O47" t="s">
        <v>182</v>
      </c>
      <c r="P47">
        <v>23390238</v>
      </c>
      <c r="Q47" t="s">
        <v>558</v>
      </c>
      <c r="R47" t="s">
        <v>559</v>
      </c>
      <c r="S47">
        <v>100</v>
      </c>
      <c r="T47">
        <v>99</v>
      </c>
      <c r="U47">
        <v>9900</v>
      </c>
      <c r="V47" t="str">
        <f t="shared" si="17"/>
        <v>Accepted</v>
      </c>
      <c r="W47">
        <f>IFERROR(VLOOKUP(N47, Payment_Terms!A:B, 2, FALSE), "Payment term not found!")</f>
        <v>30</v>
      </c>
      <c r="X47" t="str">
        <f>IFERROR(VLOOKUP(R47, Item_Category!A:B, 2, FALSE), "Uncategorized")</f>
        <v>Anhydrous Ammonia</v>
      </c>
      <c r="Y47" s="5">
        <f t="shared" si="4"/>
        <v>0.25</v>
      </c>
      <c r="Z47">
        <f t="shared" si="5"/>
        <v>1</v>
      </c>
      <c r="AA47">
        <f t="shared" si="6"/>
        <v>2</v>
      </c>
      <c r="AB47">
        <f t="shared" si="7"/>
        <v>5</v>
      </c>
      <c r="AC47" s="10">
        <f t="shared" si="8"/>
        <v>12</v>
      </c>
      <c r="AD47" s="5">
        <f t="shared" si="0"/>
        <v>1</v>
      </c>
      <c r="AE47" s="5">
        <f t="shared" si="1"/>
        <v>1</v>
      </c>
      <c r="AF47" s="5">
        <f t="shared" si="9"/>
        <v>0</v>
      </c>
      <c r="AG47">
        <f>IF(B47&lt;&gt;"", COUNTIFS($B$2:B47, B47), "")</f>
        <v>4</v>
      </c>
      <c r="AH47">
        <f t="shared" si="10"/>
        <v>5</v>
      </c>
      <c r="AI47" t="str">
        <f>VLOOKUP(B47, Currency!A:B, 2, FALSE)</f>
        <v>INR</v>
      </c>
      <c r="AJ47">
        <f t="shared" si="2"/>
        <v>4</v>
      </c>
      <c r="AK47">
        <f t="shared" si="11"/>
        <v>6</v>
      </c>
      <c r="AL47" t="str">
        <f t="shared" si="12"/>
        <v>June</v>
      </c>
      <c r="AM47">
        <f t="shared" si="13"/>
        <v>2023</v>
      </c>
      <c r="AN47" t="str">
        <f t="shared" si="18"/>
        <v>30Jaysons Chemical Industries Vapi</v>
      </c>
      <c r="AO47">
        <f>IF(COUNTIF($AN$2:AN47, AN47)=1, 1, 0)</f>
        <v>0</v>
      </c>
      <c r="AP47" t="str">
        <f t="shared" si="14"/>
        <v>&gt;3</v>
      </c>
      <c r="AQ47" t="str">
        <f t="shared" si="15"/>
        <v>&lt;=3</v>
      </c>
      <c r="AR47" t="str">
        <f t="shared" si="16"/>
        <v>&gt;3</v>
      </c>
    </row>
    <row r="48" spans="1:44" x14ac:dyDescent="0.3">
      <c r="A48" t="s">
        <v>33</v>
      </c>
      <c r="B48" t="s">
        <v>513</v>
      </c>
      <c r="C48" t="s">
        <v>78</v>
      </c>
      <c r="D48">
        <v>3973</v>
      </c>
      <c r="E48">
        <v>23310321</v>
      </c>
      <c r="F48" t="s">
        <v>563</v>
      </c>
      <c r="G48" t="s">
        <v>515</v>
      </c>
      <c r="H48">
        <v>2500</v>
      </c>
      <c r="I48">
        <v>24</v>
      </c>
      <c r="J48">
        <v>60000</v>
      </c>
      <c r="K48" t="str">
        <f>IFERROR(IF(B48&lt;&gt;"", TEXT(VLOOKUP(B48, 'Expected Date'!A:B, 2, FALSE) + DATE(RIGHT(C48,2),MID(C48,4,2),LEFT(C48,2)), "dd/mm/yy"), ""), "")</f>
        <v>26/08/23</v>
      </c>
      <c r="L48" t="s">
        <v>68</v>
      </c>
      <c r="M48" t="s">
        <v>48</v>
      </c>
      <c r="N48" t="s">
        <v>342</v>
      </c>
      <c r="O48" t="s">
        <v>105</v>
      </c>
      <c r="P48">
        <v>23390477</v>
      </c>
      <c r="Q48" t="s">
        <v>563</v>
      </c>
      <c r="R48" t="s">
        <v>564</v>
      </c>
      <c r="S48">
        <v>1000</v>
      </c>
      <c r="T48">
        <v>24</v>
      </c>
      <c r="U48">
        <v>24000</v>
      </c>
      <c r="V48" t="str">
        <f t="shared" si="17"/>
        <v>Accepted</v>
      </c>
      <c r="W48">
        <f>IFERROR(VLOOKUP(N48, Payment_Terms!A:B, 2, FALSE), "Payment term not found!")</f>
        <v>30</v>
      </c>
      <c r="X48" t="str">
        <f>IFERROR(VLOOKUP(R48, Item_Category!A:B, 2, FALSE), "Uncategorized")</f>
        <v xml:space="preserve">Caustic Soda </v>
      </c>
      <c r="Y48" s="5">
        <f t="shared" si="4"/>
        <v>0.2</v>
      </c>
      <c r="Z48">
        <f t="shared" si="5"/>
        <v>1</v>
      </c>
      <c r="AA48">
        <f t="shared" si="6"/>
        <v>-1</v>
      </c>
      <c r="AB48">
        <f t="shared" si="7"/>
        <v>5</v>
      </c>
      <c r="AC48" s="10">
        <f t="shared" si="8"/>
        <v>1</v>
      </c>
      <c r="AD48" s="5">
        <f t="shared" si="0"/>
        <v>1</v>
      </c>
      <c r="AE48" s="5">
        <f t="shared" si="1"/>
        <v>1</v>
      </c>
      <c r="AF48" s="5">
        <f t="shared" si="9"/>
        <v>0</v>
      </c>
      <c r="AG48">
        <f>IF(B48&lt;&gt;"", COUNTIFS($B$2:B48, B48), "")</f>
        <v>5</v>
      </c>
      <c r="AH48">
        <f t="shared" si="10"/>
        <v>5</v>
      </c>
      <c r="AI48" t="str">
        <f>VLOOKUP(B48, Currency!A:B, 2, FALSE)</f>
        <v>INR</v>
      </c>
      <c r="AJ48">
        <f t="shared" si="2"/>
        <v>4</v>
      </c>
      <c r="AK48">
        <f t="shared" si="11"/>
        <v>8</v>
      </c>
      <c r="AL48" t="str">
        <f t="shared" si="12"/>
        <v>August</v>
      </c>
      <c r="AM48">
        <f t="shared" si="13"/>
        <v>2023</v>
      </c>
      <c r="AN48" t="str">
        <f t="shared" si="18"/>
        <v>30J.K.Marketing</v>
      </c>
      <c r="AO48">
        <f>IF(COUNTIF($AN$2:AN48, AN48)=1, 1, 0)</f>
        <v>0</v>
      </c>
      <c r="AP48" t="str">
        <f t="shared" si="14"/>
        <v>&gt;3</v>
      </c>
      <c r="AQ48" t="str">
        <f t="shared" si="15"/>
        <v>&lt;=3</v>
      </c>
      <c r="AR48" t="str">
        <f t="shared" si="16"/>
        <v>&gt;3</v>
      </c>
    </row>
    <row r="49" spans="1:44" x14ac:dyDescent="0.3">
      <c r="A49" t="s">
        <v>95</v>
      </c>
      <c r="B49" t="s">
        <v>96</v>
      </c>
      <c r="C49" t="s">
        <v>97</v>
      </c>
      <c r="D49">
        <v>1227</v>
      </c>
      <c r="E49">
        <v>23320002</v>
      </c>
      <c r="F49" t="s">
        <v>585</v>
      </c>
      <c r="G49" t="s">
        <v>99</v>
      </c>
      <c r="H49">
        <v>78</v>
      </c>
      <c r="I49">
        <v>820</v>
      </c>
      <c r="J49">
        <v>5187156</v>
      </c>
      <c r="K49" t="str">
        <f>IFERROR(IF(B49&lt;&gt;"", TEXT(VLOOKUP(B49, 'Expected Date'!A:B, 2, FALSE) + DATE(RIGHT(C49,2),MID(C49,4,2),LEFT(C49,2)), "dd/mm/yy"), ""), "")</f>
        <v>10/06/23</v>
      </c>
      <c r="L49" t="s">
        <v>38</v>
      </c>
      <c r="M49" t="str">
        <f>M20</f>
        <v>MT</v>
      </c>
      <c r="N49" t="s">
        <v>102</v>
      </c>
      <c r="O49" t="s">
        <v>78</v>
      </c>
      <c r="P49">
        <v>23390475</v>
      </c>
      <c r="Q49" t="s">
        <v>585</v>
      </c>
      <c r="R49" t="s">
        <v>586</v>
      </c>
      <c r="S49">
        <v>79.307000000000002</v>
      </c>
      <c r="T49">
        <v>820</v>
      </c>
      <c r="U49">
        <v>5345609.03</v>
      </c>
      <c r="V49" t="str">
        <f t="shared" si="17"/>
        <v>Accepted</v>
      </c>
      <c r="W49">
        <f>IFERROR(VLOOKUP(N49, Payment_Terms!A:B, 2, FALSE), "Payment term not found!")</f>
        <v>60</v>
      </c>
      <c r="X49" t="str">
        <f>IFERROR(VLOOKUP(R49, Item_Category!A:B, 2, FALSE), "Uncategorized")</f>
        <v>Wood pulp</v>
      </c>
      <c r="Y49" s="5">
        <f t="shared" si="4"/>
        <v>0</v>
      </c>
      <c r="Z49">
        <f t="shared" si="5"/>
        <v>5</v>
      </c>
      <c r="AA49">
        <f t="shared" si="6"/>
        <v>75</v>
      </c>
      <c r="AB49">
        <f t="shared" si="7"/>
        <v>1</v>
      </c>
      <c r="AC49" s="10">
        <f t="shared" si="8"/>
        <v>135</v>
      </c>
      <c r="AD49" s="5">
        <f t="shared" si="0"/>
        <v>1</v>
      </c>
      <c r="AE49" s="5">
        <f t="shared" si="1"/>
        <v>1</v>
      </c>
      <c r="AF49" s="5">
        <f t="shared" si="9"/>
        <v>0</v>
      </c>
      <c r="AG49">
        <f>IF(B49&lt;&gt;"", COUNTIFS($B$2:B49, B49), "")</f>
        <v>1</v>
      </c>
      <c r="AH49">
        <f t="shared" si="10"/>
        <v>5</v>
      </c>
      <c r="AI49" t="str">
        <f>VLOOKUP(B49, Currency!A:B, 2, FALSE)</f>
        <v>USD</v>
      </c>
      <c r="AJ49">
        <f t="shared" si="2"/>
        <v>4</v>
      </c>
      <c r="AK49">
        <f t="shared" si="11"/>
        <v>4</v>
      </c>
      <c r="AL49" t="str">
        <f t="shared" si="12"/>
        <v>April</v>
      </c>
      <c r="AM49">
        <f t="shared" si="13"/>
        <v>2023</v>
      </c>
      <c r="AN49" t="str">
        <f t="shared" si="18"/>
        <v>60G P Cellulose GMBH</v>
      </c>
      <c r="AO49">
        <f>IF(COUNTIF($AN$2:AN49, AN49)=1, 1, 0)</f>
        <v>1</v>
      </c>
      <c r="AP49" t="str">
        <f t="shared" si="14"/>
        <v>&gt;3</v>
      </c>
      <c r="AQ49" t="str">
        <f t="shared" si="15"/>
        <v>&gt;3</v>
      </c>
      <c r="AR49" t="str">
        <f t="shared" si="16"/>
        <v>&lt;=3</v>
      </c>
    </row>
    <row r="50" spans="1:44" x14ac:dyDescent="0.3">
      <c r="A50" t="s">
        <v>33</v>
      </c>
      <c r="B50" t="s">
        <v>366</v>
      </c>
      <c r="C50" t="s">
        <v>476</v>
      </c>
      <c r="D50">
        <v>3937</v>
      </c>
      <c r="E50">
        <v>23310313</v>
      </c>
      <c r="F50" t="s">
        <v>569</v>
      </c>
      <c r="G50" t="s">
        <v>570</v>
      </c>
      <c r="H50">
        <v>100</v>
      </c>
      <c r="I50">
        <v>9800</v>
      </c>
      <c r="J50">
        <v>980000</v>
      </c>
      <c r="K50" t="str">
        <f>IFERROR(IF(B50&lt;&gt;"", TEXT(VLOOKUP(B50, 'Expected Date'!A:B, 2, FALSE) + DATE(RIGHT(C50,2),MID(C50,4,2),LEFT(C50,2)), "dd/mm/yy"), ""), "")</f>
        <v>17/08/23</v>
      </c>
      <c r="L50" t="s">
        <v>38</v>
      </c>
      <c r="M50" t="s">
        <v>48</v>
      </c>
      <c r="N50" t="s">
        <v>532</v>
      </c>
      <c r="O50" t="s">
        <v>105</v>
      </c>
      <c r="P50">
        <v>23390476</v>
      </c>
      <c r="Q50" t="s">
        <v>569</v>
      </c>
      <c r="R50" t="s">
        <v>570</v>
      </c>
      <c r="S50">
        <v>23.64</v>
      </c>
      <c r="T50">
        <v>9800</v>
      </c>
      <c r="U50">
        <v>231672</v>
      </c>
      <c r="V50" t="str">
        <f t="shared" si="17"/>
        <v>Accepted</v>
      </c>
      <c r="W50">
        <f>IFERROR(VLOOKUP(N50, Payment_Terms!A:B, 2, FALSE), "Payment term not found!")</f>
        <v>15</v>
      </c>
      <c r="X50" t="str">
        <f>IFERROR(VLOOKUP(R50, Item_Category!A:B, 2, FALSE), "Uncategorized")</f>
        <v>Coal materials</v>
      </c>
      <c r="Y50" s="5">
        <f t="shared" si="4"/>
        <v>0</v>
      </c>
      <c r="Z50">
        <f t="shared" si="5"/>
        <v>5</v>
      </c>
      <c r="AA50">
        <f t="shared" si="6"/>
        <v>8</v>
      </c>
      <c r="AB50">
        <f t="shared" si="7"/>
        <v>2</v>
      </c>
      <c r="AC50" s="10">
        <f t="shared" si="8"/>
        <v>10</v>
      </c>
      <c r="AD50" s="5">
        <f t="shared" si="0"/>
        <v>1</v>
      </c>
      <c r="AE50" s="5">
        <f t="shared" si="1"/>
        <v>1</v>
      </c>
      <c r="AF50" s="5">
        <f t="shared" si="9"/>
        <v>0</v>
      </c>
      <c r="AG50">
        <f>IF(B50&lt;&gt;"", COUNTIFS($B$2:B50, B50), "")</f>
        <v>6</v>
      </c>
      <c r="AH50">
        <f t="shared" si="10"/>
        <v>5</v>
      </c>
      <c r="AI50" t="str">
        <f>VLOOKUP(B50, Currency!A:B, 2, FALSE)</f>
        <v>INR</v>
      </c>
      <c r="AJ50">
        <f t="shared" si="2"/>
        <v>5</v>
      </c>
      <c r="AK50">
        <f t="shared" si="11"/>
        <v>8</v>
      </c>
      <c r="AL50" t="str">
        <f t="shared" si="12"/>
        <v>August</v>
      </c>
      <c r="AM50">
        <f t="shared" si="13"/>
        <v>2023</v>
      </c>
      <c r="AN50" t="str">
        <f t="shared" si="18"/>
        <v>15SKYWIN ENTERPRISE</v>
      </c>
      <c r="AO50">
        <f>IF(COUNTIF($AN$2:AN50, AN50)=1, 1, 0)</f>
        <v>0</v>
      </c>
      <c r="AP50" t="str">
        <f t="shared" si="14"/>
        <v>&gt;3</v>
      </c>
      <c r="AQ50" t="str">
        <f t="shared" si="15"/>
        <v>&gt;3</v>
      </c>
      <c r="AR50" t="str">
        <f t="shared" si="16"/>
        <v>&lt;=3</v>
      </c>
    </row>
    <row r="51" spans="1:44" x14ac:dyDescent="0.3">
      <c r="A51" t="s">
        <v>33</v>
      </c>
      <c r="B51" t="s">
        <v>386</v>
      </c>
      <c r="C51" t="s">
        <v>496</v>
      </c>
      <c r="D51">
        <v>4201</v>
      </c>
      <c r="E51">
        <v>23310343</v>
      </c>
      <c r="F51" t="s">
        <v>567</v>
      </c>
      <c r="G51" t="s">
        <v>568</v>
      </c>
      <c r="H51">
        <v>500</v>
      </c>
      <c r="I51">
        <v>133</v>
      </c>
      <c r="J51">
        <v>66500</v>
      </c>
      <c r="K51" t="str">
        <f>IFERROR(IF(B51&lt;&gt;"", TEXT(VLOOKUP(B51, 'Expected Date'!A:B, 2, FALSE) + DATE(RIGHT(C51,2),MID(C51,4,2),LEFT(C51,2)), "dd/mm/yy"), ""), "")</f>
        <v>07/09/23</v>
      </c>
      <c r="L51" t="s">
        <v>38</v>
      </c>
      <c r="M51" t="s">
        <v>39</v>
      </c>
      <c r="N51" t="s">
        <v>318</v>
      </c>
      <c r="O51" t="s">
        <v>226</v>
      </c>
      <c r="P51">
        <v>23390552</v>
      </c>
      <c r="Q51" t="s">
        <v>567</v>
      </c>
      <c r="R51" t="s">
        <v>568</v>
      </c>
      <c r="S51">
        <v>420.1</v>
      </c>
      <c r="T51">
        <v>133</v>
      </c>
      <c r="U51">
        <v>55873.3</v>
      </c>
      <c r="V51" t="str">
        <f t="shared" si="17"/>
        <v>Accepted</v>
      </c>
      <c r="W51">
        <f>IFERROR(VLOOKUP(N51, Payment_Terms!A:B, 2, FALSE), "Payment term not found!")</f>
        <v>30</v>
      </c>
      <c r="X51" t="str">
        <f>IFERROR(VLOOKUP(R51, Item_Category!A:B, 2, FALSE), "Uncategorized")</f>
        <v>Liner</v>
      </c>
      <c r="Y51" s="5">
        <f t="shared" si="4"/>
        <v>0</v>
      </c>
      <c r="Z51">
        <f t="shared" si="5"/>
        <v>5</v>
      </c>
      <c r="AA51">
        <f t="shared" si="6"/>
        <v>4</v>
      </c>
      <c r="AB51">
        <f t="shared" si="7"/>
        <v>4</v>
      </c>
      <c r="AC51" s="10">
        <f t="shared" si="8"/>
        <v>9</v>
      </c>
      <c r="AD51" s="5">
        <f t="shared" si="0"/>
        <v>1</v>
      </c>
      <c r="AE51" s="5">
        <f t="shared" si="1"/>
        <v>1</v>
      </c>
      <c r="AF51" s="5">
        <f t="shared" si="9"/>
        <v>0</v>
      </c>
      <c r="AG51">
        <f>IF(B51&lt;&gt;"", COUNTIFS($B$2:B51, B51), "")</f>
        <v>7</v>
      </c>
      <c r="AH51">
        <f t="shared" si="10"/>
        <v>5</v>
      </c>
      <c r="AI51" t="str">
        <f>VLOOKUP(B51, Currency!A:B, 2, FALSE)</f>
        <v>INR</v>
      </c>
      <c r="AJ51">
        <f t="shared" si="2"/>
        <v>5</v>
      </c>
      <c r="AK51">
        <f t="shared" si="11"/>
        <v>9</v>
      </c>
      <c r="AL51" t="str">
        <f t="shared" si="12"/>
        <v>September</v>
      </c>
      <c r="AM51">
        <f t="shared" si="13"/>
        <v>2023</v>
      </c>
      <c r="AN51" t="str">
        <f t="shared" si="18"/>
        <v>30Shree Shyam Enterprises</v>
      </c>
      <c r="AO51">
        <f>IF(COUNTIF($AN$2:AN51, AN51)=1, 1, 0)</f>
        <v>0</v>
      </c>
      <c r="AP51" t="str">
        <f t="shared" si="14"/>
        <v>&gt;3</v>
      </c>
      <c r="AQ51" t="str">
        <f t="shared" si="15"/>
        <v>&gt;3</v>
      </c>
      <c r="AR51" t="str">
        <f t="shared" si="16"/>
        <v>&gt;3</v>
      </c>
    </row>
    <row r="52" spans="1:44" x14ac:dyDescent="0.3">
      <c r="A52" t="s">
        <v>33</v>
      </c>
      <c r="B52" t="s">
        <v>366</v>
      </c>
      <c r="C52" t="s">
        <v>178</v>
      </c>
      <c r="D52">
        <v>4155</v>
      </c>
      <c r="E52">
        <v>23310339</v>
      </c>
      <c r="F52" t="s">
        <v>569</v>
      </c>
      <c r="G52" t="s">
        <v>570</v>
      </c>
      <c r="H52">
        <v>150</v>
      </c>
      <c r="I52">
        <v>9800</v>
      </c>
      <c r="J52">
        <v>1470000</v>
      </c>
      <c r="K52" t="str">
        <f>IFERROR(IF(B52&lt;&gt;"", TEXT(VLOOKUP(B52, 'Expected Date'!A:B, 2, FALSE) + DATE(RIGHT(C52,2),MID(C52,4,2),LEFT(C52,2)), "dd/mm/yy"), ""), "")</f>
        <v>03/09/23</v>
      </c>
      <c r="L52" t="s">
        <v>38</v>
      </c>
      <c r="M52" t="s">
        <v>48</v>
      </c>
      <c r="N52" t="s">
        <v>532</v>
      </c>
      <c r="O52" t="s">
        <v>151</v>
      </c>
      <c r="P52">
        <v>23390553</v>
      </c>
      <c r="Q52" t="s">
        <v>569</v>
      </c>
      <c r="R52" t="s">
        <v>570</v>
      </c>
      <c r="S52">
        <v>28.86</v>
      </c>
      <c r="T52">
        <v>9800</v>
      </c>
      <c r="U52">
        <v>282828</v>
      </c>
      <c r="V52" t="str">
        <f t="shared" si="17"/>
        <v>Accepted</v>
      </c>
      <c r="W52">
        <f>IFERROR(VLOOKUP(N52, Payment_Terms!A:B, 2, FALSE), "Payment term not found!")</f>
        <v>15</v>
      </c>
      <c r="X52" t="str">
        <f>IFERROR(VLOOKUP(R52, Item_Category!A:B, 2, FALSE), "Uncategorized")</f>
        <v>Coal materials</v>
      </c>
      <c r="Y52" s="5">
        <f t="shared" si="4"/>
        <v>0</v>
      </c>
      <c r="Z52">
        <f t="shared" si="5"/>
        <v>5</v>
      </c>
      <c r="AA52">
        <f t="shared" si="6"/>
        <v>11</v>
      </c>
      <c r="AB52">
        <f t="shared" si="7"/>
        <v>1</v>
      </c>
      <c r="AC52" s="10">
        <f t="shared" si="8"/>
        <v>13</v>
      </c>
      <c r="AD52" s="5">
        <f t="shared" si="0"/>
        <v>1</v>
      </c>
      <c r="AE52" s="5">
        <f t="shared" si="1"/>
        <v>1</v>
      </c>
      <c r="AF52" s="5">
        <f t="shared" si="9"/>
        <v>0</v>
      </c>
      <c r="AG52">
        <f>IF(B52&lt;&gt;"", COUNTIFS($B$2:B52, B52), "")</f>
        <v>7</v>
      </c>
      <c r="AH52">
        <f t="shared" si="10"/>
        <v>5</v>
      </c>
      <c r="AI52" t="str">
        <f>VLOOKUP(B52, Currency!A:B, 2, FALSE)</f>
        <v>INR</v>
      </c>
      <c r="AJ52">
        <f t="shared" si="2"/>
        <v>4</v>
      </c>
      <c r="AK52">
        <f t="shared" si="11"/>
        <v>9</v>
      </c>
      <c r="AL52" t="str">
        <f t="shared" si="12"/>
        <v>September</v>
      </c>
      <c r="AM52">
        <f t="shared" si="13"/>
        <v>2023</v>
      </c>
      <c r="AN52" t="str">
        <f t="shared" si="18"/>
        <v>15SKYWIN ENTERPRISE</v>
      </c>
      <c r="AO52">
        <f>IF(COUNTIF($AN$2:AN52, AN52)=1, 1, 0)</f>
        <v>0</v>
      </c>
      <c r="AP52" t="str">
        <f t="shared" si="14"/>
        <v>&gt;3</v>
      </c>
      <c r="AQ52" t="str">
        <f t="shared" si="15"/>
        <v>&gt;3</v>
      </c>
      <c r="AR52" t="str">
        <f t="shared" si="16"/>
        <v>&lt;=3</v>
      </c>
    </row>
    <row r="53" spans="1:44" x14ac:dyDescent="0.3">
      <c r="A53" t="s">
        <v>111</v>
      </c>
      <c r="B53" t="s">
        <v>296</v>
      </c>
      <c r="C53" t="s">
        <v>482</v>
      </c>
      <c r="D53">
        <v>4223</v>
      </c>
      <c r="E53">
        <v>23310345</v>
      </c>
      <c r="F53" t="s">
        <v>587</v>
      </c>
      <c r="G53" t="s">
        <v>588</v>
      </c>
      <c r="H53">
        <v>1000</v>
      </c>
      <c r="I53">
        <v>205</v>
      </c>
      <c r="J53">
        <v>205000</v>
      </c>
      <c r="K53" t="str">
        <f>IFERROR(IF(B53&lt;&gt;"", TEXT(VLOOKUP(B53, 'Expected Date'!A:B, 2, FALSE) + DATE(RIGHT(C53,2),MID(C53,4,2),LEFT(C53,2)), "dd/mm/yy"), ""), "")</f>
        <v>22/09/23</v>
      </c>
      <c r="L53" t="s">
        <v>38</v>
      </c>
      <c r="M53" t="s">
        <v>48</v>
      </c>
      <c r="N53" t="s">
        <v>342</v>
      </c>
      <c r="O53" t="s">
        <v>323</v>
      </c>
      <c r="P53">
        <v>23390566</v>
      </c>
      <c r="Q53" t="s">
        <v>587</v>
      </c>
      <c r="R53" t="s">
        <v>588</v>
      </c>
      <c r="S53">
        <v>1000</v>
      </c>
      <c r="T53">
        <v>205</v>
      </c>
      <c r="U53">
        <v>205000</v>
      </c>
      <c r="V53" t="str">
        <f t="shared" si="17"/>
        <v>Accepted</v>
      </c>
      <c r="W53">
        <f>IFERROR(VLOOKUP(N53, Payment_Terms!A:B, 2, FALSE), "Payment term not found!")</f>
        <v>30</v>
      </c>
      <c r="X53" t="str">
        <f>IFERROR(VLOOKUP(R53, Item_Category!A:B, 2, FALSE), "Uncategorized")</f>
        <v>SSG - Potato</v>
      </c>
      <c r="Y53" s="5">
        <f t="shared" si="4"/>
        <v>0</v>
      </c>
      <c r="Z53">
        <f t="shared" si="5"/>
        <v>5</v>
      </c>
      <c r="AA53">
        <f t="shared" si="6"/>
        <v>-7</v>
      </c>
      <c r="AB53">
        <f t="shared" si="7"/>
        <v>5</v>
      </c>
      <c r="AC53" s="10">
        <f t="shared" si="8"/>
        <v>8</v>
      </c>
      <c r="AD53" s="5">
        <f t="shared" si="0"/>
        <v>1</v>
      </c>
      <c r="AE53" s="5">
        <f t="shared" si="1"/>
        <v>1</v>
      </c>
      <c r="AF53" s="5">
        <f t="shared" si="9"/>
        <v>0</v>
      </c>
      <c r="AG53">
        <f>IF(B53&lt;&gt;"", COUNTIFS($B$2:B53, B53), "")</f>
        <v>1</v>
      </c>
      <c r="AH53">
        <f t="shared" si="10"/>
        <v>5</v>
      </c>
      <c r="AI53" t="str">
        <f>VLOOKUP(B53, Currency!A:B, 2, FALSE)</f>
        <v>INR</v>
      </c>
      <c r="AJ53">
        <f t="shared" si="2"/>
        <v>5</v>
      </c>
      <c r="AK53">
        <f t="shared" si="11"/>
        <v>9</v>
      </c>
      <c r="AL53" t="str">
        <f t="shared" si="12"/>
        <v>September</v>
      </c>
      <c r="AM53">
        <f t="shared" si="13"/>
        <v>2023</v>
      </c>
      <c r="AN53" t="str">
        <f t="shared" si="18"/>
        <v>30Ascot Pharmachem Pvt Ltd</v>
      </c>
      <c r="AO53">
        <f>IF(COUNTIF($AN$2:AN53, AN53)=1, 1, 0)</f>
        <v>1</v>
      </c>
      <c r="AP53" t="str">
        <f t="shared" si="14"/>
        <v>&gt;3</v>
      </c>
      <c r="AQ53" t="str">
        <f t="shared" si="15"/>
        <v>&gt;3</v>
      </c>
      <c r="AR53" t="str">
        <f t="shared" si="16"/>
        <v>&gt;3</v>
      </c>
    </row>
    <row r="54" spans="1:44" x14ac:dyDescent="0.3">
      <c r="A54" t="str">
        <f>A10</f>
        <v>Woodpulp</v>
      </c>
      <c r="B54" t="s">
        <v>289</v>
      </c>
      <c r="C54" t="s">
        <v>394</v>
      </c>
      <c r="D54">
        <v>3805</v>
      </c>
      <c r="E54">
        <v>23320035</v>
      </c>
      <c r="F54" t="s">
        <v>575</v>
      </c>
      <c r="G54" t="s">
        <v>291</v>
      </c>
      <c r="H54">
        <v>100</v>
      </c>
      <c r="I54">
        <v>48000</v>
      </c>
      <c r="J54">
        <v>4800000</v>
      </c>
      <c r="K54" t="str">
        <f>IFERROR(IF(B54&lt;&gt;"", TEXT(VLOOKUP(B54, 'Expected Date'!A:B, 2, FALSE) + DATE(RIGHT(C54,2),MID(C54,4,2),LEFT(C54,2)), "dd/mm/yy"), ""), "")</f>
        <v>16/09/23</v>
      </c>
      <c r="L54" t="s">
        <v>38</v>
      </c>
      <c r="M54" t="str">
        <f>M20</f>
        <v>MT</v>
      </c>
      <c r="N54" t="s">
        <v>273</v>
      </c>
      <c r="O54" t="s">
        <v>226</v>
      </c>
      <c r="P54">
        <v>23390551</v>
      </c>
      <c r="Q54" t="s">
        <v>575</v>
      </c>
      <c r="R54" t="s">
        <v>291</v>
      </c>
      <c r="S54">
        <v>15.093</v>
      </c>
      <c r="T54">
        <v>48000</v>
      </c>
      <c r="U54">
        <v>724464</v>
      </c>
      <c r="V54" t="str">
        <f t="shared" si="17"/>
        <v>Accepted</v>
      </c>
      <c r="W54">
        <f>IFERROR(VLOOKUP(N54, Payment_Terms!A:B, 2, FALSE), "Payment term not found!")</f>
        <v>0</v>
      </c>
      <c r="X54" t="str">
        <f>IFERROR(VLOOKUP(R54, Item_Category!A:B, 2, FALSE), "Uncategorized")</f>
        <v>Wood pulp</v>
      </c>
      <c r="Y54" s="5">
        <f t="shared" si="4"/>
        <v>0</v>
      </c>
      <c r="Z54">
        <f t="shared" si="5"/>
        <v>5</v>
      </c>
      <c r="AA54">
        <f t="shared" si="6"/>
        <v>-5</v>
      </c>
      <c r="AB54">
        <f t="shared" si="7"/>
        <v>5</v>
      </c>
      <c r="AC54" s="10">
        <f t="shared" si="8"/>
        <v>25</v>
      </c>
      <c r="AD54" s="5">
        <f t="shared" si="0"/>
        <v>1</v>
      </c>
      <c r="AE54" s="5">
        <f t="shared" si="1"/>
        <v>1</v>
      </c>
      <c r="AF54" s="5">
        <f t="shared" si="9"/>
        <v>0</v>
      </c>
      <c r="AG54">
        <f>IF(B54&lt;&gt;"", COUNTIFS($B$2:B54, B54), "")</f>
        <v>10</v>
      </c>
      <c r="AH54">
        <f t="shared" si="10"/>
        <v>5</v>
      </c>
      <c r="AI54" t="str">
        <f>VLOOKUP(B54, Currency!A:B, 2, FALSE)</f>
        <v>INR</v>
      </c>
      <c r="AJ54">
        <f t="shared" si="2"/>
        <v>5</v>
      </c>
      <c r="AK54">
        <f t="shared" si="11"/>
        <v>8</v>
      </c>
      <c r="AL54" t="str">
        <f t="shared" si="12"/>
        <v>August</v>
      </c>
      <c r="AM54">
        <f t="shared" si="13"/>
        <v>2023</v>
      </c>
      <c r="AN54" t="str">
        <f t="shared" si="18"/>
        <v>0N.E. IMPEX PRIVATE LIMITED</v>
      </c>
      <c r="AO54">
        <f>IF(COUNTIF($AN$2:AN54, AN54)=1, 1, 0)</f>
        <v>0</v>
      </c>
      <c r="AP54" t="str">
        <f t="shared" si="14"/>
        <v>&gt;3</v>
      </c>
      <c r="AQ54" t="str">
        <f t="shared" si="15"/>
        <v>&gt;3</v>
      </c>
      <c r="AR54" t="str">
        <f t="shared" si="16"/>
        <v>&gt;3</v>
      </c>
    </row>
    <row r="55" spans="1:44" x14ac:dyDescent="0.3">
      <c r="A55" t="s">
        <v>33</v>
      </c>
      <c r="B55" t="s">
        <v>513</v>
      </c>
      <c r="C55" t="s">
        <v>172</v>
      </c>
      <c r="D55">
        <v>1186</v>
      </c>
      <c r="E55">
        <v>23310008</v>
      </c>
      <c r="F55" t="s">
        <v>563</v>
      </c>
      <c r="G55" t="s">
        <v>515</v>
      </c>
      <c r="H55">
        <v>2500</v>
      </c>
      <c r="I55">
        <v>26</v>
      </c>
      <c r="J55">
        <v>65000</v>
      </c>
      <c r="K55" t="str">
        <f>IFERROR(IF(B55&lt;&gt;"", TEXT(VLOOKUP(B55, 'Expected Date'!A:B, 2, FALSE) + DATE(RIGHT(C55,2),MID(C55,4,2),LEFT(C55,2)), "dd/mm/yy"), ""), "")</f>
        <v>08/04/23</v>
      </c>
      <c r="L55" t="s">
        <v>38</v>
      </c>
      <c r="M55" t="s">
        <v>48</v>
      </c>
      <c r="N55" t="s">
        <v>342</v>
      </c>
      <c r="O55" t="s">
        <v>419</v>
      </c>
      <c r="P55">
        <v>23390052</v>
      </c>
      <c r="Q55" t="s">
        <v>563</v>
      </c>
      <c r="R55" t="s">
        <v>564</v>
      </c>
      <c r="S55">
        <v>500</v>
      </c>
      <c r="T55">
        <v>26</v>
      </c>
      <c r="U55">
        <v>13000</v>
      </c>
      <c r="V55" t="str">
        <f t="shared" si="17"/>
        <v>Accepted</v>
      </c>
      <c r="W55">
        <f>IFERROR(VLOOKUP(N55, Payment_Terms!A:B, 2, FALSE), "Payment term not found!")</f>
        <v>30</v>
      </c>
      <c r="X55" t="str">
        <f>IFERROR(VLOOKUP(R55, Item_Category!A:B, 2, FALSE), "Uncategorized")</f>
        <v xml:space="preserve">Caustic Soda </v>
      </c>
      <c r="Y55" s="5">
        <f t="shared" si="4"/>
        <v>0</v>
      </c>
      <c r="Z55">
        <f t="shared" si="5"/>
        <v>5</v>
      </c>
      <c r="AA55">
        <f t="shared" si="6"/>
        <v>14</v>
      </c>
      <c r="AB55">
        <f t="shared" si="7"/>
        <v>1</v>
      </c>
      <c r="AC55" s="10">
        <f t="shared" si="8"/>
        <v>16</v>
      </c>
      <c r="AD55" s="5">
        <f t="shared" si="0"/>
        <v>1</v>
      </c>
      <c r="AE55" s="5">
        <f t="shared" si="1"/>
        <v>1</v>
      </c>
      <c r="AF55" s="5">
        <f t="shared" si="9"/>
        <v>0</v>
      </c>
      <c r="AG55">
        <f>IF(B55&lt;&gt;"", COUNTIFS($B$2:B55, B55), "")</f>
        <v>6</v>
      </c>
      <c r="AH55">
        <f t="shared" si="10"/>
        <v>5</v>
      </c>
      <c r="AI55" t="str">
        <f>VLOOKUP(B55, Currency!A:B, 2, FALSE)</f>
        <v>INR</v>
      </c>
      <c r="AJ55">
        <f t="shared" si="2"/>
        <v>4</v>
      </c>
      <c r="AK55">
        <f t="shared" si="11"/>
        <v>4</v>
      </c>
      <c r="AL55" t="str">
        <f t="shared" si="12"/>
        <v>April</v>
      </c>
      <c r="AM55">
        <f t="shared" si="13"/>
        <v>2023</v>
      </c>
      <c r="AN55" t="str">
        <f t="shared" si="18"/>
        <v>30J.K.Marketing</v>
      </c>
      <c r="AO55">
        <f>IF(COUNTIF($AN$2:AN55, AN55)=1, 1, 0)</f>
        <v>0</v>
      </c>
      <c r="AP55" t="str">
        <f t="shared" si="14"/>
        <v>&gt;3</v>
      </c>
      <c r="AQ55" t="str">
        <f t="shared" si="15"/>
        <v>&gt;3</v>
      </c>
      <c r="AR55" t="str">
        <f t="shared" si="16"/>
        <v>&lt;=3</v>
      </c>
    </row>
    <row r="56" spans="1:44" x14ac:dyDescent="0.3">
      <c r="A56" t="str">
        <f>A10</f>
        <v>Woodpulp</v>
      </c>
      <c r="B56" t="s">
        <v>289</v>
      </c>
      <c r="C56" t="s">
        <v>394</v>
      </c>
      <c r="D56">
        <v>3808</v>
      </c>
      <c r="E56">
        <v>23320036</v>
      </c>
      <c r="F56" t="s">
        <v>571</v>
      </c>
      <c r="G56" t="s">
        <v>360</v>
      </c>
      <c r="H56">
        <v>98</v>
      </c>
      <c r="I56">
        <v>61500</v>
      </c>
      <c r="J56">
        <v>6027000</v>
      </c>
      <c r="K56" t="str">
        <f>IFERROR(IF(B56&lt;&gt;"", TEXT(VLOOKUP(B56, 'Expected Date'!A:B, 2, FALSE) + DATE(RIGHT(C56,2),MID(C56,4,2),LEFT(C56,2)), "dd/mm/yy"), ""), "")</f>
        <v>16/09/23</v>
      </c>
      <c r="L56" t="s">
        <v>38</v>
      </c>
      <c r="M56" t="str">
        <f>M20</f>
        <v>MT</v>
      </c>
      <c r="N56" t="s">
        <v>109</v>
      </c>
      <c r="O56" t="s">
        <v>226</v>
      </c>
      <c r="P56">
        <v>23390550</v>
      </c>
      <c r="Q56" t="s">
        <v>571</v>
      </c>
      <c r="R56" t="s">
        <v>143</v>
      </c>
      <c r="S56">
        <v>18.86</v>
      </c>
      <c r="T56">
        <v>61500</v>
      </c>
      <c r="U56">
        <v>1159890</v>
      </c>
      <c r="V56" t="str">
        <f t="shared" si="17"/>
        <v>Accepted</v>
      </c>
      <c r="W56">
        <f>IFERROR(VLOOKUP(N56, Payment_Terms!A:B, 2, FALSE), "Payment term not found!")</f>
        <v>0</v>
      </c>
      <c r="X56" t="str">
        <f>IFERROR(VLOOKUP(R56, Item_Category!A:B, 2, FALSE), "Uncategorized")</f>
        <v>Wood pulp</v>
      </c>
      <c r="Y56" s="5">
        <f t="shared" si="4"/>
        <v>0</v>
      </c>
      <c r="Z56">
        <f t="shared" si="5"/>
        <v>5</v>
      </c>
      <c r="AA56">
        <f t="shared" si="6"/>
        <v>-5</v>
      </c>
      <c r="AB56">
        <f t="shared" si="7"/>
        <v>5</v>
      </c>
      <c r="AC56" s="10">
        <f t="shared" si="8"/>
        <v>25</v>
      </c>
      <c r="AD56" s="5">
        <f t="shared" si="0"/>
        <v>1</v>
      </c>
      <c r="AE56" s="5">
        <f t="shared" si="1"/>
        <v>1</v>
      </c>
      <c r="AF56" s="5">
        <f t="shared" si="9"/>
        <v>0</v>
      </c>
      <c r="AG56">
        <f>IF(B56&lt;&gt;"", COUNTIFS($B$2:B56, B56), "")</f>
        <v>11</v>
      </c>
      <c r="AH56">
        <f t="shared" si="10"/>
        <v>5</v>
      </c>
      <c r="AI56" t="str">
        <f>VLOOKUP(B56, Currency!A:B, 2, FALSE)</f>
        <v>INR</v>
      </c>
      <c r="AJ56">
        <f t="shared" si="2"/>
        <v>5</v>
      </c>
      <c r="AK56">
        <f t="shared" si="11"/>
        <v>8</v>
      </c>
      <c r="AL56" t="str">
        <f t="shared" si="12"/>
        <v>August</v>
      </c>
      <c r="AM56">
        <f t="shared" si="13"/>
        <v>2023</v>
      </c>
      <c r="AN56" t="str">
        <f t="shared" si="18"/>
        <v>0N.E. IMPEX PRIVATE LIMITED</v>
      </c>
      <c r="AO56">
        <f>IF(COUNTIF($AN$2:AN56, AN56)=1, 1, 0)</f>
        <v>0</v>
      </c>
      <c r="AP56" t="str">
        <f t="shared" si="14"/>
        <v>&gt;3</v>
      </c>
      <c r="AQ56" t="str">
        <f t="shared" si="15"/>
        <v>&gt;3</v>
      </c>
      <c r="AR56" t="str">
        <f t="shared" si="16"/>
        <v>&gt;3</v>
      </c>
    </row>
    <row r="57" spans="1:44" x14ac:dyDescent="0.3">
      <c r="A57" t="s">
        <v>95</v>
      </c>
      <c r="B57" t="s">
        <v>589</v>
      </c>
      <c r="C57" t="s">
        <v>226</v>
      </c>
      <c r="D57">
        <v>4297</v>
      </c>
      <c r="E57">
        <v>23320044</v>
      </c>
      <c r="F57" t="s">
        <v>571</v>
      </c>
      <c r="G57" t="s">
        <v>360</v>
      </c>
      <c r="H57">
        <v>51.36</v>
      </c>
      <c r="I57">
        <v>51325</v>
      </c>
      <c r="J57">
        <v>2636052</v>
      </c>
      <c r="K57" t="str">
        <f>IFERROR(IF(B57&lt;&gt;"", TEXT(VLOOKUP(B57, 'Expected Date'!A:B, 2, FALSE) + DATE(RIGHT(C57,2),MID(C57,4,2),LEFT(C57,2)), "dd/mm/yy"), ""), "")</f>
        <v>21/09/23</v>
      </c>
      <c r="L57" t="s">
        <v>38</v>
      </c>
      <c r="M57" t="str">
        <f>M20</f>
        <v>MT</v>
      </c>
      <c r="N57" t="s">
        <v>590</v>
      </c>
      <c r="O57" t="s">
        <v>482</v>
      </c>
      <c r="P57">
        <v>23390549</v>
      </c>
      <c r="Q57" t="s">
        <v>571</v>
      </c>
      <c r="R57" t="s">
        <v>143</v>
      </c>
      <c r="S57">
        <v>51.36</v>
      </c>
      <c r="T57">
        <v>51325</v>
      </c>
      <c r="U57">
        <v>2636052</v>
      </c>
      <c r="V57" t="str">
        <f t="shared" si="17"/>
        <v>Accepted</v>
      </c>
      <c r="W57">
        <f>IFERROR(VLOOKUP(N57, Payment_Terms!A:B, 2, FALSE), "Payment term not found!")</f>
        <v>0</v>
      </c>
      <c r="X57" t="str">
        <f>IFERROR(VLOOKUP(R57, Item_Category!A:B, 2, FALSE), "Uncategorized")</f>
        <v>Wood pulp</v>
      </c>
      <c r="Y57" s="5">
        <f t="shared" si="4"/>
        <v>0</v>
      </c>
      <c r="Z57">
        <f t="shared" si="5"/>
        <v>5</v>
      </c>
      <c r="AA57">
        <f t="shared" si="6"/>
        <v>-14</v>
      </c>
      <c r="AB57">
        <f t="shared" si="7"/>
        <v>5</v>
      </c>
      <c r="AC57" s="10">
        <f t="shared" si="8"/>
        <v>4</v>
      </c>
      <c r="AD57" s="5">
        <f t="shared" si="0"/>
        <v>1</v>
      </c>
      <c r="AE57" s="5">
        <f t="shared" si="1"/>
        <v>1</v>
      </c>
      <c r="AF57" s="5">
        <f t="shared" si="9"/>
        <v>0</v>
      </c>
      <c r="AG57">
        <f>IF(B57&lt;&gt;"", COUNTIFS($B$2:B57, B57), "")</f>
        <v>1</v>
      </c>
      <c r="AH57">
        <f t="shared" si="10"/>
        <v>5</v>
      </c>
      <c r="AI57" t="str">
        <f>VLOOKUP(B57, Currency!A:B, 2, FALSE)</f>
        <v>USD</v>
      </c>
      <c r="AJ57">
        <f t="shared" si="2"/>
        <v>5</v>
      </c>
      <c r="AK57">
        <f t="shared" si="11"/>
        <v>9</v>
      </c>
      <c r="AL57" t="str">
        <f t="shared" si="12"/>
        <v>September</v>
      </c>
      <c r="AM57">
        <f t="shared" si="13"/>
        <v>2023</v>
      </c>
      <c r="AN57" t="str">
        <f t="shared" si="18"/>
        <v>0CELLPAP MERCANTILE LLP</v>
      </c>
      <c r="AO57">
        <f>IF(COUNTIF($AN$2:AN57, AN57)=1, 1, 0)</f>
        <v>1</v>
      </c>
      <c r="AP57" t="str">
        <f t="shared" si="14"/>
        <v>&gt;3</v>
      </c>
      <c r="AQ57" t="str">
        <f t="shared" si="15"/>
        <v>&gt;3</v>
      </c>
      <c r="AR57" t="str">
        <f t="shared" si="16"/>
        <v>&gt;3</v>
      </c>
    </row>
    <row r="58" spans="1:44" x14ac:dyDescent="0.3">
      <c r="A58" t="s">
        <v>111</v>
      </c>
      <c r="B58" t="s">
        <v>296</v>
      </c>
      <c r="C58" t="s">
        <v>103</v>
      </c>
      <c r="D58">
        <v>4213</v>
      </c>
      <c r="E58">
        <v>23320043</v>
      </c>
      <c r="F58" t="s">
        <v>591</v>
      </c>
      <c r="G58" t="s">
        <v>311</v>
      </c>
      <c r="H58">
        <v>1000</v>
      </c>
      <c r="I58">
        <v>413</v>
      </c>
      <c r="J58">
        <v>413000</v>
      </c>
      <c r="K58" t="str">
        <f>IFERROR(IF(B58&lt;&gt;"", TEXT(VLOOKUP(B58, 'Expected Date'!A:B, 2, FALSE) + DATE(RIGHT(C58,2),MID(C58,4,2),LEFT(C58,2)), "dd/mm/yy"), ""), "")</f>
        <v>21/09/23</v>
      </c>
      <c r="L58" t="s">
        <v>38</v>
      </c>
      <c r="M58" t="s">
        <v>48</v>
      </c>
      <c r="N58" t="s">
        <v>470</v>
      </c>
      <c r="O58" t="s">
        <v>323</v>
      </c>
      <c r="P58">
        <v>23390566</v>
      </c>
      <c r="Q58" t="s">
        <v>591</v>
      </c>
      <c r="R58" t="s">
        <v>376</v>
      </c>
      <c r="S58">
        <v>1000</v>
      </c>
      <c r="T58">
        <v>413</v>
      </c>
      <c r="U58">
        <v>413000</v>
      </c>
      <c r="V58" t="str">
        <f t="shared" si="17"/>
        <v>Accepted</v>
      </c>
      <c r="W58">
        <f>IFERROR(VLOOKUP(N58, Payment_Terms!A:B, 2, FALSE), "Payment term not found!")</f>
        <v>30</v>
      </c>
      <c r="X58" t="str">
        <f>IFERROR(VLOOKUP(R58, Item_Category!A:B, 2, FALSE), "Uncategorized")</f>
        <v>CROSSCARMELLOSE SODIUM</v>
      </c>
      <c r="Y58" s="5">
        <f t="shared" si="4"/>
        <v>0</v>
      </c>
      <c r="Z58">
        <f t="shared" si="5"/>
        <v>5</v>
      </c>
      <c r="AA58">
        <f t="shared" si="6"/>
        <v>-6</v>
      </c>
      <c r="AB58">
        <f t="shared" si="7"/>
        <v>5</v>
      </c>
      <c r="AC58" s="10">
        <f t="shared" si="8"/>
        <v>9</v>
      </c>
      <c r="AD58" s="5">
        <f t="shared" si="0"/>
        <v>1</v>
      </c>
      <c r="AE58" s="5">
        <f t="shared" si="1"/>
        <v>1</v>
      </c>
      <c r="AF58" s="5">
        <f t="shared" si="9"/>
        <v>0</v>
      </c>
      <c r="AG58">
        <f>IF(B58&lt;&gt;"", COUNTIFS($B$2:B58, B58), "")</f>
        <v>2</v>
      </c>
      <c r="AH58">
        <f t="shared" si="10"/>
        <v>5</v>
      </c>
      <c r="AI58" t="str">
        <f>VLOOKUP(B58, Currency!A:B, 2, FALSE)</f>
        <v>INR</v>
      </c>
      <c r="AJ58">
        <f t="shared" si="2"/>
        <v>5</v>
      </c>
      <c r="AK58">
        <f t="shared" si="11"/>
        <v>9</v>
      </c>
      <c r="AL58" t="str">
        <f t="shared" si="12"/>
        <v>September</v>
      </c>
      <c r="AM58">
        <f t="shared" si="13"/>
        <v>2023</v>
      </c>
      <c r="AN58" t="str">
        <f t="shared" si="18"/>
        <v>30Ascot Pharmachem Pvt Ltd</v>
      </c>
      <c r="AO58">
        <f>IF(COUNTIF($AN$2:AN58, AN58)=1, 1, 0)</f>
        <v>0</v>
      </c>
      <c r="AP58" t="str">
        <f t="shared" si="14"/>
        <v>&gt;3</v>
      </c>
      <c r="AQ58" t="str">
        <f t="shared" si="15"/>
        <v>&gt;3</v>
      </c>
      <c r="AR58" t="str">
        <f t="shared" si="16"/>
        <v>&gt;3</v>
      </c>
    </row>
    <row r="59" spans="1:44" x14ac:dyDescent="0.3">
      <c r="A59" t="s">
        <v>33</v>
      </c>
      <c r="B59" t="s">
        <v>557</v>
      </c>
      <c r="C59" t="s">
        <v>354</v>
      </c>
      <c r="D59">
        <v>2796</v>
      </c>
      <c r="E59">
        <v>23310215</v>
      </c>
      <c r="F59" t="s">
        <v>558</v>
      </c>
      <c r="G59" t="s">
        <v>384</v>
      </c>
      <c r="H59">
        <v>400</v>
      </c>
      <c r="I59">
        <v>99</v>
      </c>
      <c r="J59">
        <v>39600</v>
      </c>
      <c r="K59" t="str">
        <f>IFERROR(IF(B59&lt;&gt;"", TEXT(VLOOKUP(B59, 'Expected Date'!A:B, 2, FALSE) + DATE(RIGHT(C59,2),MID(C59,4,2),LEFT(C59,2)), "dd/mm/yy"), ""), "")</f>
        <v>13/07/23</v>
      </c>
      <c r="L59" t="s">
        <v>68</v>
      </c>
      <c r="M59" t="s">
        <v>48</v>
      </c>
      <c r="N59" t="s">
        <v>364</v>
      </c>
      <c r="O59" t="s">
        <v>198</v>
      </c>
      <c r="P59">
        <v>23390370</v>
      </c>
      <c r="Q59" t="s">
        <v>558</v>
      </c>
      <c r="R59" t="s">
        <v>559</v>
      </c>
      <c r="S59">
        <v>100</v>
      </c>
      <c r="T59">
        <v>99</v>
      </c>
      <c r="U59">
        <v>9900</v>
      </c>
      <c r="V59" t="str">
        <f t="shared" si="17"/>
        <v>Accepted</v>
      </c>
      <c r="W59">
        <f>IFERROR(VLOOKUP(N59, Payment_Terms!A:B, 2, FALSE), "Payment term not found!")</f>
        <v>30</v>
      </c>
      <c r="X59" t="str">
        <f>IFERROR(VLOOKUP(R59, Item_Category!A:B, 2, FALSE), "Uncategorized")</f>
        <v>Anhydrous Ammonia</v>
      </c>
      <c r="Y59" s="5">
        <f t="shared" si="4"/>
        <v>0.25</v>
      </c>
      <c r="Z59">
        <f t="shared" si="5"/>
        <v>1</v>
      </c>
      <c r="AA59">
        <f t="shared" si="6"/>
        <v>18</v>
      </c>
      <c r="AB59">
        <f t="shared" si="7"/>
        <v>1</v>
      </c>
      <c r="AC59" s="10">
        <f t="shared" si="8"/>
        <v>28</v>
      </c>
      <c r="AD59" s="5">
        <f t="shared" si="0"/>
        <v>1</v>
      </c>
      <c r="AE59" s="5">
        <f t="shared" si="1"/>
        <v>1</v>
      </c>
      <c r="AF59" s="5">
        <f t="shared" si="9"/>
        <v>0</v>
      </c>
      <c r="AG59">
        <f>IF(B59&lt;&gt;"", COUNTIFS($B$2:B59, B59), "")</f>
        <v>5</v>
      </c>
      <c r="AH59">
        <f t="shared" si="10"/>
        <v>5</v>
      </c>
      <c r="AI59" t="str">
        <f>VLOOKUP(B59, Currency!A:B, 2, FALSE)</f>
        <v>INR</v>
      </c>
      <c r="AJ59">
        <f t="shared" si="2"/>
        <v>3</v>
      </c>
      <c r="AK59">
        <f t="shared" si="11"/>
        <v>7</v>
      </c>
      <c r="AL59" t="str">
        <f t="shared" si="12"/>
        <v>July</v>
      </c>
      <c r="AM59">
        <f t="shared" si="13"/>
        <v>2023</v>
      </c>
      <c r="AN59" t="str">
        <f t="shared" si="18"/>
        <v>30Jaysons Chemical Industries Vapi</v>
      </c>
      <c r="AO59">
        <f>IF(COUNTIF($AN$2:AN59, AN59)=1, 1, 0)</f>
        <v>0</v>
      </c>
      <c r="AP59" t="str">
        <f t="shared" si="14"/>
        <v>&gt;3</v>
      </c>
      <c r="AQ59" t="str">
        <f t="shared" si="15"/>
        <v>&lt;=3</v>
      </c>
      <c r="AR59" t="str">
        <f t="shared" si="16"/>
        <v>&lt;=3</v>
      </c>
    </row>
    <row r="60" spans="1:44" x14ac:dyDescent="0.3">
      <c r="A60" t="s">
        <v>111</v>
      </c>
      <c r="B60" t="s">
        <v>296</v>
      </c>
      <c r="C60" t="s">
        <v>84</v>
      </c>
      <c r="D60">
        <v>1453</v>
      </c>
      <c r="E60">
        <v>23310029</v>
      </c>
      <c r="F60" t="s">
        <v>587</v>
      </c>
      <c r="G60" t="s">
        <v>588</v>
      </c>
      <c r="H60">
        <v>1000</v>
      </c>
      <c r="I60">
        <v>205</v>
      </c>
      <c r="J60">
        <v>205000</v>
      </c>
      <c r="K60" t="str">
        <f>IFERROR(IF(B60&lt;&gt;"", TEXT(VLOOKUP(B60, 'Expected Date'!A:B, 2, FALSE) + DATE(RIGHT(C60,2),MID(C60,4,2),LEFT(C60,2)), "dd/mm/yy"), ""), "")</f>
        <v>06/05/23</v>
      </c>
      <c r="L60" t="s">
        <v>38</v>
      </c>
      <c r="M60" t="s">
        <v>48</v>
      </c>
      <c r="N60" t="s">
        <v>381</v>
      </c>
      <c r="O60" t="s">
        <v>84</v>
      </c>
      <c r="P60">
        <v>23390056</v>
      </c>
      <c r="Q60" t="s">
        <v>587</v>
      </c>
      <c r="R60" t="s">
        <v>588</v>
      </c>
      <c r="S60">
        <v>1000</v>
      </c>
      <c r="T60">
        <v>205</v>
      </c>
      <c r="U60">
        <v>205000</v>
      </c>
      <c r="V60" t="str">
        <f t="shared" si="17"/>
        <v>Accepted</v>
      </c>
      <c r="W60">
        <f>IFERROR(VLOOKUP(N60, Payment_Terms!A:B, 2, FALSE), "Payment term not found!")</f>
        <v>30</v>
      </c>
      <c r="X60" t="str">
        <f>IFERROR(VLOOKUP(R60, Item_Category!A:B, 2, FALSE), "Uncategorized")</f>
        <v>SSG - Potato</v>
      </c>
      <c r="Y60" s="5">
        <f t="shared" si="4"/>
        <v>0</v>
      </c>
      <c r="Z60">
        <f t="shared" si="5"/>
        <v>5</v>
      </c>
      <c r="AA60">
        <f t="shared" si="6"/>
        <v>-15</v>
      </c>
      <c r="AB60">
        <f t="shared" si="7"/>
        <v>5</v>
      </c>
      <c r="AC60" s="10">
        <f t="shared" si="8"/>
        <v>0</v>
      </c>
      <c r="AD60" s="5">
        <f t="shared" si="0"/>
        <v>1</v>
      </c>
      <c r="AE60" s="5">
        <f t="shared" si="1"/>
        <v>1</v>
      </c>
      <c r="AF60" s="5">
        <f t="shared" si="9"/>
        <v>0</v>
      </c>
      <c r="AG60">
        <f>IF(B60&lt;&gt;"", COUNTIFS($B$2:B60, B60), "")</f>
        <v>3</v>
      </c>
      <c r="AH60">
        <f t="shared" si="10"/>
        <v>5</v>
      </c>
      <c r="AI60" t="str">
        <f>VLOOKUP(B60, Currency!A:B, 2, FALSE)</f>
        <v>INR</v>
      </c>
      <c r="AJ60">
        <f t="shared" si="2"/>
        <v>5</v>
      </c>
      <c r="AK60">
        <f t="shared" si="11"/>
        <v>4</v>
      </c>
      <c r="AL60" t="str">
        <f t="shared" si="12"/>
        <v>April</v>
      </c>
      <c r="AM60">
        <f t="shared" si="13"/>
        <v>2023</v>
      </c>
      <c r="AN60" t="str">
        <f t="shared" si="18"/>
        <v>30Ascot Pharmachem Pvt Ltd</v>
      </c>
      <c r="AO60">
        <f>IF(COUNTIF($AN$2:AN60, AN60)=1, 1, 0)</f>
        <v>0</v>
      </c>
      <c r="AP60" t="str">
        <f t="shared" si="14"/>
        <v>&gt;3</v>
      </c>
      <c r="AQ60" t="str">
        <f t="shared" si="15"/>
        <v>&gt;3</v>
      </c>
      <c r="AR60" t="str">
        <f t="shared" si="16"/>
        <v>&gt;3</v>
      </c>
    </row>
    <row r="61" spans="1:44" x14ac:dyDescent="0.3">
      <c r="A61" t="s">
        <v>33</v>
      </c>
      <c r="B61" t="s">
        <v>395</v>
      </c>
      <c r="C61" t="s">
        <v>352</v>
      </c>
      <c r="D61">
        <v>2380</v>
      </c>
      <c r="E61">
        <v>23310163</v>
      </c>
      <c r="F61" t="s">
        <v>569</v>
      </c>
      <c r="G61" t="s">
        <v>570</v>
      </c>
      <c r="H61">
        <v>100</v>
      </c>
      <c r="I61">
        <v>11523.81</v>
      </c>
      <c r="J61">
        <v>1152381</v>
      </c>
      <c r="K61" t="str">
        <f>IFERROR(IF(B61&lt;&gt;"", TEXT(VLOOKUP(B61, 'Expected Date'!A:B, 2, FALSE) + DATE(RIGHT(C61,2),MID(C61,4,2),LEFT(C61,2)), "dd/mm/yy"), ""), "")</f>
        <v>07/06/23</v>
      </c>
      <c r="L61" t="s">
        <v>68</v>
      </c>
      <c r="M61" t="s">
        <v>48</v>
      </c>
      <c r="N61" t="s">
        <v>342</v>
      </c>
      <c r="O61" t="s">
        <v>134</v>
      </c>
      <c r="P61">
        <v>23390230</v>
      </c>
      <c r="Q61" t="s">
        <v>569</v>
      </c>
      <c r="R61" t="s">
        <v>570</v>
      </c>
      <c r="S61">
        <v>22.5</v>
      </c>
      <c r="T61">
        <v>11523.81</v>
      </c>
      <c r="U61">
        <v>259285.73</v>
      </c>
      <c r="V61" t="str">
        <f t="shared" si="17"/>
        <v>Accepted</v>
      </c>
      <c r="W61">
        <f>IFERROR(VLOOKUP(N61, Payment_Terms!A:B, 2, FALSE), "Payment term not found!")</f>
        <v>30</v>
      </c>
      <c r="X61" t="str">
        <f>IFERROR(VLOOKUP(R61, Item_Category!A:B, 2, FALSE), "Uncategorized")</f>
        <v>Coal materials</v>
      </c>
      <c r="Y61" s="5">
        <f t="shared" si="4"/>
        <v>0.23749999999999999</v>
      </c>
      <c r="Z61">
        <f t="shared" si="5"/>
        <v>1</v>
      </c>
      <c r="AA61">
        <f t="shared" si="6"/>
        <v>1</v>
      </c>
      <c r="AB61">
        <f t="shared" si="7"/>
        <v>5</v>
      </c>
      <c r="AC61" s="10">
        <f t="shared" si="8"/>
        <v>6</v>
      </c>
      <c r="AD61" s="5">
        <f t="shared" si="0"/>
        <v>1</v>
      </c>
      <c r="AE61" s="5">
        <f t="shared" si="1"/>
        <v>1</v>
      </c>
      <c r="AF61" s="5">
        <f t="shared" si="9"/>
        <v>0</v>
      </c>
      <c r="AG61">
        <f>IF(B61&lt;&gt;"", COUNTIFS($B$2:B61, B61), "")</f>
        <v>3</v>
      </c>
      <c r="AH61">
        <f t="shared" si="10"/>
        <v>5</v>
      </c>
      <c r="AI61" t="str">
        <f>VLOOKUP(B61, Currency!A:B, 2, FALSE)</f>
        <v>INR</v>
      </c>
      <c r="AJ61">
        <f t="shared" si="2"/>
        <v>4</v>
      </c>
      <c r="AK61">
        <f t="shared" si="11"/>
        <v>6</v>
      </c>
      <c r="AL61" t="str">
        <f t="shared" si="12"/>
        <v>June</v>
      </c>
      <c r="AM61">
        <f t="shared" si="13"/>
        <v>2023</v>
      </c>
      <c r="AN61" t="str">
        <f t="shared" si="18"/>
        <v>30Crystal coal corporation</v>
      </c>
      <c r="AO61">
        <f>IF(COUNTIF($AN$2:AN61, AN61)=1, 1, 0)</f>
        <v>0</v>
      </c>
      <c r="AP61" t="str">
        <f t="shared" si="14"/>
        <v>&gt;3</v>
      </c>
      <c r="AQ61" t="str">
        <f t="shared" si="15"/>
        <v>&lt;=3</v>
      </c>
      <c r="AR61" t="str">
        <f t="shared" si="16"/>
        <v>&gt;3</v>
      </c>
    </row>
    <row r="62" spans="1:44" x14ac:dyDescent="0.3">
      <c r="A62" t="str">
        <f>A49</f>
        <v>Woodpulp</v>
      </c>
      <c r="B62" t="s">
        <v>96</v>
      </c>
      <c r="C62" t="s">
        <v>97</v>
      </c>
      <c r="D62">
        <v>1226</v>
      </c>
      <c r="E62">
        <v>23320001</v>
      </c>
      <c r="F62" t="s">
        <v>585</v>
      </c>
      <c r="G62" t="s">
        <v>99</v>
      </c>
      <c r="H62">
        <v>78</v>
      </c>
      <c r="I62">
        <v>820</v>
      </c>
      <c r="J62">
        <v>5187156</v>
      </c>
      <c r="K62" t="str">
        <f>IFERROR(IF(B62&lt;&gt;"", TEXT(VLOOKUP(B62, 'Expected Date'!A:B, 2, FALSE) + DATE(RIGHT(C62,2),MID(C62,4,2),LEFT(C62,2)), "dd/mm/yy"), ""), "")</f>
        <v>10/06/23</v>
      </c>
      <c r="L62" t="s">
        <v>38</v>
      </c>
      <c r="M62" t="str">
        <f>M20</f>
        <v>MT</v>
      </c>
      <c r="N62" t="s">
        <v>102</v>
      </c>
      <c r="O62" t="s">
        <v>91</v>
      </c>
      <c r="P62">
        <v>23390316</v>
      </c>
      <c r="Q62" t="s">
        <v>585</v>
      </c>
      <c r="R62" t="s">
        <v>586</v>
      </c>
      <c r="S62">
        <v>80.262</v>
      </c>
      <c r="T62">
        <v>820</v>
      </c>
      <c r="U62">
        <v>5367200.2</v>
      </c>
      <c r="V62" t="str">
        <f t="shared" si="17"/>
        <v>Accepted</v>
      </c>
      <c r="W62">
        <f>IFERROR(VLOOKUP(N62, Payment_Terms!A:B, 2, FALSE), "Payment term not found!")</f>
        <v>60</v>
      </c>
      <c r="X62" t="str">
        <f>IFERROR(VLOOKUP(R62, Item_Category!A:B, 2, FALSE), "Uncategorized")</f>
        <v>Wood pulp</v>
      </c>
      <c r="Y62" s="5">
        <f t="shared" si="4"/>
        <v>0</v>
      </c>
      <c r="Z62">
        <f t="shared" si="5"/>
        <v>5</v>
      </c>
      <c r="AA62">
        <f t="shared" si="6"/>
        <v>29</v>
      </c>
      <c r="AB62">
        <f t="shared" si="7"/>
        <v>1</v>
      </c>
      <c r="AC62" s="10">
        <f t="shared" si="8"/>
        <v>89</v>
      </c>
      <c r="AD62" s="5">
        <f t="shared" si="0"/>
        <v>1</v>
      </c>
      <c r="AE62" s="5">
        <f t="shared" si="1"/>
        <v>1</v>
      </c>
      <c r="AF62" s="5">
        <f t="shared" si="9"/>
        <v>0</v>
      </c>
      <c r="AG62">
        <f>IF(B62&lt;&gt;"", COUNTIFS($B$2:B62, B62), "")</f>
        <v>2</v>
      </c>
      <c r="AH62">
        <f t="shared" si="10"/>
        <v>5</v>
      </c>
      <c r="AI62" t="str">
        <f>VLOOKUP(B62, Currency!A:B, 2, FALSE)</f>
        <v>USD</v>
      </c>
      <c r="AJ62">
        <f t="shared" si="2"/>
        <v>4</v>
      </c>
      <c r="AK62">
        <f t="shared" si="11"/>
        <v>4</v>
      </c>
      <c r="AL62" t="str">
        <f t="shared" si="12"/>
        <v>April</v>
      </c>
      <c r="AM62">
        <f t="shared" si="13"/>
        <v>2023</v>
      </c>
      <c r="AN62" t="str">
        <f t="shared" si="18"/>
        <v>60G P Cellulose GMBH</v>
      </c>
      <c r="AO62">
        <f>IF(COUNTIF($AN$2:AN62, AN62)=1, 1, 0)</f>
        <v>0</v>
      </c>
      <c r="AP62" t="str">
        <f t="shared" si="14"/>
        <v>&gt;3</v>
      </c>
      <c r="AQ62" t="str">
        <f t="shared" si="15"/>
        <v>&gt;3</v>
      </c>
      <c r="AR62" t="str">
        <f t="shared" si="16"/>
        <v>&lt;=3</v>
      </c>
    </row>
    <row r="63" spans="1:44" x14ac:dyDescent="0.3">
      <c r="A63" t="s">
        <v>33</v>
      </c>
      <c r="B63" t="str">
        <f>B39</f>
        <v>Ami Enterprises</v>
      </c>
      <c r="C63" t="s">
        <v>423</v>
      </c>
      <c r="D63">
        <v>3419</v>
      </c>
      <c r="E63">
        <v>23310263</v>
      </c>
      <c r="F63" t="s">
        <v>572</v>
      </c>
      <c r="G63" t="s">
        <v>595</v>
      </c>
      <c r="H63">
        <v>2200</v>
      </c>
      <c r="I63">
        <v>34</v>
      </c>
      <c r="J63">
        <v>74800</v>
      </c>
      <c r="K63" t="str">
        <f>IFERROR(IF(B63&lt;&gt;"", TEXT(VLOOKUP(B63, 'Expected Date'!A:B, 2, FALSE) + DATE(RIGHT(C63,2),MID(C63,4,2),LEFT(C63,2)), "dd/mm/yy"), ""), "")</f>
        <v>01/08/23</v>
      </c>
      <c r="L63" t="s">
        <v>38</v>
      </c>
      <c r="M63" t="s">
        <v>39</v>
      </c>
      <c r="N63" t="s">
        <v>318</v>
      </c>
      <c r="O63" t="s">
        <v>227</v>
      </c>
      <c r="P63">
        <v>23390368</v>
      </c>
      <c r="Q63" t="s">
        <v>572</v>
      </c>
      <c r="R63" t="s">
        <v>573</v>
      </c>
      <c r="S63">
        <v>2200</v>
      </c>
      <c r="T63">
        <v>34</v>
      </c>
      <c r="U63">
        <v>74800</v>
      </c>
      <c r="V63" t="str">
        <f t="shared" si="17"/>
        <v>Accepted</v>
      </c>
      <c r="W63">
        <f>IFERROR(VLOOKUP(N63, Payment_Terms!A:B, 2, FALSE), "Payment term not found!")</f>
        <v>30</v>
      </c>
      <c r="X63" t="str">
        <f>IFERROR(VLOOKUP(R63, Item_Category!A:B, 2, FALSE), "Uncategorized")</f>
        <v>Bags</v>
      </c>
      <c r="Y63" s="5">
        <f t="shared" si="4"/>
        <v>0</v>
      </c>
      <c r="Z63">
        <f t="shared" si="5"/>
        <v>5</v>
      </c>
      <c r="AA63">
        <f t="shared" si="6"/>
        <v>-7</v>
      </c>
      <c r="AB63">
        <f t="shared" si="7"/>
        <v>5</v>
      </c>
      <c r="AC63" s="10">
        <f t="shared" si="8"/>
        <v>3</v>
      </c>
      <c r="AD63" s="5">
        <f t="shared" si="0"/>
        <v>1</v>
      </c>
      <c r="AE63" s="5">
        <f t="shared" si="1"/>
        <v>1</v>
      </c>
      <c r="AF63" s="5">
        <f t="shared" si="9"/>
        <v>0</v>
      </c>
      <c r="AG63">
        <f>IF(B63&lt;&gt;"", COUNTIFS($B$2:B63, B63), "")</f>
        <v>6</v>
      </c>
      <c r="AH63">
        <f t="shared" si="10"/>
        <v>5</v>
      </c>
      <c r="AI63" t="str">
        <f>VLOOKUP(B63, Currency!A:B, 2, FALSE)</f>
        <v>INR</v>
      </c>
      <c r="AJ63">
        <f t="shared" si="2"/>
        <v>5</v>
      </c>
      <c r="AK63">
        <f t="shared" si="11"/>
        <v>7</v>
      </c>
      <c r="AL63" t="str">
        <f t="shared" si="12"/>
        <v>July</v>
      </c>
      <c r="AM63">
        <f t="shared" si="13"/>
        <v>2023</v>
      </c>
      <c r="AN63" t="str">
        <f t="shared" si="18"/>
        <v>30Ami Enterprises</v>
      </c>
      <c r="AO63">
        <f>IF(COUNTIF($AN$2:AN63, AN63)=1, 1, 0)</f>
        <v>0</v>
      </c>
      <c r="AP63" t="str">
        <f t="shared" si="14"/>
        <v>&gt;3</v>
      </c>
      <c r="AQ63" t="str">
        <f t="shared" si="15"/>
        <v>&gt;3</v>
      </c>
      <c r="AR63" t="str">
        <f t="shared" si="16"/>
        <v>&gt;3</v>
      </c>
    </row>
    <row r="64" spans="1:44" x14ac:dyDescent="0.3">
      <c r="A64" t="s">
        <v>33</v>
      </c>
      <c r="B64" t="s">
        <v>395</v>
      </c>
      <c r="C64" t="s">
        <v>352</v>
      </c>
      <c r="D64">
        <v>2380</v>
      </c>
      <c r="E64">
        <v>23310163</v>
      </c>
      <c r="F64" t="s">
        <v>569</v>
      </c>
      <c r="G64" t="s">
        <v>570</v>
      </c>
      <c r="H64">
        <v>100</v>
      </c>
      <c r="I64">
        <v>11523.81</v>
      </c>
      <c r="J64">
        <v>1152381</v>
      </c>
      <c r="K64" t="str">
        <f>IFERROR(IF(B64&lt;&gt;"", TEXT(VLOOKUP(B64, 'Expected Date'!A:B, 2, FALSE) + DATE(RIGHT(C64,2),MID(C64,4,2),LEFT(C64,2)), "dd/mm/yy"), ""), "")</f>
        <v>07/06/23</v>
      </c>
      <c r="L64" t="s">
        <v>68</v>
      </c>
      <c r="M64" t="s">
        <v>48</v>
      </c>
      <c r="N64" t="s">
        <v>342</v>
      </c>
      <c r="O64" t="s">
        <v>275</v>
      </c>
      <c r="P64">
        <v>23390235</v>
      </c>
      <c r="Q64" t="s">
        <v>569</v>
      </c>
      <c r="R64" t="s">
        <v>570</v>
      </c>
      <c r="S64">
        <v>22.88</v>
      </c>
      <c r="T64">
        <v>11523.81</v>
      </c>
      <c r="U64">
        <v>263664.77</v>
      </c>
      <c r="V64" t="str">
        <f t="shared" si="17"/>
        <v>Accepted</v>
      </c>
      <c r="W64">
        <f>IFERROR(VLOOKUP(N64, Payment_Terms!A:B, 2, FALSE), "Payment term not found!")</f>
        <v>30</v>
      </c>
      <c r="X64" t="str">
        <f>IFERROR(VLOOKUP(R64, Item_Category!A:B, 2, FALSE), "Uncategorized")</f>
        <v>Coal materials</v>
      </c>
      <c r="Y64" s="5">
        <f t="shared" si="4"/>
        <v>0.23749999999999999</v>
      </c>
      <c r="Z64">
        <f t="shared" si="5"/>
        <v>1</v>
      </c>
      <c r="AA64">
        <f t="shared" si="6"/>
        <v>5</v>
      </c>
      <c r="AB64">
        <f t="shared" si="7"/>
        <v>3</v>
      </c>
      <c r="AC64" s="10">
        <f t="shared" si="8"/>
        <v>10</v>
      </c>
      <c r="AD64" s="5">
        <f t="shared" si="0"/>
        <v>1</v>
      </c>
      <c r="AE64" s="5">
        <f t="shared" si="1"/>
        <v>1</v>
      </c>
      <c r="AF64" s="5">
        <f t="shared" si="9"/>
        <v>0</v>
      </c>
      <c r="AG64">
        <f>IF(B64&lt;&gt;"", COUNTIFS($B$2:B64, B64), "")</f>
        <v>4</v>
      </c>
      <c r="AH64">
        <f t="shared" si="10"/>
        <v>5</v>
      </c>
      <c r="AI64" t="str">
        <f>VLOOKUP(B64, Currency!A:B, 2, FALSE)</f>
        <v>INR</v>
      </c>
      <c r="AJ64">
        <f t="shared" si="2"/>
        <v>4</v>
      </c>
      <c r="AK64">
        <f t="shared" si="11"/>
        <v>6</v>
      </c>
      <c r="AL64" t="str">
        <f t="shared" si="12"/>
        <v>June</v>
      </c>
      <c r="AM64">
        <f t="shared" si="13"/>
        <v>2023</v>
      </c>
      <c r="AN64" t="str">
        <f t="shared" si="18"/>
        <v>30Crystal coal corporation</v>
      </c>
      <c r="AO64">
        <f>IF(COUNTIF($AN$2:AN64, AN64)=1, 1, 0)</f>
        <v>0</v>
      </c>
      <c r="AP64" t="str">
        <f t="shared" si="14"/>
        <v>&gt;3</v>
      </c>
      <c r="AQ64" t="str">
        <f t="shared" si="15"/>
        <v>&lt;=3</v>
      </c>
      <c r="AR64" t="str">
        <f t="shared" si="16"/>
        <v>&lt;=3</v>
      </c>
    </row>
    <row r="65" spans="1:44" x14ac:dyDescent="0.3">
      <c r="A65" t="s">
        <v>33</v>
      </c>
      <c r="B65" t="s">
        <v>557</v>
      </c>
      <c r="C65" t="s">
        <v>397</v>
      </c>
      <c r="D65">
        <v>1188</v>
      </c>
      <c r="E65">
        <v>23310010</v>
      </c>
      <c r="F65" t="s">
        <v>558</v>
      </c>
      <c r="G65" t="s">
        <v>384</v>
      </c>
      <c r="H65">
        <v>400</v>
      </c>
      <c r="I65">
        <v>99</v>
      </c>
      <c r="J65">
        <v>39600</v>
      </c>
      <c r="K65" t="str">
        <f>IFERROR(IF(B65&lt;&gt;"", TEXT(VLOOKUP(B65, 'Expected Date'!A:B, 2, FALSE) + DATE(RIGHT(C65,2),MID(C65,4,2),LEFT(C65,2)), "dd/mm/yy"), ""), "")</f>
        <v>15/04/23</v>
      </c>
      <c r="L65" t="s">
        <v>68</v>
      </c>
      <c r="M65" t="s">
        <v>48</v>
      </c>
      <c r="N65" t="s">
        <v>364</v>
      </c>
      <c r="O65" t="s">
        <v>168</v>
      </c>
      <c r="P65">
        <v>23390034</v>
      </c>
      <c r="Q65" t="s">
        <v>558</v>
      </c>
      <c r="R65" t="s">
        <v>559</v>
      </c>
      <c r="S65">
        <v>100</v>
      </c>
      <c r="T65">
        <v>99</v>
      </c>
      <c r="U65">
        <v>9900</v>
      </c>
      <c r="V65" t="str">
        <f t="shared" si="17"/>
        <v>Accepted</v>
      </c>
      <c r="W65">
        <f>IFERROR(VLOOKUP(N65, Payment_Terms!A:B, 2, FALSE), "Payment term not found!")</f>
        <v>30</v>
      </c>
      <c r="X65" t="str">
        <f>IFERROR(VLOOKUP(R65, Item_Category!A:B, 2, FALSE), "Uncategorized")</f>
        <v>Anhydrous Ammonia</v>
      </c>
      <c r="Y65" s="5">
        <f t="shared" si="4"/>
        <v>0.25</v>
      </c>
      <c r="Z65">
        <f t="shared" si="5"/>
        <v>1</v>
      </c>
      <c r="AA65">
        <f t="shared" si="6"/>
        <v>2</v>
      </c>
      <c r="AB65">
        <f t="shared" si="7"/>
        <v>5</v>
      </c>
      <c r="AC65" s="10">
        <f t="shared" si="8"/>
        <v>12</v>
      </c>
      <c r="AD65" s="5">
        <f t="shared" si="0"/>
        <v>1</v>
      </c>
      <c r="AE65" s="5">
        <f t="shared" si="1"/>
        <v>1</v>
      </c>
      <c r="AF65" s="5">
        <f t="shared" si="9"/>
        <v>0</v>
      </c>
      <c r="AG65">
        <f>IF(B65&lt;&gt;"", COUNTIFS($B$2:B65, B65), "")</f>
        <v>6</v>
      </c>
      <c r="AH65">
        <f t="shared" si="10"/>
        <v>5</v>
      </c>
      <c r="AI65" t="str">
        <f>VLOOKUP(B65, Currency!A:B, 2, FALSE)</f>
        <v>INR</v>
      </c>
      <c r="AJ65">
        <f t="shared" si="2"/>
        <v>4</v>
      </c>
      <c r="AK65">
        <f t="shared" si="11"/>
        <v>4</v>
      </c>
      <c r="AL65" t="str">
        <f t="shared" si="12"/>
        <v>April</v>
      </c>
      <c r="AM65">
        <f t="shared" si="13"/>
        <v>2023</v>
      </c>
      <c r="AN65" t="str">
        <f t="shared" si="18"/>
        <v>30Jaysons Chemical Industries Vapi</v>
      </c>
      <c r="AO65">
        <f>IF(COUNTIF($AN$2:AN65, AN65)=1, 1, 0)</f>
        <v>0</v>
      </c>
      <c r="AP65" t="str">
        <f t="shared" si="14"/>
        <v>&gt;3</v>
      </c>
      <c r="AQ65" t="str">
        <f t="shared" si="15"/>
        <v>&lt;=3</v>
      </c>
      <c r="AR65" t="str">
        <f t="shared" si="16"/>
        <v>&gt;3</v>
      </c>
    </row>
    <row r="66" spans="1:44" x14ac:dyDescent="0.3">
      <c r="A66" t="s">
        <v>33</v>
      </c>
      <c r="B66" t="s">
        <v>157</v>
      </c>
      <c r="C66" t="s">
        <v>562</v>
      </c>
      <c r="D66">
        <v>1636</v>
      </c>
      <c r="E66">
        <v>23310058</v>
      </c>
      <c r="F66" t="s">
        <v>583</v>
      </c>
      <c r="G66" t="s">
        <v>159</v>
      </c>
      <c r="H66">
        <v>300</v>
      </c>
      <c r="I66">
        <v>270</v>
      </c>
      <c r="J66">
        <v>81000</v>
      </c>
      <c r="K66" t="str">
        <f>IFERROR(IF(B66&lt;&gt;"", TEXT(VLOOKUP(B66, 'Expected Date'!A:B, 2, FALSE) + DATE(RIGHT(C66,2),MID(C66,4,2),LEFT(C66,2)), "dd/mm/yy"), ""), "")</f>
        <v>10/05/23</v>
      </c>
      <c r="L66" t="s">
        <v>38</v>
      </c>
      <c r="M66" t="s">
        <v>48</v>
      </c>
      <c r="N66" t="s">
        <v>584</v>
      </c>
      <c r="O66" t="s">
        <v>209</v>
      </c>
      <c r="P66">
        <v>23390117</v>
      </c>
      <c r="Q66" t="s">
        <v>583</v>
      </c>
      <c r="R66" t="s">
        <v>159</v>
      </c>
      <c r="S66">
        <v>300</v>
      </c>
      <c r="T66">
        <v>270</v>
      </c>
      <c r="U66">
        <v>81000</v>
      </c>
      <c r="V66" t="str">
        <f t="shared" si="17"/>
        <v>Accepted</v>
      </c>
      <c r="W66">
        <f>IFERROR(VLOOKUP(N66, Payment_Terms!A:B, 2, FALSE), "Payment term not found!")</f>
        <v>0</v>
      </c>
      <c r="X66" t="str">
        <f>IFERROR(VLOOKUP(R66, Item_Category!A:B, 2, FALSE), "Uncategorized")</f>
        <v>Sodium salts</v>
      </c>
      <c r="Y66" s="5">
        <f>IFERROR(IF(AND(E66&lt;&gt;"", G66&lt;&gt;""), MAX(0, (H66-SUMIFS(S:S, E:E, E66, G:G, G66))/H66), ""), (H66-S66)/H66)</f>
        <v>0</v>
      </c>
      <c r="Z66">
        <f t="shared" si="5"/>
        <v>5</v>
      </c>
      <c r="AA66">
        <f t="shared" si="6"/>
        <v>-5</v>
      </c>
      <c r="AB66">
        <f t="shared" si="7"/>
        <v>5</v>
      </c>
      <c r="AC66" s="10">
        <f t="shared" si="8"/>
        <v>5</v>
      </c>
      <c r="AD66" s="5">
        <f t="shared" ref="AD66:AD129" si="19">IF(V66="Accepted",1,0)</f>
        <v>1</v>
      </c>
      <c r="AE66" s="5">
        <f t="shared" ref="AE66:AE129" si="20">ROUNDUP((SUMIFS(S:S, B:B, B66, V:V, "Accepted")/SUMIF(B:B,B66,S:S)),2)</f>
        <v>1</v>
      </c>
      <c r="AF66" s="5">
        <f t="shared" si="9"/>
        <v>0</v>
      </c>
      <c r="AG66">
        <f>IF(B66&lt;&gt;"", COUNTIFS($B$2:B66, B66), "")</f>
        <v>2</v>
      </c>
      <c r="AH66">
        <f t="shared" si="10"/>
        <v>5</v>
      </c>
      <c r="AI66" t="str">
        <f>VLOOKUP(B66, Currency!A:B, 2, FALSE)</f>
        <v>INR</v>
      </c>
      <c r="AJ66">
        <f t="shared" ref="AJ66:AJ129" si="21">_xlfn.CEILING.MATH(((0.4*AH66)+(0.3*Z66)+(0.3*AB66)),1)</f>
        <v>5</v>
      </c>
      <c r="AK66">
        <f t="shared" si="11"/>
        <v>4</v>
      </c>
      <c r="AL66" t="str">
        <f t="shared" si="12"/>
        <v>April</v>
      </c>
      <c r="AM66">
        <f t="shared" si="13"/>
        <v>2023</v>
      </c>
      <c r="AN66" t="str">
        <f t="shared" ref="AN66:AN97" si="22">W66&amp;B66</f>
        <v>0ZED CHEM PVT LTD</v>
      </c>
      <c r="AO66">
        <f>IF(COUNTIF($AN$2:AN66, AN66)=1, 1, 0)</f>
        <v>0</v>
      </c>
      <c r="AP66" t="str">
        <f t="shared" si="14"/>
        <v>&gt;3</v>
      </c>
      <c r="AQ66" t="str">
        <f t="shared" si="15"/>
        <v>&gt;3</v>
      </c>
      <c r="AR66" t="str">
        <f t="shared" si="16"/>
        <v>&gt;3</v>
      </c>
    </row>
    <row r="67" spans="1:44" x14ac:dyDescent="0.3">
      <c r="A67" t="s">
        <v>33</v>
      </c>
      <c r="B67" t="s">
        <v>557</v>
      </c>
      <c r="C67" t="s">
        <v>397</v>
      </c>
      <c r="D67">
        <v>1188</v>
      </c>
      <c r="E67">
        <v>23310010</v>
      </c>
      <c r="F67" t="s">
        <v>558</v>
      </c>
      <c r="G67" t="s">
        <v>384</v>
      </c>
      <c r="H67">
        <v>400</v>
      </c>
      <c r="I67">
        <v>99</v>
      </c>
      <c r="J67">
        <v>39600</v>
      </c>
      <c r="K67" t="str">
        <f>IFERROR(IF(B67&lt;&gt;"", TEXT(VLOOKUP(B67, 'Expected Date'!A:B, 2, FALSE) + DATE(RIGHT(C67,2),MID(C67,4,2),LEFT(C67,2)), "dd/mm/yy"), ""), "")</f>
        <v>15/04/23</v>
      </c>
      <c r="L67" t="s">
        <v>68</v>
      </c>
      <c r="M67" t="s">
        <v>48</v>
      </c>
      <c r="N67" t="s">
        <v>364</v>
      </c>
      <c r="O67" t="s">
        <v>442</v>
      </c>
      <c r="P67">
        <v>23390062</v>
      </c>
      <c r="Q67" t="s">
        <v>558</v>
      </c>
      <c r="R67" t="s">
        <v>559</v>
      </c>
      <c r="S67">
        <v>100</v>
      </c>
      <c r="T67">
        <v>99</v>
      </c>
      <c r="U67">
        <v>9900</v>
      </c>
      <c r="V67" t="str">
        <f t="shared" si="17"/>
        <v>Accepted</v>
      </c>
      <c r="W67">
        <f>IFERROR(VLOOKUP(N67, Payment_Terms!A:B, 2, FALSE), "Payment term not found!")</f>
        <v>30</v>
      </c>
      <c r="X67" t="str">
        <f>IFERROR(VLOOKUP(R67, Item_Category!A:B, 2, FALSE), "Uncategorized")</f>
        <v>Anhydrous Ammonia</v>
      </c>
      <c r="Y67" s="5">
        <f t="shared" si="4"/>
        <v>0.25</v>
      </c>
      <c r="Z67">
        <f t="shared" ref="Z67:Z130" si="23">IF(Y67&lt;=0%,5,(IF(AND(Y67&gt;0%,Y67&lt;=2%),4,IF(AND(Y67&gt;2%,Y67&lt;=5%),3,IF(AND(Y67&gt;5%,Y67&lt;10%),2,1)))))</f>
        <v>1</v>
      </c>
      <c r="AA67">
        <f t="shared" ref="AA67:AA130" si="24">DATE(RIGHT(O67,2),MID(O67,4,2),LEFT(O67,2)) - DATE(RIGHT(K67,2),MID(K67,4,2),LEFT(K67,2))</f>
        <v>10</v>
      </c>
      <c r="AB67">
        <f t="shared" ref="AB67:AB130" si="25">IF(AA67 &lt;= 2, 5, IF(AA67 &lt;= 4, 4, IF(AA67 &lt;= 7, 3, IF(AA67&lt;=10,2,1))))</f>
        <v>2</v>
      </c>
      <c r="AC67" s="10">
        <f t="shared" ref="AC67:AC130" si="26">ABS(DATE(RIGHT(O67,2),MID(O67,4,2),LEFT(O67,2)) - DATE(RIGHT(C67,2),MID(C67,4,2),LEFT(C67,2)))</f>
        <v>20</v>
      </c>
      <c r="AD67" s="5">
        <f t="shared" si="19"/>
        <v>1</v>
      </c>
      <c r="AE67" s="5">
        <f t="shared" si="20"/>
        <v>1</v>
      </c>
      <c r="AF67" s="5">
        <f t="shared" ref="AF67:AF130" si="27">ROUNDUP(ABS(100%-AE67),2)</f>
        <v>0</v>
      </c>
      <c r="AG67">
        <f>IF(B67&lt;&gt;"", COUNTIFS($B$2:B67, B67), "")</f>
        <v>7</v>
      </c>
      <c r="AH67">
        <f t="shared" ref="AH67:AH130" si="28">IF(AF67=0%,5,IF(AND(AF67&gt;0%,AF67&lt;=2%),4,IF(AND(AF67&gt;2%,AF67&lt;=5%),3,IF(AND(AF67&gt;5%,AF67&lt;10%),2,1))))</f>
        <v>5</v>
      </c>
      <c r="AI67" t="str">
        <f>VLOOKUP(B67, Currency!A:B, 2, FALSE)</f>
        <v>INR</v>
      </c>
      <c r="AJ67">
        <f t="shared" si="21"/>
        <v>3</v>
      </c>
      <c r="AK67">
        <f t="shared" ref="AK67:AK130" si="29">MONTH(DATE(RIGHT(C67,2),MID(C67,4,2),LEFT(C67,2)))</f>
        <v>4</v>
      </c>
      <c r="AL67" t="str">
        <f t="shared" ref="AL67:AL130" si="30">TEXT(DATE(RIGHT(C67,2),MID(C67,4,2),LEFT(C67,2)),"mmmm")</f>
        <v>April</v>
      </c>
      <c r="AM67">
        <f t="shared" ref="AM67:AM130" si="31">YEAR(DATE(VALUE(MID(C67,7,2))+2000, MID(C67,4,2), MID(C67,1,2)))</f>
        <v>2023</v>
      </c>
      <c r="AN67" t="str">
        <f t="shared" si="22"/>
        <v>30Jaysons Chemical Industries Vapi</v>
      </c>
      <c r="AO67">
        <f>IF(COUNTIF($AN$2:AN67, AN67)=1, 1, 0)</f>
        <v>0</v>
      </c>
      <c r="AP67" t="str">
        <f t="shared" ref="AP67:AP130" si="32">IF(AH67&lt;=3,"&lt;=3","&gt;3")</f>
        <v>&gt;3</v>
      </c>
      <c r="AQ67" t="str">
        <f t="shared" ref="AQ67:AQ130" si="33">IF(Z67&lt;=3,"&lt;=3","&gt;3")</f>
        <v>&lt;=3</v>
      </c>
      <c r="AR67" t="str">
        <f t="shared" ref="AR67:AR130" si="34">IF(AB67&lt;=3,"&lt;=3","&gt;3")</f>
        <v>&lt;=3</v>
      </c>
    </row>
    <row r="68" spans="1:44" x14ac:dyDescent="0.3">
      <c r="A68" t="s">
        <v>33</v>
      </c>
      <c r="B68" t="s">
        <v>385</v>
      </c>
      <c r="C68" t="s">
        <v>70</v>
      </c>
      <c r="D68">
        <v>1525</v>
      </c>
      <c r="E68">
        <v>23310042</v>
      </c>
      <c r="F68" t="s">
        <v>552</v>
      </c>
      <c r="G68" t="s">
        <v>373</v>
      </c>
      <c r="H68">
        <v>50</v>
      </c>
      <c r="I68">
        <v>250</v>
      </c>
      <c r="J68">
        <v>12500</v>
      </c>
      <c r="K68" t="str">
        <f>IFERROR(IF(B68&lt;&gt;"", TEXT(VLOOKUP(B68, 'Expected Date'!A:B, 2, FALSE) + DATE(RIGHT(C68,2),MID(C68,4,2),LEFT(C68,2)), "dd/mm/yy"), ""), "")</f>
        <v>04/05/23</v>
      </c>
      <c r="L68" t="s">
        <v>68</v>
      </c>
      <c r="M68" t="s">
        <v>48</v>
      </c>
      <c r="N68" t="s">
        <v>342</v>
      </c>
      <c r="O68" t="s">
        <v>239</v>
      </c>
      <c r="P68">
        <v>23390184</v>
      </c>
      <c r="Q68" t="s">
        <v>552</v>
      </c>
      <c r="R68" t="s">
        <v>553</v>
      </c>
      <c r="S68">
        <v>11.15</v>
      </c>
      <c r="T68">
        <v>250</v>
      </c>
      <c r="U68">
        <v>2787.5</v>
      </c>
      <c r="V68" t="str">
        <f t="shared" ref="V68:V131" si="35">V67</f>
        <v>Accepted</v>
      </c>
      <c r="W68">
        <f>IFERROR(VLOOKUP(N68, Payment_Terms!A:B, 2, FALSE), "Payment term not found!")</f>
        <v>30</v>
      </c>
      <c r="X68" t="str">
        <f>IFERROR(VLOOKUP(R68, Item_Category!A:B, 2, FALSE), "Uncategorized")</f>
        <v>HCL</v>
      </c>
      <c r="Y68" s="5">
        <f t="shared" ref="Y68:Y91" si="36">IFERROR(IF(AND(E68&lt;&gt;"", G68&lt;&gt;""), MAX(0, (H68-SUMIFS(S:S, E:E, E68, G:G, G68))/H68), ""), (H68-S68)/H68)</f>
        <v>0.32900000000000007</v>
      </c>
      <c r="Z68">
        <f t="shared" si="23"/>
        <v>1</v>
      </c>
      <c r="AA68">
        <f t="shared" si="24"/>
        <v>20</v>
      </c>
      <c r="AB68">
        <f t="shared" si="25"/>
        <v>1</v>
      </c>
      <c r="AC68" s="10">
        <f t="shared" si="26"/>
        <v>30</v>
      </c>
      <c r="AD68" s="5">
        <f t="shared" si="19"/>
        <v>1</v>
      </c>
      <c r="AE68" s="5">
        <f t="shared" si="20"/>
        <v>1</v>
      </c>
      <c r="AF68" s="5">
        <f t="shared" si="27"/>
        <v>0</v>
      </c>
      <c r="AG68">
        <f>IF(B68&lt;&gt;"", COUNTIFS($B$2:B68, B68), "")</f>
        <v>2</v>
      </c>
      <c r="AH68">
        <f t="shared" si="28"/>
        <v>5</v>
      </c>
      <c r="AI68" t="str">
        <f>VLOOKUP(B68, Currency!A:B, 2, FALSE)</f>
        <v>INR</v>
      </c>
      <c r="AJ68">
        <f t="shared" si="21"/>
        <v>3</v>
      </c>
      <c r="AK68">
        <f t="shared" si="29"/>
        <v>4</v>
      </c>
      <c r="AL68" t="str">
        <f t="shared" si="30"/>
        <v>April</v>
      </c>
      <c r="AM68">
        <f t="shared" si="31"/>
        <v>2023</v>
      </c>
      <c r="AN68" t="str">
        <f t="shared" si="22"/>
        <v>30Duttchem Enterprise</v>
      </c>
      <c r="AO68">
        <f>IF(COUNTIF($AN$2:AN68, AN68)=1, 1, 0)</f>
        <v>0</v>
      </c>
      <c r="AP68" t="str">
        <f t="shared" si="32"/>
        <v>&gt;3</v>
      </c>
      <c r="AQ68" t="str">
        <f t="shared" si="33"/>
        <v>&lt;=3</v>
      </c>
      <c r="AR68" t="str">
        <f t="shared" si="34"/>
        <v>&lt;=3</v>
      </c>
    </row>
    <row r="69" spans="1:44" x14ac:dyDescent="0.3">
      <c r="A69" t="str">
        <f>A31</f>
        <v>Woodpulp</v>
      </c>
      <c r="B69" t="s">
        <v>580</v>
      </c>
      <c r="C69" t="s">
        <v>108</v>
      </c>
      <c r="D69">
        <v>1805</v>
      </c>
      <c r="E69">
        <v>23320011</v>
      </c>
      <c r="F69" t="s">
        <v>575</v>
      </c>
      <c r="G69" t="s">
        <v>291</v>
      </c>
      <c r="H69">
        <v>100</v>
      </c>
      <c r="I69">
        <v>57426</v>
      </c>
      <c r="J69">
        <v>5742600</v>
      </c>
      <c r="K69" t="str">
        <f>IFERROR(IF(B69&lt;&gt;"", TEXT(VLOOKUP(B69, 'Expected Date'!A:B, 2, FALSE) + DATE(RIGHT(C69,2),MID(C69,4,2),LEFT(C69,2)), "dd/mm/yy"), ""), "")</f>
        <v>09/06/23</v>
      </c>
      <c r="L69" t="s">
        <v>38</v>
      </c>
      <c r="M69" t="str">
        <f>M20</f>
        <v>MT</v>
      </c>
      <c r="N69" t="s">
        <v>292</v>
      </c>
      <c r="O69" t="s">
        <v>108</v>
      </c>
      <c r="P69">
        <v>23390151</v>
      </c>
      <c r="Q69" t="s">
        <v>575</v>
      </c>
      <c r="R69" t="s">
        <v>291</v>
      </c>
      <c r="S69">
        <v>24.238</v>
      </c>
      <c r="T69">
        <v>57430</v>
      </c>
      <c r="U69">
        <v>1391988.34</v>
      </c>
      <c r="V69" t="str">
        <f t="shared" si="35"/>
        <v>Accepted</v>
      </c>
      <c r="W69">
        <f>IFERROR(VLOOKUP(N69, Payment_Terms!A:B, 2, FALSE), "Payment term not found!")</f>
        <v>0</v>
      </c>
      <c r="X69" t="str">
        <f>IFERROR(VLOOKUP(R69, Item_Category!A:B, 2, FALSE), "Uncategorized")</f>
        <v>Wood pulp</v>
      </c>
      <c r="Y69" s="5">
        <f t="shared" si="36"/>
        <v>0</v>
      </c>
      <c r="Z69">
        <f t="shared" si="23"/>
        <v>5</v>
      </c>
      <c r="AA69">
        <f t="shared" si="24"/>
        <v>-30</v>
      </c>
      <c r="AB69">
        <f t="shared" si="25"/>
        <v>5</v>
      </c>
      <c r="AC69" s="10">
        <f t="shared" si="26"/>
        <v>0</v>
      </c>
      <c r="AD69" s="5">
        <f t="shared" si="19"/>
        <v>1</v>
      </c>
      <c r="AE69" s="5">
        <f t="shared" si="20"/>
        <v>1</v>
      </c>
      <c r="AF69" s="5">
        <f t="shared" si="27"/>
        <v>0</v>
      </c>
      <c r="AG69">
        <f>IF(B69&lt;&gt;"", COUNTIFS($B$2:B69, B69), "")</f>
        <v>3</v>
      </c>
      <c r="AH69">
        <f t="shared" si="28"/>
        <v>5</v>
      </c>
      <c r="AI69" t="str">
        <f>VLOOKUP(B69, Currency!A:B, 2, FALSE)</f>
        <v>INR</v>
      </c>
      <c r="AJ69">
        <f t="shared" si="21"/>
        <v>5</v>
      </c>
      <c r="AK69">
        <f t="shared" si="29"/>
        <v>5</v>
      </c>
      <c r="AL69" t="str">
        <f t="shared" si="30"/>
        <v>May</v>
      </c>
      <c r="AM69">
        <f t="shared" si="31"/>
        <v>2023</v>
      </c>
      <c r="AN69" t="str">
        <f t="shared" si="22"/>
        <v>0Dhanalaxmi Roto Spinners Ltd</v>
      </c>
      <c r="AO69">
        <f>IF(COUNTIF($AN$2:AN69, AN69)=1, 1, 0)</f>
        <v>0</v>
      </c>
      <c r="AP69" t="str">
        <f t="shared" si="32"/>
        <v>&gt;3</v>
      </c>
      <c r="AQ69" t="str">
        <f t="shared" si="33"/>
        <v>&gt;3</v>
      </c>
      <c r="AR69" t="str">
        <f t="shared" si="34"/>
        <v>&gt;3</v>
      </c>
    </row>
    <row r="70" spans="1:44" x14ac:dyDescent="0.3">
      <c r="A70" t="s">
        <v>95</v>
      </c>
      <c r="B70" t="s">
        <v>140</v>
      </c>
      <c r="C70" t="s">
        <v>70</v>
      </c>
      <c r="D70">
        <v>1466</v>
      </c>
      <c r="E70">
        <v>23320009</v>
      </c>
      <c r="F70" t="s">
        <v>571</v>
      </c>
      <c r="G70" t="s">
        <v>360</v>
      </c>
      <c r="H70">
        <v>75</v>
      </c>
      <c r="I70">
        <v>830</v>
      </c>
      <c r="J70">
        <v>5067150</v>
      </c>
      <c r="K70" t="str">
        <f>IFERROR(IF(B70&lt;&gt;"", TEXT(VLOOKUP(B70, 'Expected Date'!A:B, 2, FALSE) + DATE(RIGHT(C70,2),MID(C70,4,2),LEFT(C70,2)), "dd/mm/yy"), ""), "")</f>
        <v>08/06/23</v>
      </c>
      <c r="L70" t="s">
        <v>68</v>
      </c>
      <c r="M70" t="str">
        <f>M20</f>
        <v>MT</v>
      </c>
      <c r="N70" t="s">
        <v>144</v>
      </c>
      <c r="O70" t="s">
        <v>84</v>
      </c>
      <c r="P70">
        <v>23390067</v>
      </c>
      <c r="Q70" t="s">
        <v>571</v>
      </c>
      <c r="R70" t="s">
        <v>143</v>
      </c>
      <c r="S70">
        <v>74.763999999999996</v>
      </c>
      <c r="T70">
        <v>830</v>
      </c>
      <c r="U70">
        <v>5051205.37</v>
      </c>
      <c r="V70" t="str">
        <f t="shared" si="35"/>
        <v>Accepted</v>
      </c>
      <c r="W70">
        <f>IFERROR(VLOOKUP(N70, Payment_Terms!A:B, 2, FALSE), "Payment term not found!")</f>
        <v>30</v>
      </c>
      <c r="X70" t="str">
        <f>IFERROR(VLOOKUP(R70, Item_Category!A:B, 2, FALSE), "Uncategorized")</f>
        <v>Wood pulp</v>
      </c>
      <c r="Y70" s="5">
        <f t="shared" si="36"/>
        <v>3.1466666666667229E-3</v>
      </c>
      <c r="Z70">
        <f t="shared" si="23"/>
        <v>4</v>
      </c>
      <c r="AA70">
        <f t="shared" si="24"/>
        <v>-48</v>
      </c>
      <c r="AB70">
        <f t="shared" si="25"/>
        <v>5</v>
      </c>
      <c r="AC70" s="10">
        <f t="shared" si="26"/>
        <v>3</v>
      </c>
      <c r="AD70" s="5">
        <f t="shared" si="19"/>
        <v>1</v>
      </c>
      <c r="AE70" s="5">
        <f t="shared" si="20"/>
        <v>1</v>
      </c>
      <c r="AF70" s="5">
        <f t="shared" si="27"/>
        <v>0</v>
      </c>
      <c r="AG70">
        <f>IF(B70&lt;&gt;"", COUNTIFS($B$2:B70, B70), "")</f>
        <v>1</v>
      </c>
      <c r="AH70">
        <f t="shared" si="28"/>
        <v>5</v>
      </c>
      <c r="AI70" t="str">
        <f>VLOOKUP(B70, Currency!A:B, 2, FALSE)</f>
        <v>USD</v>
      </c>
      <c r="AJ70">
        <f t="shared" si="21"/>
        <v>5</v>
      </c>
      <c r="AK70">
        <f t="shared" si="29"/>
        <v>4</v>
      </c>
      <c r="AL70" t="str">
        <f t="shared" si="30"/>
        <v>April</v>
      </c>
      <c r="AM70">
        <f t="shared" si="31"/>
        <v>2023</v>
      </c>
      <c r="AN70" t="str">
        <f t="shared" si="22"/>
        <v>30Sappi Paper Holdings GMBH</v>
      </c>
      <c r="AO70">
        <f>IF(COUNTIF($AN$2:AN70, AN70)=1, 1, 0)</f>
        <v>1</v>
      </c>
      <c r="AP70" t="str">
        <f t="shared" si="32"/>
        <v>&gt;3</v>
      </c>
      <c r="AQ70" t="str">
        <f t="shared" si="33"/>
        <v>&gt;3</v>
      </c>
      <c r="AR70" t="str">
        <f t="shared" si="34"/>
        <v>&gt;3</v>
      </c>
    </row>
    <row r="71" spans="1:44" x14ac:dyDescent="0.3">
      <c r="A71" t="s">
        <v>33</v>
      </c>
      <c r="B71" t="s">
        <v>557</v>
      </c>
      <c r="C71" t="s">
        <v>562</v>
      </c>
      <c r="D71">
        <v>1637</v>
      </c>
      <c r="E71">
        <v>23310059</v>
      </c>
      <c r="F71" t="s">
        <v>558</v>
      </c>
      <c r="G71" t="s">
        <v>384</v>
      </c>
      <c r="H71">
        <v>400</v>
      </c>
      <c r="I71">
        <v>99</v>
      </c>
      <c r="J71">
        <v>39600</v>
      </c>
      <c r="K71" t="str">
        <f>IFERROR(IF(B71&lt;&gt;"", TEXT(VLOOKUP(B71, 'Expected Date'!A:B, 2, FALSE) + DATE(RIGHT(C71,2),MID(C71,4,2),LEFT(C71,2)), "dd/mm/yy"), ""), "")</f>
        <v>10/05/23</v>
      </c>
      <c r="L71" t="s">
        <v>38</v>
      </c>
      <c r="M71" t="s">
        <v>48</v>
      </c>
      <c r="N71" t="s">
        <v>364</v>
      </c>
      <c r="O71" t="s">
        <v>223</v>
      </c>
      <c r="P71">
        <v>23390156</v>
      </c>
      <c r="Q71" t="s">
        <v>558</v>
      </c>
      <c r="R71" t="s">
        <v>559</v>
      </c>
      <c r="S71">
        <v>100</v>
      </c>
      <c r="T71">
        <v>99</v>
      </c>
      <c r="U71">
        <v>9900</v>
      </c>
      <c r="V71" t="str">
        <f t="shared" si="35"/>
        <v>Accepted</v>
      </c>
      <c r="W71">
        <f>IFERROR(VLOOKUP(N71, Payment_Terms!A:B, 2, FALSE), "Payment term not found!")</f>
        <v>30</v>
      </c>
      <c r="X71" t="str">
        <f>IFERROR(VLOOKUP(R71, Item_Category!A:B, 2, FALSE), "Uncategorized")</f>
        <v>Anhydrous Ammonia</v>
      </c>
      <c r="Y71" s="5">
        <f t="shared" si="36"/>
        <v>0</v>
      </c>
      <c r="Z71">
        <f t="shared" si="23"/>
        <v>5</v>
      </c>
      <c r="AA71">
        <f t="shared" si="24"/>
        <v>7</v>
      </c>
      <c r="AB71">
        <f t="shared" si="25"/>
        <v>3</v>
      </c>
      <c r="AC71" s="10">
        <f t="shared" si="26"/>
        <v>17</v>
      </c>
      <c r="AD71" s="5">
        <f t="shared" si="19"/>
        <v>1</v>
      </c>
      <c r="AE71" s="5">
        <f t="shared" si="20"/>
        <v>1</v>
      </c>
      <c r="AF71" s="5">
        <f t="shared" si="27"/>
        <v>0</v>
      </c>
      <c r="AG71">
        <f>IF(B71&lt;&gt;"", COUNTIFS($B$2:B71, B71), "")</f>
        <v>8</v>
      </c>
      <c r="AH71">
        <f t="shared" si="28"/>
        <v>5</v>
      </c>
      <c r="AI71" t="str">
        <f>VLOOKUP(B71, Currency!A:B, 2, FALSE)</f>
        <v>INR</v>
      </c>
      <c r="AJ71">
        <f t="shared" si="21"/>
        <v>5</v>
      </c>
      <c r="AK71">
        <f t="shared" si="29"/>
        <v>4</v>
      </c>
      <c r="AL71" t="str">
        <f t="shared" si="30"/>
        <v>April</v>
      </c>
      <c r="AM71">
        <f t="shared" si="31"/>
        <v>2023</v>
      </c>
      <c r="AN71" t="str">
        <f t="shared" si="22"/>
        <v>30Jaysons Chemical Industries Vapi</v>
      </c>
      <c r="AO71">
        <f>IF(COUNTIF($AN$2:AN71, AN71)=1, 1, 0)</f>
        <v>0</v>
      </c>
      <c r="AP71" t="str">
        <f t="shared" si="32"/>
        <v>&gt;3</v>
      </c>
      <c r="AQ71" t="str">
        <f t="shared" si="33"/>
        <v>&gt;3</v>
      </c>
      <c r="AR71" t="str">
        <f t="shared" si="34"/>
        <v>&lt;=3</v>
      </c>
    </row>
    <row r="72" spans="1:44" x14ac:dyDescent="0.3">
      <c r="A72" t="s">
        <v>33</v>
      </c>
      <c r="B72" t="s">
        <v>513</v>
      </c>
      <c r="C72" t="s">
        <v>354</v>
      </c>
      <c r="D72">
        <v>2797</v>
      </c>
      <c r="E72">
        <v>23310216</v>
      </c>
      <c r="F72" t="s">
        <v>563</v>
      </c>
      <c r="G72" t="s">
        <v>515</v>
      </c>
      <c r="H72">
        <v>2500</v>
      </c>
      <c r="I72">
        <v>26</v>
      </c>
      <c r="J72">
        <v>65000</v>
      </c>
      <c r="K72" t="str">
        <f>IFERROR(IF(B72&lt;&gt;"", TEXT(VLOOKUP(B72, 'Expected Date'!A:B, 2, FALSE) + DATE(RIGHT(C72,2),MID(C72,4,2),LEFT(C72,2)), "dd/mm/yy"), ""), "")</f>
        <v>05/07/23</v>
      </c>
      <c r="L72" t="s">
        <v>38</v>
      </c>
      <c r="M72" t="s">
        <v>48</v>
      </c>
      <c r="N72" t="s">
        <v>342</v>
      </c>
      <c r="O72" t="s">
        <v>117</v>
      </c>
      <c r="P72">
        <v>23390298</v>
      </c>
      <c r="Q72" t="s">
        <v>563</v>
      </c>
      <c r="R72" t="s">
        <v>564</v>
      </c>
      <c r="S72">
        <v>1000</v>
      </c>
      <c r="T72">
        <v>26</v>
      </c>
      <c r="U72">
        <v>26000</v>
      </c>
      <c r="V72" t="str">
        <f t="shared" si="35"/>
        <v>Accepted</v>
      </c>
      <c r="W72">
        <f>IFERROR(VLOOKUP(N72, Payment_Terms!A:B, 2, FALSE), "Payment term not found!")</f>
        <v>30</v>
      </c>
      <c r="X72" t="str">
        <f>IFERROR(VLOOKUP(R72, Item_Category!A:B, 2, FALSE), "Uncategorized")</f>
        <v xml:space="preserve">Caustic Soda </v>
      </c>
      <c r="Y72" s="5">
        <f t="shared" si="36"/>
        <v>0</v>
      </c>
      <c r="Z72">
        <f t="shared" si="23"/>
        <v>5</v>
      </c>
      <c r="AA72">
        <f t="shared" si="24"/>
        <v>2</v>
      </c>
      <c r="AB72">
        <f t="shared" si="25"/>
        <v>5</v>
      </c>
      <c r="AC72" s="10">
        <f t="shared" si="26"/>
        <v>4</v>
      </c>
      <c r="AD72" s="5">
        <f t="shared" si="19"/>
        <v>1</v>
      </c>
      <c r="AE72" s="5">
        <f t="shared" si="20"/>
        <v>1</v>
      </c>
      <c r="AF72" s="5">
        <f t="shared" si="27"/>
        <v>0</v>
      </c>
      <c r="AG72">
        <f>IF(B72&lt;&gt;"", COUNTIFS($B$2:B72, B72), "")</f>
        <v>7</v>
      </c>
      <c r="AH72">
        <f t="shared" si="28"/>
        <v>5</v>
      </c>
      <c r="AI72" t="str">
        <f>VLOOKUP(B72, Currency!A:B, 2, FALSE)</f>
        <v>INR</v>
      </c>
      <c r="AJ72">
        <f t="shared" si="21"/>
        <v>5</v>
      </c>
      <c r="AK72">
        <f t="shared" si="29"/>
        <v>7</v>
      </c>
      <c r="AL72" t="str">
        <f t="shared" si="30"/>
        <v>July</v>
      </c>
      <c r="AM72">
        <f t="shared" si="31"/>
        <v>2023</v>
      </c>
      <c r="AN72" t="str">
        <f t="shared" si="22"/>
        <v>30J.K.Marketing</v>
      </c>
      <c r="AO72">
        <f>IF(COUNTIF($AN$2:AN72, AN72)=1, 1, 0)</f>
        <v>0</v>
      </c>
      <c r="AP72" t="str">
        <f t="shared" si="32"/>
        <v>&gt;3</v>
      </c>
      <c r="AQ72" t="str">
        <f t="shared" si="33"/>
        <v>&gt;3</v>
      </c>
      <c r="AR72" t="str">
        <f t="shared" si="34"/>
        <v>&gt;3</v>
      </c>
    </row>
    <row r="73" spans="1:44" x14ac:dyDescent="0.3">
      <c r="A73" t="s">
        <v>33</v>
      </c>
      <c r="B73" t="s">
        <v>157</v>
      </c>
      <c r="C73" t="s">
        <v>57</v>
      </c>
      <c r="D73">
        <v>3522</v>
      </c>
      <c r="E73">
        <v>23310274</v>
      </c>
      <c r="F73" t="s">
        <v>583</v>
      </c>
      <c r="G73" t="s">
        <v>159</v>
      </c>
      <c r="H73">
        <v>400</v>
      </c>
      <c r="I73">
        <v>270</v>
      </c>
      <c r="J73">
        <v>108000</v>
      </c>
      <c r="K73" t="str">
        <f>IFERROR(IF(B73&lt;&gt;"", TEXT(VLOOKUP(B73, 'Expected Date'!A:B, 2, FALSE) + DATE(RIGHT(C73,2),MID(C73,4,2),LEFT(C73,2)), "dd/mm/yy"), ""), "")</f>
        <v>13/08/23</v>
      </c>
      <c r="L73" t="s">
        <v>38</v>
      </c>
      <c r="M73" t="s">
        <v>48</v>
      </c>
      <c r="N73" t="s">
        <v>584</v>
      </c>
      <c r="O73" t="s">
        <v>221</v>
      </c>
      <c r="P73">
        <v>23390461</v>
      </c>
      <c r="Q73" t="s">
        <v>583</v>
      </c>
      <c r="R73" t="s">
        <v>159</v>
      </c>
      <c r="S73">
        <v>400</v>
      </c>
      <c r="T73">
        <v>270</v>
      </c>
      <c r="U73">
        <v>108000</v>
      </c>
      <c r="V73" t="str">
        <f t="shared" si="35"/>
        <v>Accepted</v>
      </c>
      <c r="W73">
        <f>IFERROR(VLOOKUP(N73, Payment_Terms!A:B, 2, FALSE), "Payment term not found!")</f>
        <v>0</v>
      </c>
      <c r="X73" t="str">
        <f>IFERROR(VLOOKUP(R73, Item_Category!A:B, 2, FALSE), "Uncategorized")</f>
        <v>Sodium salts</v>
      </c>
      <c r="Y73" s="5">
        <f t="shared" si="36"/>
        <v>0</v>
      </c>
      <c r="Z73">
        <f t="shared" si="23"/>
        <v>5</v>
      </c>
      <c r="AA73">
        <f t="shared" si="24"/>
        <v>8</v>
      </c>
      <c r="AB73">
        <f t="shared" si="25"/>
        <v>2</v>
      </c>
      <c r="AC73" s="10">
        <f t="shared" si="26"/>
        <v>18</v>
      </c>
      <c r="AD73" s="5">
        <f t="shared" si="19"/>
        <v>1</v>
      </c>
      <c r="AE73" s="5">
        <f t="shared" si="20"/>
        <v>1</v>
      </c>
      <c r="AF73" s="5">
        <f t="shared" si="27"/>
        <v>0</v>
      </c>
      <c r="AG73">
        <f>IF(B73&lt;&gt;"", COUNTIFS($B$2:B73, B73), "")</f>
        <v>3</v>
      </c>
      <c r="AH73">
        <f t="shared" si="28"/>
        <v>5</v>
      </c>
      <c r="AI73" t="str">
        <f>VLOOKUP(B73, Currency!A:B, 2, FALSE)</f>
        <v>INR</v>
      </c>
      <c r="AJ73">
        <f t="shared" si="21"/>
        <v>5</v>
      </c>
      <c r="AK73">
        <f t="shared" si="29"/>
        <v>8</v>
      </c>
      <c r="AL73" t="str">
        <f t="shared" si="30"/>
        <v>August</v>
      </c>
      <c r="AM73">
        <f t="shared" si="31"/>
        <v>2023</v>
      </c>
      <c r="AN73" t="str">
        <f t="shared" si="22"/>
        <v>0ZED CHEM PVT LTD</v>
      </c>
      <c r="AO73">
        <f>IF(COUNTIF($AN$2:AN73, AN73)=1, 1, 0)</f>
        <v>0</v>
      </c>
      <c r="AP73" t="str">
        <f t="shared" si="32"/>
        <v>&gt;3</v>
      </c>
      <c r="AQ73" t="str">
        <f t="shared" si="33"/>
        <v>&gt;3</v>
      </c>
      <c r="AR73" t="str">
        <f t="shared" si="34"/>
        <v>&lt;=3</v>
      </c>
    </row>
    <row r="74" spans="1:44" x14ac:dyDescent="0.3">
      <c r="A74" t="s">
        <v>33</v>
      </c>
      <c r="B74" t="str">
        <f>B63</f>
        <v>Ami Enterprises</v>
      </c>
      <c r="C74" t="s">
        <v>394</v>
      </c>
      <c r="D74">
        <v>3946</v>
      </c>
      <c r="E74">
        <v>23310315</v>
      </c>
      <c r="F74" t="s">
        <v>572</v>
      </c>
      <c r="G74" t="s">
        <v>595</v>
      </c>
      <c r="H74">
        <v>2500</v>
      </c>
      <c r="I74">
        <v>33.5</v>
      </c>
      <c r="J74">
        <v>83750</v>
      </c>
      <c r="K74" t="str">
        <f>IFERROR(IF(B74&lt;&gt;"", TEXT(VLOOKUP(B74, 'Expected Date'!A:B, 2, FALSE) + DATE(RIGHT(C74,2),MID(C74,4,2),LEFT(C74,2)), "dd/mm/yy"), ""), "")</f>
        <v>27/08/23</v>
      </c>
      <c r="L74" t="s">
        <v>68</v>
      </c>
      <c r="M74" t="s">
        <v>39</v>
      </c>
      <c r="N74" t="s">
        <v>318</v>
      </c>
      <c r="O74" t="s">
        <v>501</v>
      </c>
      <c r="P74">
        <v>23390463</v>
      </c>
      <c r="Q74" t="s">
        <v>572</v>
      </c>
      <c r="R74" t="s">
        <v>573</v>
      </c>
      <c r="S74">
        <v>2001</v>
      </c>
      <c r="T74">
        <v>33.5</v>
      </c>
      <c r="U74">
        <v>67033.5</v>
      </c>
      <c r="V74" t="str">
        <f t="shared" si="35"/>
        <v>Accepted</v>
      </c>
      <c r="W74">
        <f>IFERROR(VLOOKUP(N74, Payment_Terms!A:B, 2, FALSE), "Payment term not found!")</f>
        <v>30</v>
      </c>
      <c r="X74" t="str">
        <f>IFERROR(VLOOKUP(R74, Item_Category!A:B, 2, FALSE), "Uncategorized")</f>
        <v>Bags</v>
      </c>
      <c r="Y74" s="5">
        <f t="shared" si="36"/>
        <v>0</v>
      </c>
      <c r="Z74">
        <f t="shared" si="23"/>
        <v>5</v>
      </c>
      <c r="AA74">
        <f t="shared" si="24"/>
        <v>-7</v>
      </c>
      <c r="AB74">
        <f t="shared" si="25"/>
        <v>5</v>
      </c>
      <c r="AC74" s="10">
        <f t="shared" si="26"/>
        <v>3</v>
      </c>
      <c r="AD74" s="5">
        <f t="shared" si="19"/>
        <v>1</v>
      </c>
      <c r="AE74" s="5">
        <f t="shared" si="20"/>
        <v>1</v>
      </c>
      <c r="AF74" s="5">
        <f t="shared" si="27"/>
        <v>0</v>
      </c>
      <c r="AG74">
        <f>IF(B74&lt;&gt;"", COUNTIFS($B$2:B74, B74), "")</f>
        <v>7</v>
      </c>
      <c r="AH74">
        <f t="shared" si="28"/>
        <v>5</v>
      </c>
      <c r="AI74" t="str">
        <f>VLOOKUP(B74, Currency!A:B, 2, FALSE)</f>
        <v>INR</v>
      </c>
      <c r="AJ74">
        <f t="shared" si="21"/>
        <v>5</v>
      </c>
      <c r="AK74">
        <f t="shared" si="29"/>
        <v>8</v>
      </c>
      <c r="AL74" t="str">
        <f t="shared" si="30"/>
        <v>August</v>
      </c>
      <c r="AM74">
        <f t="shared" si="31"/>
        <v>2023</v>
      </c>
      <c r="AN74" t="str">
        <f t="shared" si="22"/>
        <v>30Ami Enterprises</v>
      </c>
      <c r="AO74">
        <f>IF(COUNTIF($AN$2:AN74, AN74)=1, 1, 0)</f>
        <v>0</v>
      </c>
      <c r="AP74" t="str">
        <f t="shared" si="32"/>
        <v>&gt;3</v>
      </c>
      <c r="AQ74" t="str">
        <f t="shared" si="33"/>
        <v>&gt;3</v>
      </c>
      <c r="AR74" t="str">
        <f t="shared" si="34"/>
        <v>&gt;3</v>
      </c>
    </row>
    <row r="75" spans="1:44" x14ac:dyDescent="0.3">
      <c r="A75" t="s">
        <v>33</v>
      </c>
      <c r="B75" t="s">
        <v>366</v>
      </c>
      <c r="C75" t="s">
        <v>272</v>
      </c>
      <c r="D75">
        <v>4656</v>
      </c>
      <c r="E75">
        <v>23310387</v>
      </c>
      <c r="F75" t="s">
        <v>569</v>
      </c>
      <c r="G75" t="s">
        <v>570</v>
      </c>
      <c r="H75">
        <v>100</v>
      </c>
      <c r="I75">
        <v>9800</v>
      </c>
      <c r="J75">
        <v>980000</v>
      </c>
      <c r="K75" t="str">
        <f>IFERROR(IF(B75&lt;&gt;"", TEXT(VLOOKUP(B75, 'Expected Date'!A:B, 2, FALSE) + DATE(RIGHT(C75,2),MID(C75,4,2),LEFT(C75,2)), "dd/mm/yy"), ""), "")</f>
        <v>27/09/23</v>
      </c>
      <c r="L75" t="s">
        <v>38</v>
      </c>
      <c r="M75" t="s">
        <v>48</v>
      </c>
      <c r="N75" t="s">
        <v>574</v>
      </c>
      <c r="O75" t="s">
        <v>247</v>
      </c>
      <c r="P75">
        <v>23390640</v>
      </c>
      <c r="Q75" t="s">
        <v>569</v>
      </c>
      <c r="R75" t="s">
        <v>570</v>
      </c>
      <c r="S75">
        <v>29.33</v>
      </c>
      <c r="T75">
        <v>9800</v>
      </c>
      <c r="U75">
        <v>287434</v>
      </c>
      <c r="V75" t="str">
        <f t="shared" si="35"/>
        <v>Accepted</v>
      </c>
      <c r="W75">
        <f>IFERROR(VLOOKUP(N75, Payment_Terms!A:B, 2, FALSE), "Payment term not found!")</f>
        <v>0</v>
      </c>
      <c r="X75" t="str">
        <f>IFERROR(VLOOKUP(R75, Item_Category!A:B, 2, FALSE), "Uncategorized")</f>
        <v>Coal materials</v>
      </c>
      <c r="Y75" s="5">
        <f t="shared" si="36"/>
        <v>0</v>
      </c>
      <c r="Z75">
        <f t="shared" si="23"/>
        <v>5</v>
      </c>
      <c r="AA75">
        <f t="shared" si="24"/>
        <v>8</v>
      </c>
      <c r="AB75">
        <f t="shared" si="25"/>
        <v>2</v>
      </c>
      <c r="AC75" s="10">
        <f t="shared" si="26"/>
        <v>10</v>
      </c>
      <c r="AD75" s="5">
        <f t="shared" si="19"/>
        <v>1</v>
      </c>
      <c r="AE75" s="5">
        <f t="shared" si="20"/>
        <v>1</v>
      </c>
      <c r="AF75" s="5">
        <f t="shared" si="27"/>
        <v>0</v>
      </c>
      <c r="AG75">
        <f>IF(B75&lt;&gt;"", COUNTIFS($B$2:B75, B75), "")</f>
        <v>8</v>
      </c>
      <c r="AH75">
        <f t="shared" si="28"/>
        <v>5</v>
      </c>
      <c r="AI75" t="str">
        <f>VLOOKUP(B75, Currency!A:B, 2, FALSE)</f>
        <v>INR</v>
      </c>
      <c r="AJ75">
        <f t="shared" si="21"/>
        <v>5</v>
      </c>
      <c r="AK75">
        <f t="shared" si="29"/>
        <v>9</v>
      </c>
      <c r="AL75" t="str">
        <f t="shared" si="30"/>
        <v>September</v>
      </c>
      <c r="AM75">
        <f t="shared" si="31"/>
        <v>2023</v>
      </c>
      <c r="AN75" t="str">
        <f t="shared" si="22"/>
        <v>0SKYWIN ENTERPRISE</v>
      </c>
      <c r="AO75">
        <f>IF(COUNTIF($AN$2:AN75, AN75)=1, 1, 0)</f>
        <v>0</v>
      </c>
      <c r="AP75" t="str">
        <f t="shared" si="32"/>
        <v>&gt;3</v>
      </c>
      <c r="AQ75" t="str">
        <f t="shared" si="33"/>
        <v>&gt;3</v>
      </c>
      <c r="AR75" t="str">
        <f t="shared" si="34"/>
        <v>&lt;=3</v>
      </c>
    </row>
    <row r="76" spans="1:44" x14ac:dyDescent="0.3">
      <c r="A76" t="s">
        <v>33</v>
      </c>
      <c r="B76" t="s">
        <v>366</v>
      </c>
      <c r="C76" t="s">
        <v>272</v>
      </c>
      <c r="D76">
        <v>4656</v>
      </c>
      <c r="E76">
        <v>23310387</v>
      </c>
      <c r="F76" t="s">
        <v>569</v>
      </c>
      <c r="G76" t="s">
        <v>570</v>
      </c>
      <c r="H76">
        <v>100</v>
      </c>
      <c r="I76">
        <v>9800</v>
      </c>
      <c r="J76">
        <v>980000</v>
      </c>
      <c r="K76" t="str">
        <f>IFERROR(IF(B76&lt;&gt;"", TEXT(VLOOKUP(B76, 'Expected Date'!A:B, 2, FALSE) + DATE(RIGHT(C76,2),MID(C76,4,2),LEFT(C76,2)), "dd/mm/yy"), ""), "")</f>
        <v>27/09/23</v>
      </c>
      <c r="L76" t="s">
        <v>38</v>
      </c>
      <c r="M76" t="s">
        <v>48</v>
      </c>
      <c r="N76" t="s">
        <v>574</v>
      </c>
      <c r="O76" t="s">
        <v>527</v>
      </c>
      <c r="P76">
        <v>23390641</v>
      </c>
      <c r="Q76" t="s">
        <v>569</v>
      </c>
      <c r="R76" t="s">
        <v>570</v>
      </c>
      <c r="S76">
        <v>28.97</v>
      </c>
      <c r="T76">
        <v>9800</v>
      </c>
      <c r="U76">
        <v>283906</v>
      </c>
      <c r="V76" t="str">
        <f t="shared" si="35"/>
        <v>Accepted</v>
      </c>
      <c r="W76">
        <f>IFERROR(VLOOKUP(N76, Payment_Terms!A:B, 2, FALSE), "Payment term not found!")</f>
        <v>0</v>
      </c>
      <c r="X76" t="str">
        <f>IFERROR(VLOOKUP(R76, Item_Category!A:B, 2, FALSE), "Uncategorized")</f>
        <v>Coal materials</v>
      </c>
      <c r="Y76" s="5">
        <f t="shared" si="36"/>
        <v>0</v>
      </c>
      <c r="Z76">
        <f t="shared" si="23"/>
        <v>5</v>
      </c>
      <c r="AA76">
        <f t="shared" si="24"/>
        <v>9</v>
      </c>
      <c r="AB76">
        <f t="shared" si="25"/>
        <v>2</v>
      </c>
      <c r="AC76" s="10">
        <f t="shared" si="26"/>
        <v>11</v>
      </c>
      <c r="AD76" s="5">
        <f t="shared" si="19"/>
        <v>1</v>
      </c>
      <c r="AE76" s="5">
        <f t="shared" si="20"/>
        <v>1</v>
      </c>
      <c r="AF76" s="5">
        <f t="shared" si="27"/>
        <v>0</v>
      </c>
      <c r="AG76">
        <f>IF(B76&lt;&gt;"", COUNTIFS($B$2:B76, B76), "")</f>
        <v>9</v>
      </c>
      <c r="AH76">
        <f t="shared" si="28"/>
        <v>5</v>
      </c>
      <c r="AI76" t="str">
        <f>VLOOKUP(B76, Currency!A:B, 2, FALSE)</f>
        <v>INR</v>
      </c>
      <c r="AJ76">
        <f t="shared" si="21"/>
        <v>5</v>
      </c>
      <c r="AK76">
        <f t="shared" si="29"/>
        <v>9</v>
      </c>
      <c r="AL76" t="str">
        <f t="shared" si="30"/>
        <v>September</v>
      </c>
      <c r="AM76">
        <f t="shared" si="31"/>
        <v>2023</v>
      </c>
      <c r="AN76" t="str">
        <f t="shared" si="22"/>
        <v>0SKYWIN ENTERPRISE</v>
      </c>
      <c r="AO76">
        <f>IF(COUNTIF($AN$2:AN76, AN76)=1, 1, 0)</f>
        <v>0</v>
      </c>
      <c r="AP76" t="str">
        <f t="shared" si="32"/>
        <v>&gt;3</v>
      </c>
      <c r="AQ76" t="str">
        <f t="shared" si="33"/>
        <v>&gt;3</v>
      </c>
      <c r="AR76" t="str">
        <f t="shared" si="34"/>
        <v>&lt;=3</v>
      </c>
    </row>
    <row r="77" spans="1:44" x14ac:dyDescent="0.3">
      <c r="A77" t="s">
        <v>33</v>
      </c>
      <c r="B77" t="s">
        <v>366</v>
      </c>
      <c r="C77" t="s">
        <v>439</v>
      </c>
      <c r="D77">
        <v>1489</v>
      </c>
      <c r="E77">
        <v>23310037</v>
      </c>
      <c r="F77" t="s">
        <v>569</v>
      </c>
      <c r="G77" t="s">
        <v>570</v>
      </c>
      <c r="H77">
        <v>70</v>
      </c>
      <c r="I77">
        <v>10857.14</v>
      </c>
      <c r="J77">
        <v>759999.8</v>
      </c>
      <c r="K77" t="str">
        <f>IFERROR(IF(B77&lt;&gt;"", TEXT(VLOOKUP(B77, 'Expected Date'!A:B, 2, FALSE) + DATE(RIGHT(C77,2),MID(C77,4,2),LEFT(C77,2)), "dd/mm/yy"), ""), "")</f>
        <v>22/04/23</v>
      </c>
      <c r="L77" t="s">
        <v>38</v>
      </c>
      <c r="M77" t="s">
        <v>48</v>
      </c>
      <c r="N77" t="s">
        <v>574</v>
      </c>
      <c r="O77" t="s">
        <v>419</v>
      </c>
      <c r="P77">
        <v>23390066</v>
      </c>
      <c r="Q77" t="s">
        <v>569</v>
      </c>
      <c r="R77" t="s">
        <v>570</v>
      </c>
      <c r="S77">
        <v>25.954999999999998</v>
      </c>
      <c r="T77">
        <v>10857.14</v>
      </c>
      <c r="U77">
        <v>281797.07</v>
      </c>
      <c r="V77" t="str">
        <f t="shared" si="35"/>
        <v>Accepted</v>
      </c>
      <c r="W77">
        <f>IFERROR(VLOOKUP(N77, Payment_Terms!A:B, 2, FALSE), "Payment term not found!")</f>
        <v>0</v>
      </c>
      <c r="X77" t="str">
        <f>IFERROR(VLOOKUP(R77, Item_Category!A:B, 2, FALSE), "Uncategorized")</f>
        <v>Coal materials</v>
      </c>
      <c r="Y77" s="5">
        <f t="shared" si="36"/>
        <v>0</v>
      </c>
      <c r="Z77">
        <f t="shared" si="23"/>
        <v>5</v>
      </c>
      <c r="AA77">
        <f t="shared" si="24"/>
        <v>0</v>
      </c>
      <c r="AB77">
        <f t="shared" si="25"/>
        <v>5</v>
      </c>
      <c r="AC77" s="10">
        <f t="shared" si="26"/>
        <v>2</v>
      </c>
      <c r="AD77" s="5">
        <f t="shared" si="19"/>
        <v>1</v>
      </c>
      <c r="AE77" s="5">
        <f t="shared" si="20"/>
        <v>1</v>
      </c>
      <c r="AF77" s="5">
        <f t="shared" si="27"/>
        <v>0</v>
      </c>
      <c r="AG77">
        <f>IF(B77&lt;&gt;"", COUNTIFS($B$2:B77, B77), "")</f>
        <v>10</v>
      </c>
      <c r="AH77">
        <f t="shared" si="28"/>
        <v>5</v>
      </c>
      <c r="AI77" t="str">
        <f>VLOOKUP(B77, Currency!A:B, 2, FALSE)</f>
        <v>INR</v>
      </c>
      <c r="AJ77">
        <f t="shared" si="21"/>
        <v>5</v>
      </c>
      <c r="AK77">
        <f t="shared" si="29"/>
        <v>4</v>
      </c>
      <c r="AL77" t="str">
        <f t="shared" si="30"/>
        <v>April</v>
      </c>
      <c r="AM77">
        <f t="shared" si="31"/>
        <v>2023</v>
      </c>
      <c r="AN77" t="str">
        <f t="shared" si="22"/>
        <v>0SKYWIN ENTERPRISE</v>
      </c>
      <c r="AO77">
        <f>IF(COUNTIF($AN$2:AN77, AN77)=1, 1, 0)</f>
        <v>0</v>
      </c>
      <c r="AP77" t="str">
        <f t="shared" si="32"/>
        <v>&gt;3</v>
      </c>
      <c r="AQ77" t="str">
        <f t="shared" si="33"/>
        <v>&gt;3</v>
      </c>
      <c r="AR77" t="str">
        <f t="shared" si="34"/>
        <v>&gt;3</v>
      </c>
    </row>
    <row r="78" spans="1:44" x14ac:dyDescent="0.3">
      <c r="A78" t="s">
        <v>33</v>
      </c>
      <c r="B78" t="s">
        <v>557</v>
      </c>
      <c r="C78" t="s">
        <v>414</v>
      </c>
      <c r="D78">
        <v>2296</v>
      </c>
      <c r="E78">
        <v>23310158</v>
      </c>
      <c r="F78" t="s">
        <v>558</v>
      </c>
      <c r="G78" t="s">
        <v>384</v>
      </c>
      <c r="H78">
        <v>400</v>
      </c>
      <c r="I78">
        <v>99</v>
      </c>
      <c r="J78">
        <v>39600</v>
      </c>
      <c r="K78" t="str">
        <f>IFERROR(IF(B78&lt;&gt;"", TEXT(VLOOKUP(B78, 'Expected Date'!A:B, 2, FALSE) + DATE(RIGHT(C78,2),MID(C78,4,2),LEFT(C78,2)), "dd/mm/yy"), ""), "")</f>
        <v>11/06/23</v>
      </c>
      <c r="L78" t="s">
        <v>68</v>
      </c>
      <c r="M78" t="s">
        <v>48</v>
      </c>
      <c r="N78" t="s">
        <v>364</v>
      </c>
      <c r="O78" t="s">
        <v>88</v>
      </c>
      <c r="P78">
        <v>23390291</v>
      </c>
      <c r="Q78" t="s">
        <v>558</v>
      </c>
      <c r="R78" t="s">
        <v>559</v>
      </c>
      <c r="S78">
        <v>100</v>
      </c>
      <c r="T78">
        <v>99</v>
      </c>
      <c r="U78">
        <v>9900</v>
      </c>
      <c r="V78" t="str">
        <f t="shared" si="35"/>
        <v>Accepted</v>
      </c>
      <c r="W78">
        <f>IFERROR(VLOOKUP(N78, Payment_Terms!A:B, 2, FALSE), "Payment term not found!")</f>
        <v>30</v>
      </c>
      <c r="X78" t="str">
        <f>IFERROR(VLOOKUP(R78, Item_Category!A:B, 2, FALSE), "Uncategorized")</f>
        <v>Anhydrous Ammonia</v>
      </c>
      <c r="Y78" s="5">
        <f t="shared" si="36"/>
        <v>0.25</v>
      </c>
      <c r="Z78">
        <f t="shared" si="23"/>
        <v>1</v>
      </c>
      <c r="AA78">
        <f t="shared" si="24"/>
        <v>23</v>
      </c>
      <c r="AB78">
        <f t="shared" si="25"/>
        <v>1</v>
      </c>
      <c r="AC78" s="10">
        <f t="shared" si="26"/>
        <v>33</v>
      </c>
      <c r="AD78" s="5">
        <f t="shared" si="19"/>
        <v>1</v>
      </c>
      <c r="AE78" s="5">
        <f t="shared" si="20"/>
        <v>1</v>
      </c>
      <c r="AF78" s="5">
        <f t="shared" si="27"/>
        <v>0</v>
      </c>
      <c r="AG78">
        <f>IF(B78&lt;&gt;"", COUNTIFS($B$2:B78, B78), "")</f>
        <v>9</v>
      </c>
      <c r="AH78">
        <f t="shared" si="28"/>
        <v>5</v>
      </c>
      <c r="AI78" t="str">
        <f>VLOOKUP(B78, Currency!A:B, 2, FALSE)</f>
        <v>INR</v>
      </c>
      <c r="AJ78">
        <f t="shared" si="21"/>
        <v>3</v>
      </c>
      <c r="AK78">
        <f t="shared" si="29"/>
        <v>6</v>
      </c>
      <c r="AL78" t="str">
        <f t="shared" si="30"/>
        <v>June</v>
      </c>
      <c r="AM78">
        <f t="shared" si="31"/>
        <v>2023</v>
      </c>
      <c r="AN78" t="str">
        <f t="shared" si="22"/>
        <v>30Jaysons Chemical Industries Vapi</v>
      </c>
      <c r="AO78">
        <f>IF(COUNTIF($AN$2:AN78, AN78)=1, 1, 0)</f>
        <v>0</v>
      </c>
      <c r="AP78" t="str">
        <f t="shared" si="32"/>
        <v>&gt;3</v>
      </c>
      <c r="AQ78" t="str">
        <f t="shared" si="33"/>
        <v>&lt;=3</v>
      </c>
      <c r="AR78" t="str">
        <f t="shared" si="34"/>
        <v>&lt;=3</v>
      </c>
    </row>
    <row r="79" spans="1:44" x14ac:dyDescent="0.3">
      <c r="A79" t="s">
        <v>33</v>
      </c>
      <c r="B79" t="s">
        <v>366</v>
      </c>
      <c r="C79" t="s">
        <v>203</v>
      </c>
      <c r="D79">
        <v>3212</v>
      </c>
      <c r="E79">
        <v>23310240</v>
      </c>
      <c r="F79" t="s">
        <v>569</v>
      </c>
      <c r="G79" t="s">
        <v>570</v>
      </c>
      <c r="H79">
        <v>100</v>
      </c>
      <c r="I79">
        <v>9800</v>
      </c>
      <c r="J79">
        <v>980000</v>
      </c>
      <c r="K79" t="str">
        <f>IFERROR(IF(B79&lt;&gt;"", TEXT(VLOOKUP(B79, 'Expected Date'!A:B, 2, FALSE) + DATE(RIGHT(C79,2),MID(C79,4,2),LEFT(C79,2)), "dd/mm/yy"), ""), "")</f>
        <v>18/07/23</v>
      </c>
      <c r="L79" t="s">
        <v>38</v>
      </c>
      <c r="M79" t="s">
        <v>48</v>
      </c>
      <c r="N79" t="s">
        <v>574</v>
      </c>
      <c r="O79" t="s">
        <v>543</v>
      </c>
      <c r="P79">
        <v>23390367</v>
      </c>
      <c r="Q79" t="s">
        <v>569</v>
      </c>
      <c r="R79" t="s">
        <v>570</v>
      </c>
      <c r="S79">
        <v>29.54</v>
      </c>
      <c r="T79">
        <v>9800</v>
      </c>
      <c r="U79">
        <v>289492</v>
      </c>
      <c r="V79" t="str">
        <f t="shared" si="35"/>
        <v>Accepted</v>
      </c>
      <c r="W79">
        <f>IFERROR(VLOOKUP(N79, Payment_Terms!A:B, 2, FALSE), "Payment term not found!")</f>
        <v>0</v>
      </c>
      <c r="X79" t="str">
        <f>IFERROR(VLOOKUP(R79, Item_Category!A:B, 2, FALSE), "Uncategorized")</f>
        <v>Coal materials</v>
      </c>
      <c r="Y79" s="5">
        <f t="shared" si="36"/>
        <v>0</v>
      </c>
      <c r="Z79">
        <f t="shared" si="23"/>
        <v>5</v>
      </c>
      <c r="AA79">
        <f t="shared" si="24"/>
        <v>10</v>
      </c>
      <c r="AB79">
        <f t="shared" si="25"/>
        <v>2</v>
      </c>
      <c r="AC79" s="10">
        <f t="shared" si="26"/>
        <v>12</v>
      </c>
      <c r="AD79" s="5">
        <f t="shared" si="19"/>
        <v>1</v>
      </c>
      <c r="AE79" s="5">
        <f t="shared" si="20"/>
        <v>1</v>
      </c>
      <c r="AF79" s="5">
        <f t="shared" si="27"/>
        <v>0</v>
      </c>
      <c r="AG79">
        <f>IF(B79&lt;&gt;"", COUNTIFS($B$2:B79, B79), "")</f>
        <v>11</v>
      </c>
      <c r="AH79">
        <f t="shared" si="28"/>
        <v>5</v>
      </c>
      <c r="AI79" t="str">
        <f>VLOOKUP(B79, Currency!A:B, 2, FALSE)</f>
        <v>INR</v>
      </c>
      <c r="AJ79">
        <f t="shared" si="21"/>
        <v>5</v>
      </c>
      <c r="AK79">
        <f t="shared" si="29"/>
        <v>7</v>
      </c>
      <c r="AL79" t="str">
        <f t="shared" si="30"/>
        <v>July</v>
      </c>
      <c r="AM79">
        <f t="shared" si="31"/>
        <v>2023</v>
      </c>
      <c r="AN79" t="str">
        <f t="shared" si="22"/>
        <v>0SKYWIN ENTERPRISE</v>
      </c>
      <c r="AO79">
        <f>IF(COUNTIF($AN$2:AN79, AN79)=1, 1, 0)</f>
        <v>0</v>
      </c>
      <c r="AP79" t="str">
        <f t="shared" si="32"/>
        <v>&gt;3</v>
      </c>
      <c r="AQ79" t="str">
        <f t="shared" si="33"/>
        <v>&gt;3</v>
      </c>
      <c r="AR79" t="str">
        <f t="shared" si="34"/>
        <v>&lt;=3</v>
      </c>
    </row>
    <row r="80" spans="1:44" x14ac:dyDescent="0.3">
      <c r="A80" t="s">
        <v>33</v>
      </c>
      <c r="B80" t="s">
        <v>557</v>
      </c>
      <c r="C80" t="s">
        <v>414</v>
      </c>
      <c r="D80">
        <v>2296</v>
      </c>
      <c r="E80">
        <v>23310158</v>
      </c>
      <c r="F80" t="s">
        <v>558</v>
      </c>
      <c r="G80" t="s">
        <v>384</v>
      </c>
      <c r="H80">
        <v>400</v>
      </c>
      <c r="I80">
        <v>99</v>
      </c>
      <c r="J80">
        <v>39600</v>
      </c>
      <c r="K80" t="str">
        <f>IFERROR(IF(B80&lt;&gt;"", TEXT(VLOOKUP(B80, 'Expected Date'!A:B, 2, FALSE) + DATE(RIGHT(C80,2),MID(C80,4,2),LEFT(C80,2)), "dd/mm/yy"), ""), "")</f>
        <v>11/06/23</v>
      </c>
      <c r="L80" t="s">
        <v>68</v>
      </c>
      <c r="M80" t="s">
        <v>48</v>
      </c>
      <c r="N80" t="s">
        <v>364</v>
      </c>
      <c r="O80" t="s">
        <v>63</v>
      </c>
      <c r="P80">
        <v>23390277</v>
      </c>
      <c r="Q80" t="s">
        <v>558</v>
      </c>
      <c r="R80" t="s">
        <v>559</v>
      </c>
      <c r="S80">
        <v>100</v>
      </c>
      <c r="T80">
        <v>99</v>
      </c>
      <c r="U80">
        <v>9900</v>
      </c>
      <c r="V80" t="str">
        <f t="shared" si="35"/>
        <v>Accepted</v>
      </c>
      <c r="W80">
        <f>IFERROR(VLOOKUP(N80, Payment_Terms!A:B, 2, FALSE), "Payment term not found!")</f>
        <v>30</v>
      </c>
      <c r="X80" t="str">
        <f>IFERROR(VLOOKUP(R80, Item_Category!A:B, 2, FALSE), "Uncategorized")</f>
        <v>Anhydrous Ammonia</v>
      </c>
      <c r="Y80" s="5">
        <f t="shared" si="36"/>
        <v>0.25</v>
      </c>
      <c r="Z80">
        <f t="shared" si="23"/>
        <v>1</v>
      </c>
      <c r="AA80">
        <f t="shared" si="24"/>
        <v>13</v>
      </c>
      <c r="AB80">
        <f t="shared" si="25"/>
        <v>1</v>
      </c>
      <c r="AC80" s="10">
        <f t="shared" si="26"/>
        <v>23</v>
      </c>
      <c r="AD80" s="5">
        <f t="shared" si="19"/>
        <v>1</v>
      </c>
      <c r="AE80" s="5">
        <f t="shared" si="20"/>
        <v>1</v>
      </c>
      <c r="AF80" s="5">
        <f t="shared" si="27"/>
        <v>0</v>
      </c>
      <c r="AG80">
        <f>IF(B80&lt;&gt;"", COUNTIFS($B$2:B80, B80), "")</f>
        <v>10</v>
      </c>
      <c r="AH80">
        <f t="shared" si="28"/>
        <v>5</v>
      </c>
      <c r="AI80" t="str">
        <f>VLOOKUP(B80, Currency!A:B, 2, FALSE)</f>
        <v>INR</v>
      </c>
      <c r="AJ80">
        <f t="shared" si="21"/>
        <v>3</v>
      </c>
      <c r="AK80">
        <f t="shared" si="29"/>
        <v>6</v>
      </c>
      <c r="AL80" t="str">
        <f t="shared" si="30"/>
        <v>June</v>
      </c>
      <c r="AM80">
        <f t="shared" si="31"/>
        <v>2023</v>
      </c>
      <c r="AN80" t="str">
        <f t="shared" si="22"/>
        <v>30Jaysons Chemical Industries Vapi</v>
      </c>
      <c r="AO80">
        <f>IF(COUNTIF($AN$2:AN80, AN80)=1, 1, 0)</f>
        <v>0</v>
      </c>
      <c r="AP80" t="str">
        <f t="shared" si="32"/>
        <v>&gt;3</v>
      </c>
      <c r="AQ80" t="str">
        <f t="shared" si="33"/>
        <v>&lt;=3</v>
      </c>
      <c r="AR80" t="str">
        <f t="shared" si="34"/>
        <v>&lt;=3</v>
      </c>
    </row>
    <row r="81" spans="1:44" x14ac:dyDescent="0.3">
      <c r="A81" t="s">
        <v>33</v>
      </c>
      <c r="B81" t="s">
        <v>557</v>
      </c>
      <c r="C81" t="s">
        <v>354</v>
      </c>
      <c r="D81">
        <v>2796</v>
      </c>
      <c r="E81">
        <v>23310215</v>
      </c>
      <c r="F81" t="s">
        <v>558</v>
      </c>
      <c r="G81" t="s">
        <v>384</v>
      </c>
      <c r="H81">
        <v>400</v>
      </c>
      <c r="I81">
        <v>99</v>
      </c>
      <c r="J81">
        <v>39600</v>
      </c>
      <c r="K81" t="str">
        <f>IFERROR(IF(B81&lt;&gt;"", TEXT(VLOOKUP(B81, 'Expected Date'!A:B, 2, FALSE) + DATE(RIGHT(C81,2),MID(C81,4,2),LEFT(C81,2)), "dd/mm/yy"), ""), "")</f>
        <v>13/07/23</v>
      </c>
      <c r="L81" t="s">
        <v>68</v>
      </c>
      <c r="M81" t="s">
        <v>48</v>
      </c>
      <c r="N81" t="s">
        <v>364</v>
      </c>
      <c r="O81" t="s">
        <v>469</v>
      </c>
      <c r="P81">
        <v>23390325</v>
      </c>
      <c r="Q81" t="s">
        <v>558</v>
      </c>
      <c r="R81" t="s">
        <v>559</v>
      </c>
      <c r="S81">
        <v>100</v>
      </c>
      <c r="T81">
        <v>99</v>
      </c>
      <c r="U81">
        <v>9900</v>
      </c>
      <c r="V81" t="str">
        <f t="shared" si="35"/>
        <v>Accepted</v>
      </c>
      <c r="W81">
        <f>IFERROR(VLOOKUP(N81, Payment_Terms!A:B, 2, FALSE), "Payment term not found!")</f>
        <v>30</v>
      </c>
      <c r="X81" t="str">
        <f>IFERROR(VLOOKUP(R81, Item_Category!A:B, 2, FALSE), "Uncategorized")</f>
        <v>Anhydrous Ammonia</v>
      </c>
      <c r="Y81" s="5">
        <f t="shared" si="36"/>
        <v>0.25</v>
      </c>
      <c r="Z81">
        <f t="shared" si="23"/>
        <v>1</v>
      </c>
      <c r="AA81">
        <f t="shared" si="24"/>
        <v>0</v>
      </c>
      <c r="AB81">
        <f t="shared" si="25"/>
        <v>5</v>
      </c>
      <c r="AC81" s="10">
        <f t="shared" si="26"/>
        <v>10</v>
      </c>
      <c r="AD81" s="5">
        <f t="shared" si="19"/>
        <v>1</v>
      </c>
      <c r="AE81" s="5">
        <f t="shared" si="20"/>
        <v>1</v>
      </c>
      <c r="AF81" s="5">
        <f t="shared" si="27"/>
        <v>0</v>
      </c>
      <c r="AG81">
        <f>IF(B81&lt;&gt;"", COUNTIFS($B$2:B81, B81), "")</f>
        <v>11</v>
      </c>
      <c r="AH81">
        <f t="shared" si="28"/>
        <v>5</v>
      </c>
      <c r="AI81" t="str">
        <f>VLOOKUP(B81, Currency!A:B, 2, FALSE)</f>
        <v>INR</v>
      </c>
      <c r="AJ81">
        <f t="shared" si="21"/>
        <v>4</v>
      </c>
      <c r="AK81">
        <f t="shared" si="29"/>
        <v>7</v>
      </c>
      <c r="AL81" t="str">
        <f t="shared" si="30"/>
        <v>July</v>
      </c>
      <c r="AM81">
        <f t="shared" si="31"/>
        <v>2023</v>
      </c>
      <c r="AN81" t="str">
        <f t="shared" si="22"/>
        <v>30Jaysons Chemical Industries Vapi</v>
      </c>
      <c r="AO81">
        <f>IF(COUNTIF($AN$2:AN81, AN81)=1, 1, 0)</f>
        <v>0</v>
      </c>
      <c r="AP81" t="str">
        <f t="shared" si="32"/>
        <v>&gt;3</v>
      </c>
      <c r="AQ81" t="str">
        <f t="shared" si="33"/>
        <v>&lt;=3</v>
      </c>
      <c r="AR81" t="str">
        <f t="shared" si="34"/>
        <v>&gt;3</v>
      </c>
    </row>
    <row r="82" spans="1:44" x14ac:dyDescent="0.3">
      <c r="A82" t="s">
        <v>33</v>
      </c>
      <c r="B82" t="s">
        <v>371</v>
      </c>
      <c r="C82" t="s">
        <v>58</v>
      </c>
      <c r="D82">
        <v>3582</v>
      </c>
      <c r="E82">
        <v>23310288</v>
      </c>
      <c r="F82" t="s">
        <v>552</v>
      </c>
      <c r="G82" t="s">
        <v>373</v>
      </c>
      <c r="H82">
        <v>20</v>
      </c>
      <c r="I82">
        <v>1700</v>
      </c>
      <c r="J82">
        <v>34000</v>
      </c>
      <c r="K82" t="str">
        <f>IFERROR(IF(B82&lt;&gt;"", TEXT(VLOOKUP(B82, 'Expected Date'!A:B, 2, FALSE) + DATE(RIGHT(C82,2),MID(C82,4,2),LEFT(C82,2)), "dd/mm/yy"), ""), "")</f>
        <v>06/08/23</v>
      </c>
      <c r="L82" t="s">
        <v>38</v>
      </c>
      <c r="M82" t="s">
        <v>48</v>
      </c>
      <c r="N82" t="s">
        <v>318</v>
      </c>
      <c r="O82" t="s">
        <v>127</v>
      </c>
      <c r="P82">
        <v>23390400</v>
      </c>
      <c r="Q82" t="s">
        <v>552</v>
      </c>
      <c r="R82" t="s">
        <v>553</v>
      </c>
      <c r="S82">
        <v>10.15</v>
      </c>
      <c r="T82">
        <v>1700</v>
      </c>
      <c r="U82">
        <v>17255</v>
      </c>
      <c r="V82" t="str">
        <f t="shared" si="35"/>
        <v>Accepted</v>
      </c>
      <c r="W82">
        <f>IFERROR(VLOOKUP(N82, Payment_Terms!A:B, 2, FALSE), "Payment term not found!")</f>
        <v>30</v>
      </c>
      <c r="X82" t="str">
        <f>IFERROR(VLOOKUP(R82, Item_Category!A:B, 2, FALSE), "Uncategorized")</f>
        <v>HCL</v>
      </c>
      <c r="Y82" s="5">
        <f t="shared" si="36"/>
        <v>0</v>
      </c>
      <c r="Z82">
        <f t="shared" si="23"/>
        <v>5</v>
      </c>
      <c r="AA82">
        <f t="shared" si="24"/>
        <v>-4</v>
      </c>
      <c r="AB82">
        <f t="shared" si="25"/>
        <v>5</v>
      </c>
      <c r="AC82" s="10">
        <f t="shared" si="26"/>
        <v>1</v>
      </c>
      <c r="AD82" s="5">
        <f t="shared" si="19"/>
        <v>1</v>
      </c>
      <c r="AE82" s="5">
        <f t="shared" si="20"/>
        <v>1</v>
      </c>
      <c r="AF82" s="5">
        <f t="shared" si="27"/>
        <v>0</v>
      </c>
      <c r="AG82">
        <f>IF(B82&lt;&gt;"", COUNTIFS($B$2:B82, B82), "")</f>
        <v>2</v>
      </c>
      <c r="AH82">
        <f t="shared" si="28"/>
        <v>5</v>
      </c>
      <c r="AI82" t="str">
        <f>VLOOKUP(B82, Currency!A:B, 2, FALSE)</f>
        <v>INR</v>
      </c>
      <c r="AJ82">
        <f t="shared" si="21"/>
        <v>5</v>
      </c>
      <c r="AK82">
        <f t="shared" si="29"/>
        <v>8</v>
      </c>
      <c r="AL82" t="str">
        <f t="shared" si="30"/>
        <v>August</v>
      </c>
      <c r="AM82">
        <f t="shared" si="31"/>
        <v>2023</v>
      </c>
      <c r="AN82" t="str">
        <f t="shared" si="22"/>
        <v>30SHREE ACID AND CHEMICALS</v>
      </c>
      <c r="AO82">
        <f>IF(COUNTIF($AN$2:AN82, AN82)=1, 1, 0)</f>
        <v>0</v>
      </c>
      <c r="AP82" t="str">
        <f t="shared" si="32"/>
        <v>&gt;3</v>
      </c>
      <c r="AQ82" t="str">
        <f t="shared" si="33"/>
        <v>&gt;3</v>
      </c>
      <c r="AR82" t="str">
        <f t="shared" si="34"/>
        <v>&gt;3</v>
      </c>
    </row>
    <row r="83" spans="1:44" x14ac:dyDescent="0.3">
      <c r="A83" t="s">
        <v>33</v>
      </c>
      <c r="B83" t="s">
        <v>371</v>
      </c>
      <c r="C83" t="s">
        <v>120</v>
      </c>
      <c r="D83">
        <v>3313</v>
      </c>
      <c r="E83">
        <v>23310260</v>
      </c>
      <c r="F83" t="s">
        <v>552</v>
      </c>
      <c r="G83" t="s">
        <v>373</v>
      </c>
      <c r="H83">
        <v>20</v>
      </c>
      <c r="I83">
        <v>1500</v>
      </c>
      <c r="J83">
        <v>30000</v>
      </c>
      <c r="K83" t="str">
        <f>IFERROR(IF(B83&lt;&gt;"", TEXT(VLOOKUP(B83, 'Expected Date'!A:B, 2, FALSE) + DATE(RIGHT(C83,2),MID(C83,4,2),LEFT(C83,2)), "dd/mm/yy"), ""), "")</f>
        <v>25/07/23</v>
      </c>
      <c r="L83" t="s">
        <v>68</v>
      </c>
      <c r="M83" t="s">
        <v>48</v>
      </c>
      <c r="N83" t="s">
        <v>342</v>
      </c>
      <c r="O83" t="s">
        <v>423</v>
      </c>
      <c r="P83">
        <v>23390350</v>
      </c>
      <c r="Q83" t="s">
        <v>552</v>
      </c>
      <c r="R83" t="s">
        <v>553</v>
      </c>
      <c r="S83">
        <v>9.98</v>
      </c>
      <c r="T83">
        <v>1500</v>
      </c>
      <c r="U83">
        <v>14970</v>
      </c>
      <c r="V83" t="str">
        <f t="shared" si="35"/>
        <v>Accepted</v>
      </c>
      <c r="W83">
        <f>IFERROR(VLOOKUP(N83, Payment_Terms!A:B, 2, FALSE), "Payment term not found!")</f>
        <v>30</v>
      </c>
      <c r="X83" t="str">
        <f>IFERROR(VLOOKUP(R83, Item_Category!A:B, 2, FALSE), "Uncategorized")</f>
        <v>HCL</v>
      </c>
      <c r="Y83" s="5">
        <f t="shared" si="36"/>
        <v>0.501</v>
      </c>
      <c r="Z83">
        <f t="shared" si="23"/>
        <v>1</v>
      </c>
      <c r="AA83">
        <f t="shared" si="24"/>
        <v>-3</v>
      </c>
      <c r="AB83">
        <f t="shared" si="25"/>
        <v>5</v>
      </c>
      <c r="AC83" s="10">
        <f t="shared" si="26"/>
        <v>2</v>
      </c>
      <c r="AD83" s="5">
        <f t="shared" si="19"/>
        <v>1</v>
      </c>
      <c r="AE83" s="5">
        <f t="shared" si="20"/>
        <v>1</v>
      </c>
      <c r="AF83" s="5">
        <f t="shared" si="27"/>
        <v>0</v>
      </c>
      <c r="AG83">
        <f>IF(B83&lt;&gt;"", COUNTIFS($B$2:B83, B83), "")</f>
        <v>3</v>
      </c>
      <c r="AH83">
        <f t="shared" si="28"/>
        <v>5</v>
      </c>
      <c r="AI83" t="str">
        <f>VLOOKUP(B83, Currency!A:B, 2, FALSE)</f>
        <v>INR</v>
      </c>
      <c r="AJ83">
        <f t="shared" si="21"/>
        <v>4</v>
      </c>
      <c r="AK83">
        <f t="shared" si="29"/>
        <v>7</v>
      </c>
      <c r="AL83" t="str">
        <f t="shared" si="30"/>
        <v>July</v>
      </c>
      <c r="AM83">
        <f t="shared" si="31"/>
        <v>2023</v>
      </c>
      <c r="AN83" t="str">
        <f t="shared" si="22"/>
        <v>30SHREE ACID AND CHEMICALS</v>
      </c>
      <c r="AO83">
        <f>IF(COUNTIF($AN$2:AN83, AN83)=1, 1, 0)</f>
        <v>0</v>
      </c>
      <c r="AP83" t="str">
        <f t="shared" si="32"/>
        <v>&gt;3</v>
      </c>
      <c r="AQ83" t="str">
        <f t="shared" si="33"/>
        <v>&lt;=3</v>
      </c>
      <c r="AR83" t="str">
        <f t="shared" si="34"/>
        <v>&gt;3</v>
      </c>
    </row>
    <row r="84" spans="1:44" x14ac:dyDescent="0.3">
      <c r="A84" t="str">
        <f>A70</f>
        <v>Woodpulp</v>
      </c>
      <c r="B84" t="s">
        <v>140</v>
      </c>
      <c r="C84" t="s">
        <v>108</v>
      </c>
      <c r="D84">
        <v>1806</v>
      </c>
      <c r="E84">
        <v>23320012</v>
      </c>
      <c r="F84" t="s">
        <v>571</v>
      </c>
      <c r="G84" t="s">
        <v>360</v>
      </c>
      <c r="H84">
        <v>100</v>
      </c>
      <c r="I84">
        <v>830</v>
      </c>
      <c r="J84">
        <v>6710550</v>
      </c>
      <c r="K84" t="str">
        <f>IFERROR(IF(B84&lt;&gt;"", TEXT(VLOOKUP(B84, 'Expected Date'!A:B, 2, FALSE) + DATE(RIGHT(C84,2),MID(C84,4,2),LEFT(C84,2)), "dd/mm/yy"), ""), "")</f>
        <v>24/06/23</v>
      </c>
      <c r="L84" t="s">
        <v>38</v>
      </c>
      <c r="M84" t="str">
        <f>M20</f>
        <v>MT</v>
      </c>
      <c r="N84" t="s">
        <v>144</v>
      </c>
      <c r="O84" t="s">
        <v>108</v>
      </c>
      <c r="P84">
        <v>23390114</v>
      </c>
      <c r="Q84" t="s">
        <v>571</v>
      </c>
      <c r="R84" t="s">
        <v>143</v>
      </c>
      <c r="S84">
        <v>99.391000000000005</v>
      </c>
      <c r="T84">
        <v>830</v>
      </c>
      <c r="U84">
        <v>6669682.75</v>
      </c>
      <c r="V84" t="str">
        <f t="shared" si="35"/>
        <v>Accepted</v>
      </c>
      <c r="W84">
        <f>IFERROR(VLOOKUP(N84, Payment_Terms!A:B, 2, FALSE), "Payment term not found!")</f>
        <v>30</v>
      </c>
      <c r="X84" t="str">
        <f>IFERROR(VLOOKUP(R84, Item_Category!A:B, 2, FALSE), "Uncategorized")</f>
        <v>Wood pulp</v>
      </c>
      <c r="Y84" s="5">
        <f t="shared" si="36"/>
        <v>0</v>
      </c>
      <c r="Z84">
        <f t="shared" si="23"/>
        <v>5</v>
      </c>
      <c r="AA84">
        <f t="shared" si="24"/>
        <v>-45</v>
      </c>
      <c r="AB84">
        <f t="shared" si="25"/>
        <v>5</v>
      </c>
      <c r="AC84" s="10">
        <f t="shared" si="26"/>
        <v>0</v>
      </c>
      <c r="AD84" s="5">
        <f t="shared" si="19"/>
        <v>1</v>
      </c>
      <c r="AE84" s="5">
        <f t="shared" si="20"/>
        <v>1</v>
      </c>
      <c r="AF84" s="5">
        <f t="shared" si="27"/>
        <v>0</v>
      </c>
      <c r="AG84">
        <f>IF(B84&lt;&gt;"", COUNTIFS($B$2:B84, B84), "")</f>
        <v>2</v>
      </c>
      <c r="AH84">
        <f t="shared" si="28"/>
        <v>5</v>
      </c>
      <c r="AI84" t="str">
        <f>VLOOKUP(B84, Currency!A:B, 2, FALSE)</f>
        <v>USD</v>
      </c>
      <c r="AJ84">
        <f t="shared" si="21"/>
        <v>5</v>
      </c>
      <c r="AK84">
        <f t="shared" si="29"/>
        <v>5</v>
      </c>
      <c r="AL84" t="str">
        <f t="shared" si="30"/>
        <v>May</v>
      </c>
      <c r="AM84">
        <f t="shared" si="31"/>
        <v>2023</v>
      </c>
      <c r="AN84" t="str">
        <f t="shared" si="22"/>
        <v>30Sappi Paper Holdings GMBH</v>
      </c>
      <c r="AO84">
        <f>IF(COUNTIF($AN$2:AN84, AN84)=1, 1, 0)</f>
        <v>0</v>
      </c>
      <c r="AP84" t="str">
        <f t="shared" si="32"/>
        <v>&gt;3</v>
      </c>
      <c r="AQ84" t="str">
        <f t="shared" si="33"/>
        <v>&gt;3</v>
      </c>
      <c r="AR84" t="str">
        <f t="shared" si="34"/>
        <v>&gt;3</v>
      </c>
    </row>
    <row r="85" spans="1:44" x14ac:dyDescent="0.3">
      <c r="A85" t="s">
        <v>33</v>
      </c>
      <c r="B85" t="str">
        <f>B74</f>
        <v>Ami Enterprises</v>
      </c>
      <c r="C85" t="s">
        <v>146</v>
      </c>
      <c r="D85">
        <v>1769</v>
      </c>
      <c r="E85">
        <v>23310081</v>
      </c>
      <c r="F85" t="s">
        <v>572</v>
      </c>
      <c r="G85" t="s">
        <v>595</v>
      </c>
      <c r="H85">
        <v>5000</v>
      </c>
      <c r="I85">
        <v>35</v>
      </c>
      <c r="J85">
        <v>175000</v>
      </c>
      <c r="K85" t="str">
        <f>IFERROR(IF(B85&lt;&gt;"", TEXT(VLOOKUP(B85, 'Expected Date'!A:B, 2, FALSE) + DATE(RIGHT(C85,2),MID(C85,4,2),LEFT(C85,2)), "dd/mm/yy"), ""), "")</f>
        <v>19/05/23</v>
      </c>
      <c r="L85" t="s">
        <v>38</v>
      </c>
      <c r="M85" t="s">
        <v>39</v>
      </c>
      <c r="N85" t="s">
        <v>318</v>
      </c>
      <c r="O85" t="s">
        <v>174</v>
      </c>
      <c r="P85">
        <v>23390153</v>
      </c>
      <c r="Q85" t="s">
        <v>572</v>
      </c>
      <c r="R85" t="s">
        <v>573</v>
      </c>
      <c r="S85">
        <v>2000</v>
      </c>
      <c r="T85">
        <v>35</v>
      </c>
      <c r="U85">
        <v>70000</v>
      </c>
      <c r="V85" t="str">
        <f t="shared" si="35"/>
        <v>Accepted</v>
      </c>
      <c r="W85">
        <f>IFERROR(VLOOKUP(N85, Payment_Terms!A:B, 2, FALSE), "Payment term not found!")</f>
        <v>30</v>
      </c>
      <c r="X85" t="str">
        <f>IFERROR(VLOOKUP(R85, Item_Category!A:B, 2, FALSE), "Uncategorized")</f>
        <v>Bags</v>
      </c>
      <c r="Y85" s="5">
        <f t="shared" si="36"/>
        <v>0</v>
      </c>
      <c r="Z85">
        <f t="shared" si="23"/>
        <v>5</v>
      </c>
      <c r="AA85">
        <f t="shared" si="24"/>
        <v>-3</v>
      </c>
      <c r="AB85">
        <f t="shared" si="25"/>
        <v>5</v>
      </c>
      <c r="AC85" s="10">
        <f t="shared" si="26"/>
        <v>7</v>
      </c>
      <c r="AD85" s="5">
        <f t="shared" si="19"/>
        <v>1</v>
      </c>
      <c r="AE85" s="5">
        <f t="shared" si="20"/>
        <v>1</v>
      </c>
      <c r="AF85" s="5">
        <f t="shared" si="27"/>
        <v>0</v>
      </c>
      <c r="AG85">
        <f>IF(B85&lt;&gt;"", COUNTIFS($B$2:B85, B85), "")</f>
        <v>8</v>
      </c>
      <c r="AH85">
        <f t="shared" si="28"/>
        <v>5</v>
      </c>
      <c r="AI85" t="str">
        <f>VLOOKUP(B85, Currency!A:B, 2, FALSE)</f>
        <v>INR</v>
      </c>
      <c r="AJ85">
        <f t="shared" si="21"/>
        <v>5</v>
      </c>
      <c r="AK85">
        <f t="shared" si="29"/>
        <v>5</v>
      </c>
      <c r="AL85" t="str">
        <f t="shared" si="30"/>
        <v>May</v>
      </c>
      <c r="AM85">
        <f t="shared" si="31"/>
        <v>2023</v>
      </c>
      <c r="AN85" t="str">
        <f t="shared" si="22"/>
        <v>30Ami Enterprises</v>
      </c>
      <c r="AO85">
        <f>IF(COUNTIF($AN$2:AN85, AN85)=1, 1, 0)</f>
        <v>0</v>
      </c>
      <c r="AP85" t="str">
        <f t="shared" si="32"/>
        <v>&gt;3</v>
      </c>
      <c r="AQ85" t="str">
        <f t="shared" si="33"/>
        <v>&gt;3</v>
      </c>
      <c r="AR85" t="str">
        <f t="shared" si="34"/>
        <v>&gt;3</v>
      </c>
    </row>
    <row r="86" spans="1:44" x14ac:dyDescent="0.3">
      <c r="A86" t="s">
        <v>33</v>
      </c>
      <c r="B86" t="s">
        <v>366</v>
      </c>
      <c r="C86" t="s">
        <v>58</v>
      </c>
      <c r="D86">
        <v>3581</v>
      </c>
      <c r="E86">
        <v>23310287</v>
      </c>
      <c r="F86" t="s">
        <v>569</v>
      </c>
      <c r="G86" t="s">
        <v>570</v>
      </c>
      <c r="H86">
        <v>100</v>
      </c>
      <c r="I86">
        <v>9800</v>
      </c>
      <c r="J86">
        <v>980000</v>
      </c>
      <c r="K86" t="str">
        <f>IFERROR(IF(B86&lt;&gt;"", TEXT(VLOOKUP(B86, 'Expected Date'!A:B, 2, FALSE) + DATE(RIGHT(C86,2),MID(C86,4,2),LEFT(C86,2)), "dd/mm/yy"), ""), "")</f>
        <v>03/08/23</v>
      </c>
      <c r="L86" t="s">
        <v>38</v>
      </c>
      <c r="M86" t="s">
        <v>48</v>
      </c>
      <c r="N86" t="s">
        <v>532</v>
      </c>
      <c r="O86" t="s">
        <v>58</v>
      </c>
      <c r="P86">
        <v>23390401</v>
      </c>
      <c r="Q86" t="s">
        <v>569</v>
      </c>
      <c r="R86" t="s">
        <v>570</v>
      </c>
      <c r="S86">
        <v>29.68</v>
      </c>
      <c r="T86">
        <v>9800</v>
      </c>
      <c r="U86">
        <v>290864</v>
      </c>
      <c r="V86" t="str">
        <f t="shared" si="35"/>
        <v>Accepted</v>
      </c>
      <c r="W86">
        <f>IFERROR(VLOOKUP(N86, Payment_Terms!A:B, 2, FALSE), "Payment term not found!")</f>
        <v>15</v>
      </c>
      <c r="X86" t="str">
        <f>IFERROR(VLOOKUP(R86, Item_Category!A:B, 2, FALSE), "Uncategorized")</f>
        <v>Coal materials</v>
      </c>
      <c r="Y86" s="5">
        <f t="shared" si="36"/>
        <v>0</v>
      </c>
      <c r="Z86">
        <f t="shared" si="23"/>
        <v>5</v>
      </c>
      <c r="AA86">
        <f t="shared" si="24"/>
        <v>-2</v>
      </c>
      <c r="AB86">
        <f t="shared" si="25"/>
        <v>5</v>
      </c>
      <c r="AC86" s="10">
        <f t="shared" si="26"/>
        <v>0</v>
      </c>
      <c r="AD86" s="5">
        <f t="shared" si="19"/>
        <v>1</v>
      </c>
      <c r="AE86" s="5">
        <f t="shared" si="20"/>
        <v>1</v>
      </c>
      <c r="AF86" s="5">
        <f t="shared" si="27"/>
        <v>0</v>
      </c>
      <c r="AG86">
        <f>IF(B86&lt;&gt;"", COUNTIFS($B$2:B86, B86), "")</f>
        <v>12</v>
      </c>
      <c r="AH86">
        <f t="shared" si="28"/>
        <v>5</v>
      </c>
      <c r="AI86" t="str">
        <f>VLOOKUP(B86, Currency!A:B, 2, FALSE)</f>
        <v>INR</v>
      </c>
      <c r="AJ86">
        <f t="shared" si="21"/>
        <v>5</v>
      </c>
      <c r="AK86">
        <f t="shared" si="29"/>
        <v>8</v>
      </c>
      <c r="AL86" t="str">
        <f t="shared" si="30"/>
        <v>August</v>
      </c>
      <c r="AM86">
        <f t="shared" si="31"/>
        <v>2023</v>
      </c>
      <c r="AN86" t="str">
        <f t="shared" si="22"/>
        <v>15SKYWIN ENTERPRISE</v>
      </c>
      <c r="AO86">
        <f>IF(COUNTIF($AN$2:AN86, AN86)=1, 1, 0)</f>
        <v>0</v>
      </c>
      <c r="AP86" t="str">
        <f t="shared" si="32"/>
        <v>&gt;3</v>
      </c>
      <c r="AQ86" t="str">
        <f t="shared" si="33"/>
        <v>&gt;3</v>
      </c>
      <c r="AR86" t="str">
        <f t="shared" si="34"/>
        <v>&gt;3</v>
      </c>
    </row>
    <row r="87" spans="1:44" x14ac:dyDescent="0.3">
      <c r="A87" t="s">
        <v>33</v>
      </c>
      <c r="B87" t="s">
        <v>122</v>
      </c>
      <c r="C87" t="s">
        <v>352</v>
      </c>
      <c r="D87">
        <v>2379</v>
      </c>
      <c r="E87">
        <v>23310162</v>
      </c>
      <c r="F87" t="s">
        <v>565</v>
      </c>
      <c r="G87" t="s">
        <v>566</v>
      </c>
      <c r="H87">
        <v>200</v>
      </c>
      <c r="I87">
        <v>930</v>
      </c>
      <c r="J87">
        <v>186000</v>
      </c>
      <c r="K87" t="str">
        <f>IFERROR(IF(B87&lt;&gt;"", TEXT(VLOOKUP(B87, 'Expected Date'!A:B, 2, FALSE) + DATE(RIGHT(C87,2),MID(C87,4,2),LEFT(C87,2)), "dd/mm/yy"), ""), "")</f>
        <v>17/06/23</v>
      </c>
      <c r="L87" t="s">
        <v>38</v>
      </c>
      <c r="M87" t="s">
        <v>39</v>
      </c>
      <c r="N87" t="s">
        <v>318</v>
      </c>
      <c r="O87" t="s">
        <v>543</v>
      </c>
      <c r="P87">
        <v>23390366</v>
      </c>
      <c r="Q87" t="s">
        <v>565</v>
      </c>
      <c r="R87" t="s">
        <v>566</v>
      </c>
      <c r="S87">
        <v>25</v>
      </c>
      <c r="T87">
        <v>930</v>
      </c>
      <c r="U87">
        <v>23250</v>
      </c>
      <c r="V87" t="str">
        <f t="shared" si="35"/>
        <v>Accepted</v>
      </c>
      <c r="W87">
        <f>IFERROR(VLOOKUP(N87, Payment_Terms!A:B, 2, FALSE), "Payment term not found!")</f>
        <v>30</v>
      </c>
      <c r="X87" t="str">
        <f>IFERROR(VLOOKUP(R87, Item_Category!A:B, 2, FALSE), "Uncategorized")</f>
        <v>Pallets</v>
      </c>
      <c r="Y87" s="5">
        <f t="shared" si="36"/>
        <v>0</v>
      </c>
      <c r="Z87">
        <f t="shared" si="23"/>
        <v>5</v>
      </c>
      <c r="AA87">
        <f t="shared" si="24"/>
        <v>41</v>
      </c>
      <c r="AB87">
        <f t="shared" si="25"/>
        <v>1</v>
      </c>
      <c r="AC87" s="10">
        <f t="shared" si="26"/>
        <v>56</v>
      </c>
      <c r="AD87" s="5">
        <f t="shared" si="19"/>
        <v>1</v>
      </c>
      <c r="AE87" s="5">
        <f t="shared" si="20"/>
        <v>1</v>
      </c>
      <c r="AF87" s="5">
        <f t="shared" si="27"/>
        <v>0</v>
      </c>
      <c r="AG87">
        <f>IF(B87&lt;&gt;"", COUNTIFS($B$2:B87, B87), "")</f>
        <v>4</v>
      </c>
      <c r="AH87">
        <f t="shared" si="28"/>
        <v>5</v>
      </c>
      <c r="AI87" t="str">
        <f>VLOOKUP(B87, Currency!A:B, 2, FALSE)</f>
        <v>INR</v>
      </c>
      <c r="AJ87">
        <f t="shared" si="21"/>
        <v>4</v>
      </c>
      <c r="AK87">
        <f t="shared" si="29"/>
        <v>6</v>
      </c>
      <c r="AL87" t="str">
        <f t="shared" si="30"/>
        <v>June</v>
      </c>
      <c r="AM87">
        <f t="shared" si="31"/>
        <v>2023</v>
      </c>
      <c r="AN87" t="str">
        <f t="shared" si="22"/>
        <v>30Plastocon Industries Pvt Ltd</v>
      </c>
      <c r="AO87">
        <f>IF(COUNTIF($AN$2:AN87, AN87)=1, 1, 0)</f>
        <v>0</v>
      </c>
      <c r="AP87" t="str">
        <f t="shared" si="32"/>
        <v>&gt;3</v>
      </c>
      <c r="AQ87" t="str">
        <f t="shared" si="33"/>
        <v>&gt;3</v>
      </c>
      <c r="AR87" t="str">
        <f t="shared" si="34"/>
        <v>&lt;=3</v>
      </c>
    </row>
    <row r="88" spans="1:44" x14ac:dyDescent="0.3">
      <c r="A88" t="s">
        <v>33</v>
      </c>
      <c r="B88" t="s">
        <v>366</v>
      </c>
      <c r="C88" t="s">
        <v>476</v>
      </c>
      <c r="D88">
        <v>3937</v>
      </c>
      <c r="E88">
        <v>23310313</v>
      </c>
      <c r="F88" t="s">
        <v>569</v>
      </c>
      <c r="G88" t="s">
        <v>570</v>
      </c>
      <c r="H88">
        <v>100</v>
      </c>
      <c r="I88">
        <v>9800</v>
      </c>
      <c r="J88">
        <v>980000</v>
      </c>
      <c r="K88" t="str">
        <f>IFERROR(IF(B88&lt;&gt;"", TEXT(VLOOKUP(B88, 'Expected Date'!A:B, 2, FALSE) + DATE(RIGHT(C88,2),MID(C88,4,2),LEFT(C88,2)), "dd/mm/yy"), ""), "")</f>
        <v>17/08/23</v>
      </c>
      <c r="L88" t="s">
        <v>38</v>
      </c>
      <c r="M88" t="s">
        <v>48</v>
      </c>
      <c r="N88" t="s">
        <v>532</v>
      </c>
      <c r="O88" t="s">
        <v>394</v>
      </c>
      <c r="P88">
        <v>23390459</v>
      </c>
      <c r="Q88" t="s">
        <v>569</v>
      </c>
      <c r="R88" t="s">
        <v>570</v>
      </c>
      <c r="S88">
        <v>28.6</v>
      </c>
      <c r="T88">
        <v>9800</v>
      </c>
      <c r="U88">
        <v>280280</v>
      </c>
      <c r="V88" t="str">
        <f t="shared" si="35"/>
        <v>Accepted</v>
      </c>
      <c r="W88">
        <f>IFERROR(VLOOKUP(N88, Payment_Terms!A:B, 2, FALSE), "Payment term not found!")</f>
        <v>15</v>
      </c>
      <c r="X88" t="str">
        <f>IFERROR(VLOOKUP(R88, Item_Category!A:B, 2, FALSE), "Uncategorized")</f>
        <v>Coal materials</v>
      </c>
      <c r="Y88" s="5">
        <f t="shared" si="36"/>
        <v>0</v>
      </c>
      <c r="Z88">
        <f t="shared" si="23"/>
        <v>5</v>
      </c>
      <c r="AA88">
        <f t="shared" si="24"/>
        <v>0</v>
      </c>
      <c r="AB88">
        <f t="shared" si="25"/>
        <v>5</v>
      </c>
      <c r="AC88" s="10">
        <f t="shared" si="26"/>
        <v>2</v>
      </c>
      <c r="AD88" s="5">
        <f t="shared" si="19"/>
        <v>1</v>
      </c>
      <c r="AE88" s="5">
        <f t="shared" si="20"/>
        <v>1</v>
      </c>
      <c r="AF88" s="5">
        <f t="shared" si="27"/>
        <v>0</v>
      </c>
      <c r="AG88">
        <f>IF(B88&lt;&gt;"", COUNTIFS($B$2:B88, B88), "")</f>
        <v>13</v>
      </c>
      <c r="AH88">
        <f t="shared" si="28"/>
        <v>5</v>
      </c>
      <c r="AI88" t="str">
        <f>VLOOKUP(B88, Currency!A:B, 2, FALSE)</f>
        <v>INR</v>
      </c>
      <c r="AJ88">
        <f t="shared" si="21"/>
        <v>5</v>
      </c>
      <c r="AK88">
        <f t="shared" si="29"/>
        <v>8</v>
      </c>
      <c r="AL88" t="str">
        <f t="shared" si="30"/>
        <v>August</v>
      </c>
      <c r="AM88">
        <f t="shared" si="31"/>
        <v>2023</v>
      </c>
      <c r="AN88" t="str">
        <f t="shared" si="22"/>
        <v>15SKYWIN ENTERPRISE</v>
      </c>
      <c r="AO88">
        <f>IF(COUNTIF($AN$2:AN88, AN88)=1, 1, 0)</f>
        <v>0</v>
      </c>
      <c r="AP88" t="str">
        <f t="shared" si="32"/>
        <v>&gt;3</v>
      </c>
      <c r="AQ88" t="str">
        <f t="shared" si="33"/>
        <v>&gt;3</v>
      </c>
      <c r="AR88" t="str">
        <f t="shared" si="34"/>
        <v>&gt;3</v>
      </c>
    </row>
    <row r="89" spans="1:44" x14ac:dyDescent="0.3">
      <c r="A89" t="s">
        <v>33</v>
      </c>
      <c r="B89" t="s">
        <v>366</v>
      </c>
      <c r="C89" t="s">
        <v>476</v>
      </c>
      <c r="D89">
        <v>3937</v>
      </c>
      <c r="E89">
        <v>23310313</v>
      </c>
      <c r="F89" t="s">
        <v>569</v>
      </c>
      <c r="G89" t="s">
        <v>570</v>
      </c>
      <c r="H89">
        <v>100</v>
      </c>
      <c r="I89">
        <v>9800</v>
      </c>
      <c r="J89">
        <v>980000</v>
      </c>
      <c r="K89" t="str">
        <f>IFERROR(IF(B89&lt;&gt;"", TEXT(VLOOKUP(B89, 'Expected Date'!A:B, 2, FALSE) + DATE(RIGHT(C89,2),MID(C89,4,2),LEFT(C89,2)), "dd/mm/yy"), ""), "")</f>
        <v>17/08/23</v>
      </c>
      <c r="L89" t="s">
        <v>38</v>
      </c>
      <c r="M89" t="s">
        <v>48</v>
      </c>
      <c r="N89" t="s">
        <v>532</v>
      </c>
      <c r="O89" t="s">
        <v>501</v>
      </c>
      <c r="P89">
        <v>23390460</v>
      </c>
      <c r="Q89" t="s">
        <v>569</v>
      </c>
      <c r="R89" t="s">
        <v>570</v>
      </c>
      <c r="S89">
        <v>28.83</v>
      </c>
      <c r="T89">
        <v>9800</v>
      </c>
      <c r="U89">
        <v>282534</v>
      </c>
      <c r="V89" t="str">
        <f t="shared" si="35"/>
        <v>Accepted</v>
      </c>
      <c r="W89">
        <f>IFERROR(VLOOKUP(N89, Payment_Terms!A:B, 2, FALSE), "Payment term not found!")</f>
        <v>15</v>
      </c>
      <c r="X89" t="str">
        <f>IFERROR(VLOOKUP(R89, Item_Category!A:B, 2, FALSE), "Uncategorized")</f>
        <v>Coal materials</v>
      </c>
      <c r="Y89" s="5">
        <f t="shared" si="36"/>
        <v>0</v>
      </c>
      <c r="Z89">
        <f t="shared" si="23"/>
        <v>5</v>
      </c>
      <c r="AA89">
        <f t="shared" si="24"/>
        <v>3</v>
      </c>
      <c r="AB89">
        <f t="shared" si="25"/>
        <v>4</v>
      </c>
      <c r="AC89" s="10">
        <f t="shared" si="26"/>
        <v>5</v>
      </c>
      <c r="AD89" s="5">
        <f t="shared" si="19"/>
        <v>1</v>
      </c>
      <c r="AE89" s="5">
        <f t="shared" si="20"/>
        <v>1</v>
      </c>
      <c r="AF89" s="5">
        <f t="shared" si="27"/>
        <v>0</v>
      </c>
      <c r="AG89">
        <f>IF(B89&lt;&gt;"", COUNTIFS($B$2:B89, B89), "")</f>
        <v>14</v>
      </c>
      <c r="AH89">
        <f t="shared" si="28"/>
        <v>5</v>
      </c>
      <c r="AI89" t="str">
        <f>VLOOKUP(B89, Currency!A:B, 2, FALSE)</f>
        <v>INR</v>
      </c>
      <c r="AJ89">
        <f t="shared" si="21"/>
        <v>5</v>
      </c>
      <c r="AK89">
        <f t="shared" si="29"/>
        <v>8</v>
      </c>
      <c r="AL89" t="str">
        <f t="shared" si="30"/>
        <v>August</v>
      </c>
      <c r="AM89">
        <f t="shared" si="31"/>
        <v>2023</v>
      </c>
      <c r="AN89" t="str">
        <f t="shared" si="22"/>
        <v>15SKYWIN ENTERPRISE</v>
      </c>
      <c r="AO89">
        <f>IF(COUNTIF($AN$2:AN89, AN89)=1, 1, 0)</f>
        <v>0</v>
      </c>
      <c r="AP89" t="str">
        <f t="shared" si="32"/>
        <v>&gt;3</v>
      </c>
      <c r="AQ89" t="str">
        <f t="shared" si="33"/>
        <v>&gt;3</v>
      </c>
      <c r="AR89" t="str">
        <f t="shared" si="34"/>
        <v>&gt;3</v>
      </c>
    </row>
    <row r="90" spans="1:44" x14ac:dyDescent="0.3">
      <c r="A90" t="str">
        <f>A84</f>
        <v>Woodpulp</v>
      </c>
      <c r="B90" t="s">
        <v>140</v>
      </c>
      <c r="C90" t="s">
        <v>90</v>
      </c>
      <c r="D90">
        <v>2878</v>
      </c>
      <c r="E90">
        <v>23320027</v>
      </c>
      <c r="F90" t="s">
        <v>571</v>
      </c>
      <c r="G90" t="s">
        <v>360</v>
      </c>
      <c r="H90">
        <v>50</v>
      </c>
      <c r="I90">
        <v>830</v>
      </c>
      <c r="J90">
        <v>3376025</v>
      </c>
      <c r="K90" t="str">
        <f>IFERROR(IF(B90&lt;&gt;"", TEXT(VLOOKUP(B90, 'Expected Date'!A:B, 2, FALSE) + DATE(RIGHT(C90,2),MID(C90,4,2),LEFT(C90,2)), "dd/mm/yy"), ""), "")</f>
        <v>20/08/23</v>
      </c>
      <c r="L90" t="s">
        <v>68</v>
      </c>
      <c r="M90" t="str">
        <f>M20</f>
        <v>MT</v>
      </c>
      <c r="N90" t="s">
        <v>144</v>
      </c>
      <c r="O90" t="s">
        <v>293</v>
      </c>
      <c r="P90">
        <v>23390462</v>
      </c>
      <c r="Q90" t="s">
        <v>571</v>
      </c>
      <c r="R90" t="s">
        <v>143</v>
      </c>
      <c r="S90">
        <v>49.354999999999997</v>
      </c>
      <c r="T90">
        <v>830</v>
      </c>
      <c r="U90">
        <v>3367294.23</v>
      </c>
      <c r="V90" t="str">
        <f t="shared" si="35"/>
        <v>Accepted</v>
      </c>
      <c r="W90">
        <f>IFERROR(VLOOKUP(N90, Payment_Terms!A:B, 2, FALSE), "Payment term not found!")</f>
        <v>30</v>
      </c>
      <c r="X90" t="str">
        <f>IFERROR(VLOOKUP(R90, Item_Category!A:B, 2, FALSE), "Uncategorized")</f>
        <v>Wood pulp</v>
      </c>
      <c r="Y90" s="5">
        <f t="shared" si="36"/>
        <v>1.2900000000000062E-2</v>
      </c>
      <c r="Z90">
        <f t="shared" si="23"/>
        <v>4</v>
      </c>
      <c r="AA90">
        <f t="shared" si="24"/>
        <v>2</v>
      </c>
      <c r="AB90">
        <f t="shared" si="25"/>
        <v>5</v>
      </c>
      <c r="AC90" s="10">
        <f t="shared" si="26"/>
        <v>47</v>
      </c>
      <c r="AD90" s="5">
        <f t="shared" si="19"/>
        <v>1</v>
      </c>
      <c r="AE90" s="5">
        <f t="shared" si="20"/>
        <v>1</v>
      </c>
      <c r="AF90" s="5">
        <f t="shared" si="27"/>
        <v>0</v>
      </c>
      <c r="AG90">
        <f>IF(B90&lt;&gt;"", COUNTIFS($B$2:B90, B90), "")</f>
        <v>3</v>
      </c>
      <c r="AH90">
        <f t="shared" si="28"/>
        <v>5</v>
      </c>
      <c r="AI90" t="str">
        <f>VLOOKUP(B90, Currency!A:B, 2, FALSE)</f>
        <v>USD</v>
      </c>
      <c r="AJ90">
        <f t="shared" si="21"/>
        <v>5</v>
      </c>
      <c r="AK90">
        <f t="shared" si="29"/>
        <v>7</v>
      </c>
      <c r="AL90" t="str">
        <f t="shared" si="30"/>
        <v>July</v>
      </c>
      <c r="AM90">
        <f t="shared" si="31"/>
        <v>2023</v>
      </c>
      <c r="AN90" t="str">
        <f t="shared" si="22"/>
        <v>30Sappi Paper Holdings GMBH</v>
      </c>
      <c r="AO90">
        <f>IF(COUNTIF($AN$2:AN90, AN90)=1, 1, 0)</f>
        <v>0</v>
      </c>
      <c r="AP90" t="str">
        <f t="shared" si="32"/>
        <v>&gt;3</v>
      </c>
      <c r="AQ90" t="str">
        <f t="shared" si="33"/>
        <v>&gt;3</v>
      </c>
      <c r="AR90" t="str">
        <f t="shared" si="34"/>
        <v>&gt;3</v>
      </c>
    </row>
    <row r="91" spans="1:44" x14ac:dyDescent="0.3">
      <c r="A91" t="str">
        <f>A90</f>
        <v>Woodpulp</v>
      </c>
      <c r="B91" t="s">
        <v>140</v>
      </c>
      <c r="C91" t="s">
        <v>90</v>
      </c>
      <c r="D91">
        <v>2879</v>
      </c>
      <c r="E91">
        <v>23320028</v>
      </c>
      <c r="F91" t="s">
        <v>571</v>
      </c>
      <c r="G91" t="s">
        <v>360</v>
      </c>
      <c r="H91">
        <v>50</v>
      </c>
      <c r="I91">
        <v>830</v>
      </c>
      <c r="J91">
        <v>3376025</v>
      </c>
      <c r="K91" t="str">
        <f>IFERROR(IF(B91&lt;&gt;"", TEXT(VLOOKUP(B91, 'Expected Date'!A:B, 2, FALSE) + DATE(RIGHT(C91,2),MID(C91,4,2),LEFT(C91,2)), "dd/mm/yy"), ""), "")</f>
        <v>20/08/23</v>
      </c>
      <c r="L91" t="s">
        <v>68</v>
      </c>
      <c r="M91" t="str">
        <f>M20</f>
        <v>MT</v>
      </c>
      <c r="N91" t="s">
        <v>144</v>
      </c>
      <c r="O91" t="s">
        <v>247</v>
      </c>
      <c r="P91">
        <v>23390642</v>
      </c>
      <c r="Q91" t="s">
        <v>571</v>
      </c>
      <c r="R91" t="s">
        <v>143</v>
      </c>
      <c r="S91">
        <v>49.14</v>
      </c>
      <c r="T91">
        <v>830</v>
      </c>
      <c r="U91">
        <v>3356704.26</v>
      </c>
      <c r="V91" t="str">
        <f t="shared" si="35"/>
        <v>Accepted</v>
      </c>
      <c r="W91">
        <f>IFERROR(VLOOKUP(N91, Payment_Terms!A:B, 2, FALSE), "Payment term not found!")</f>
        <v>30</v>
      </c>
      <c r="X91" t="str">
        <f>IFERROR(VLOOKUP(R91, Item_Category!A:B, 2, FALSE), "Uncategorized")</f>
        <v>Wood pulp</v>
      </c>
      <c r="Y91" s="5">
        <f t="shared" si="36"/>
        <v>1.719999999999999E-2</v>
      </c>
      <c r="Z91">
        <f t="shared" si="23"/>
        <v>4</v>
      </c>
      <c r="AA91">
        <f t="shared" si="24"/>
        <v>46</v>
      </c>
      <c r="AB91">
        <f t="shared" si="25"/>
        <v>1</v>
      </c>
      <c r="AC91" s="10">
        <f t="shared" si="26"/>
        <v>91</v>
      </c>
      <c r="AD91" s="5">
        <f t="shared" si="19"/>
        <v>1</v>
      </c>
      <c r="AE91" s="5">
        <f t="shared" si="20"/>
        <v>1</v>
      </c>
      <c r="AF91" s="5">
        <f t="shared" si="27"/>
        <v>0</v>
      </c>
      <c r="AG91">
        <f>IF(B91&lt;&gt;"", COUNTIFS($B$2:B91, B91), "")</f>
        <v>4</v>
      </c>
      <c r="AH91">
        <f t="shared" si="28"/>
        <v>5</v>
      </c>
      <c r="AI91" t="str">
        <f>VLOOKUP(B91, Currency!A:B, 2, FALSE)</f>
        <v>USD</v>
      </c>
      <c r="AJ91">
        <f t="shared" si="21"/>
        <v>4</v>
      </c>
      <c r="AK91">
        <f t="shared" si="29"/>
        <v>7</v>
      </c>
      <c r="AL91" t="str">
        <f t="shared" si="30"/>
        <v>July</v>
      </c>
      <c r="AM91">
        <f t="shared" si="31"/>
        <v>2023</v>
      </c>
      <c r="AN91" t="str">
        <f t="shared" si="22"/>
        <v>30Sappi Paper Holdings GMBH</v>
      </c>
      <c r="AO91">
        <f>IF(COUNTIF($AN$2:AN91, AN91)=1, 1, 0)</f>
        <v>0</v>
      </c>
      <c r="AP91" t="str">
        <f t="shared" si="32"/>
        <v>&gt;3</v>
      </c>
      <c r="AQ91" t="str">
        <f t="shared" si="33"/>
        <v>&gt;3</v>
      </c>
      <c r="AR91" t="str">
        <f t="shared" si="34"/>
        <v>&lt;=3</v>
      </c>
    </row>
    <row r="92" spans="1:44" x14ac:dyDescent="0.3">
      <c r="A92" t="s">
        <v>33</v>
      </c>
      <c r="B92" t="s">
        <v>386</v>
      </c>
      <c r="C92" t="s">
        <v>57</v>
      </c>
      <c r="D92">
        <v>3521</v>
      </c>
      <c r="E92">
        <v>23310273</v>
      </c>
      <c r="F92" t="s">
        <v>560</v>
      </c>
      <c r="G92" t="s">
        <v>561</v>
      </c>
      <c r="H92">
        <v>500</v>
      </c>
      <c r="I92">
        <v>19.5</v>
      </c>
      <c r="J92">
        <v>9750</v>
      </c>
      <c r="K92" t="str">
        <f>IFERROR(IF(B92&lt;&gt;"", TEXT(VLOOKUP(B92, 'Expected Date'!A:B, 2, FALSE) + DATE(RIGHT(C92,2),MID(C92,4,2),LEFT(C92,2)), "dd/mm/yy"), ""), "")</f>
        <v>08/08/23</v>
      </c>
      <c r="L92" t="s">
        <v>38</v>
      </c>
      <c r="M92" t="s">
        <v>39</v>
      </c>
      <c r="N92" t="s">
        <v>318</v>
      </c>
      <c r="O92" t="s">
        <v>487</v>
      </c>
      <c r="P92">
        <v>23390396</v>
      </c>
      <c r="Q92" t="s">
        <v>560</v>
      </c>
      <c r="R92" t="s">
        <v>561</v>
      </c>
      <c r="S92">
        <v>526</v>
      </c>
      <c r="T92">
        <v>19.5</v>
      </c>
      <c r="U92">
        <v>10257</v>
      </c>
      <c r="V92" t="str">
        <f t="shared" si="35"/>
        <v>Accepted</v>
      </c>
      <c r="W92">
        <f>IFERROR(VLOOKUP(N92, Payment_Terms!A:B, 2, FALSE), "Payment term not found!")</f>
        <v>30</v>
      </c>
      <c r="X92" t="str">
        <f>IFERROR(VLOOKUP(R92, Item_Category!A:B, 2, FALSE), "Uncategorized")</f>
        <v>HDPE bag glocel</v>
      </c>
      <c r="Y92" s="5">
        <f>IFERROR(IF(AND(E92&lt;&gt;"", G92&lt;&gt;""), MAX(0, (H92-SUMIFS(S:S, E:E, E92, G:G, G92))/H92), ""), (H92-S92)/H92)</f>
        <v>0</v>
      </c>
      <c r="Z92">
        <f t="shared" si="23"/>
        <v>5</v>
      </c>
      <c r="AA92">
        <f t="shared" si="24"/>
        <v>-2</v>
      </c>
      <c r="AB92">
        <f t="shared" si="25"/>
        <v>5</v>
      </c>
      <c r="AC92" s="10">
        <f t="shared" si="26"/>
        <v>3</v>
      </c>
      <c r="AD92" s="5">
        <f t="shared" si="19"/>
        <v>1</v>
      </c>
      <c r="AE92" s="5">
        <f t="shared" si="20"/>
        <v>1</v>
      </c>
      <c r="AF92" s="5">
        <f t="shared" si="27"/>
        <v>0</v>
      </c>
      <c r="AG92">
        <f>IF(B92&lt;&gt;"", COUNTIFS($B$2:B92, B92), "")</f>
        <v>8</v>
      </c>
      <c r="AH92">
        <f t="shared" si="28"/>
        <v>5</v>
      </c>
      <c r="AI92" t="str">
        <f>VLOOKUP(B92, Currency!A:B, 2, FALSE)</f>
        <v>INR</v>
      </c>
      <c r="AJ92">
        <f t="shared" si="21"/>
        <v>5</v>
      </c>
      <c r="AK92">
        <f t="shared" si="29"/>
        <v>8</v>
      </c>
      <c r="AL92" t="str">
        <f t="shared" si="30"/>
        <v>August</v>
      </c>
      <c r="AM92">
        <f t="shared" si="31"/>
        <v>2023</v>
      </c>
      <c r="AN92" t="str">
        <f t="shared" si="22"/>
        <v>30Shree Shyam Enterprises</v>
      </c>
      <c r="AO92">
        <f>IF(COUNTIF($AN$2:AN92, AN92)=1, 1, 0)</f>
        <v>0</v>
      </c>
      <c r="AP92" t="str">
        <f t="shared" si="32"/>
        <v>&gt;3</v>
      </c>
      <c r="AQ92" t="str">
        <f t="shared" si="33"/>
        <v>&gt;3</v>
      </c>
      <c r="AR92" t="str">
        <f t="shared" si="34"/>
        <v>&gt;3</v>
      </c>
    </row>
    <row r="93" spans="1:44" x14ac:dyDescent="0.3">
      <c r="A93" t="s">
        <v>33</v>
      </c>
      <c r="B93" t="s">
        <v>122</v>
      </c>
      <c r="C93" t="s">
        <v>352</v>
      </c>
      <c r="D93">
        <v>2379</v>
      </c>
      <c r="E93">
        <v>23310162</v>
      </c>
      <c r="F93" t="s">
        <v>565</v>
      </c>
      <c r="G93" t="s">
        <v>566</v>
      </c>
      <c r="H93">
        <v>200</v>
      </c>
      <c r="I93">
        <v>930</v>
      </c>
      <c r="J93">
        <v>186000</v>
      </c>
      <c r="K93" t="str">
        <f>IFERROR(IF(B93&lt;&gt;"", TEXT(VLOOKUP(B93, 'Expected Date'!A:B, 2, FALSE) + DATE(RIGHT(C93,2),MID(C93,4,2),LEFT(C93,2)), "dd/mm/yy"), ""), "")</f>
        <v>17/06/23</v>
      </c>
      <c r="L93" t="s">
        <v>38</v>
      </c>
      <c r="M93" t="s">
        <v>39</v>
      </c>
      <c r="N93" t="s">
        <v>318</v>
      </c>
      <c r="O93" t="s">
        <v>202</v>
      </c>
      <c r="P93">
        <v>23390406</v>
      </c>
      <c r="Q93" t="s">
        <v>565</v>
      </c>
      <c r="R93" t="s">
        <v>566</v>
      </c>
      <c r="S93">
        <v>35</v>
      </c>
      <c r="T93">
        <v>930</v>
      </c>
      <c r="U93">
        <v>32550</v>
      </c>
      <c r="V93" t="str">
        <f t="shared" si="35"/>
        <v>Accepted</v>
      </c>
      <c r="W93">
        <f>IFERROR(VLOOKUP(N93, Payment_Terms!A:B, 2, FALSE), "Payment term not found!")</f>
        <v>30</v>
      </c>
      <c r="X93" t="str">
        <f>IFERROR(VLOOKUP(R93, Item_Category!A:B, 2, FALSE), "Uncategorized")</f>
        <v>Pallets</v>
      </c>
      <c r="Y93" s="5">
        <f>IFERROR(IF(AND(E93&lt;&gt;"", G93&lt;&gt;""), MAX(0, (H93-SUMIFS(S:S, E:E, E93, G:G, G93))/H93), ""), (H93-S93)/H93)</f>
        <v>0</v>
      </c>
      <c r="Z93">
        <f t="shared" si="23"/>
        <v>5</v>
      </c>
      <c r="AA93">
        <f t="shared" si="24"/>
        <v>53</v>
      </c>
      <c r="AB93">
        <f t="shared" si="25"/>
        <v>1</v>
      </c>
      <c r="AC93" s="10">
        <f t="shared" si="26"/>
        <v>68</v>
      </c>
      <c r="AD93" s="5">
        <f t="shared" si="19"/>
        <v>1</v>
      </c>
      <c r="AE93" s="5">
        <f t="shared" si="20"/>
        <v>1</v>
      </c>
      <c r="AF93" s="5">
        <f t="shared" si="27"/>
        <v>0</v>
      </c>
      <c r="AG93">
        <f>IF(B93&lt;&gt;"", COUNTIFS($B$2:B93, B93), "")</f>
        <v>5</v>
      </c>
      <c r="AH93">
        <f t="shared" si="28"/>
        <v>5</v>
      </c>
      <c r="AI93" t="str">
        <f>VLOOKUP(B93, Currency!A:B, 2, FALSE)</f>
        <v>INR</v>
      </c>
      <c r="AJ93">
        <f t="shared" si="21"/>
        <v>4</v>
      </c>
      <c r="AK93">
        <f t="shared" si="29"/>
        <v>6</v>
      </c>
      <c r="AL93" t="str">
        <f t="shared" si="30"/>
        <v>June</v>
      </c>
      <c r="AM93">
        <f t="shared" si="31"/>
        <v>2023</v>
      </c>
      <c r="AN93" t="str">
        <f t="shared" si="22"/>
        <v>30Plastocon Industries Pvt Ltd</v>
      </c>
      <c r="AO93">
        <f>IF(COUNTIF($AN$2:AN93, AN93)=1, 1, 0)</f>
        <v>0</v>
      </c>
      <c r="AP93" t="str">
        <f t="shared" si="32"/>
        <v>&gt;3</v>
      </c>
      <c r="AQ93" t="str">
        <f t="shared" si="33"/>
        <v>&gt;3</v>
      </c>
      <c r="AR93" t="str">
        <f t="shared" si="34"/>
        <v>&lt;=3</v>
      </c>
    </row>
    <row r="94" spans="1:44" x14ac:dyDescent="0.3">
      <c r="A94" t="s">
        <v>33</v>
      </c>
      <c r="B94" t="s">
        <v>513</v>
      </c>
      <c r="C94" t="s">
        <v>172</v>
      </c>
      <c r="D94">
        <v>1186</v>
      </c>
      <c r="E94">
        <v>23310008</v>
      </c>
      <c r="F94" t="s">
        <v>563</v>
      </c>
      <c r="G94" t="s">
        <v>515</v>
      </c>
      <c r="H94">
        <v>2500</v>
      </c>
      <c r="I94">
        <v>26</v>
      </c>
      <c r="J94">
        <v>65000</v>
      </c>
      <c r="K94" t="str">
        <f>IFERROR(IF(B94&lt;&gt;"", TEXT(VLOOKUP(B94, 'Expected Date'!A:B, 2, FALSE) + DATE(RIGHT(C94,2),MID(C94,4,2),LEFT(C94,2)), "dd/mm/yy"), ""), "")</f>
        <v>08/04/23</v>
      </c>
      <c r="L94" t="s">
        <v>38</v>
      </c>
      <c r="M94" t="s">
        <v>48</v>
      </c>
      <c r="N94" t="s">
        <v>342</v>
      </c>
      <c r="O94" t="s">
        <v>378</v>
      </c>
      <c r="P94">
        <v>23390026</v>
      </c>
      <c r="Q94" t="s">
        <v>563</v>
      </c>
      <c r="R94" t="s">
        <v>564</v>
      </c>
      <c r="S94">
        <v>500</v>
      </c>
      <c r="T94">
        <v>26</v>
      </c>
      <c r="U94">
        <v>13000</v>
      </c>
      <c r="V94" t="str">
        <f t="shared" si="35"/>
        <v>Accepted</v>
      </c>
      <c r="W94">
        <f>IFERROR(VLOOKUP(N94, Payment_Terms!A:B, 2, FALSE), "Payment term not found!")</f>
        <v>30</v>
      </c>
      <c r="X94" t="str">
        <f>IFERROR(VLOOKUP(R94, Item_Category!A:B, 2, FALSE), "Uncategorized")</f>
        <v xml:space="preserve">Caustic Soda </v>
      </c>
      <c r="Y94" s="5">
        <f t="shared" ref="Y94:Y106" si="37">IFERROR(IF(AND(E94&lt;&gt;"", G94&lt;&gt;""), MAX(0, (H94-SUMIFS(S:S, E:E, E94, G:G, G94))/H94), ""), (H94-S94)/H94)</f>
        <v>0</v>
      </c>
      <c r="Z94">
        <f t="shared" si="23"/>
        <v>5</v>
      </c>
      <c r="AA94">
        <f t="shared" si="24"/>
        <v>7</v>
      </c>
      <c r="AB94">
        <f t="shared" si="25"/>
        <v>3</v>
      </c>
      <c r="AC94" s="10">
        <f t="shared" si="26"/>
        <v>9</v>
      </c>
      <c r="AD94" s="5">
        <f t="shared" si="19"/>
        <v>1</v>
      </c>
      <c r="AE94" s="5">
        <f t="shared" si="20"/>
        <v>1</v>
      </c>
      <c r="AF94" s="5">
        <f t="shared" si="27"/>
        <v>0</v>
      </c>
      <c r="AG94">
        <f>IF(B94&lt;&gt;"", COUNTIFS($B$2:B94, B94), "")</f>
        <v>8</v>
      </c>
      <c r="AH94">
        <f t="shared" si="28"/>
        <v>5</v>
      </c>
      <c r="AI94" t="str">
        <f>VLOOKUP(B94, Currency!A:B, 2, FALSE)</f>
        <v>INR</v>
      </c>
      <c r="AJ94">
        <f t="shared" si="21"/>
        <v>5</v>
      </c>
      <c r="AK94">
        <f t="shared" si="29"/>
        <v>4</v>
      </c>
      <c r="AL94" t="str">
        <f t="shared" si="30"/>
        <v>April</v>
      </c>
      <c r="AM94">
        <f t="shared" si="31"/>
        <v>2023</v>
      </c>
      <c r="AN94" t="str">
        <f t="shared" si="22"/>
        <v>30J.K.Marketing</v>
      </c>
      <c r="AO94">
        <f>IF(COUNTIF($AN$2:AN94, AN94)=1, 1, 0)</f>
        <v>0</v>
      </c>
      <c r="AP94" t="str">
        <f t="shared" si="32"/>
        <v>&gt;3</v>
      </c>
      <c r="AQ94" t="str">
        <f t="shared" si="33"/>
        <v>&gt;3</v>
      </c>
      <c r="AR94" t="str">
        <f t="shared" si="34"/>
        <v>&lt;=3</v>
      </c>
    </row>
    <row r="95" spans="1:44" x14ac:dyDescent="0.3">
      <c r="A95" t="s">
        <v>33</v>
      </c>
      <c r="B95" t="s">
        <v>592</v>
      </c>
      <c r="C95" t="s">
        <v>172</v>
      </c>
      <c r="D95">
        <v>1182</v>
      </c>
      <c r="E95">
        <v>23310005</v>
      </c>
      <c r="F95" t="s">
        <v>552</v>
      </c>
      <c r="G95" t="s">
        <v>373</v>
      </c>
      <c r="H95">
        <v>20</v>
      </c>
      <c r="I95">
        <v>250</v>
      </c>
      <c r="J95">
        <v>5000</v>
      </c>
      <c r="K95" t="str">
        <f>IFERROR(IF(B95&lt;&gt;"", TEXT(VLOOKUP(B95, 'Expected Date'!A:B, 2, FALSE) + DATE(RIGHT(C95,2),MID(C95,4,2),LEFT(C95,2)), "dd/mm/yy"), ""), "")</f>
        <v>16/04/23</v>
      </c>
      <c r="L95" t="s">
        <v>68</v>
      </c>
      <c r="M95" t="s">
        <v>48</v>
      </c>
      <c r="N95" t="s">
        <v>342</v>
      </c>
      <c r="O95" t="s">
        <v>374</v>
      </c>
      <c r="P95">
        <v>23390020</v>
      </c>
      <c r="Q95" t="s">
        <v>552</v>
      </c>
      <c r="R95" t="s">
        <v>553</v>
      </c>
      <c r="S95">
        <v>10.33</v>
      </c>
      <c r="T95">
        <v>250</v>
      </c>
      <c r="U95">
        <v>2582.5</v>
      </c>
      <c r="V95" t="str">
        <f t="shared" si="35"/>
        <v>Accepted</v>
      </c>
      <c r="W95">
        <f>IFERROR(VLOOKUP(N95, Payment_Terms!A:B, 2, FALSE), "Payment term not found!")</f>
        <v>30</v>
      </c>
      <c r="X95" t="str">
        <f>IFERROR(VLOOKUP(R95, Item_Category!A:B, 2, FALSE), "Uncategorized")</f>
        <v>HCL</v>
      </c>
      <c r="Y95" s="5">
        <f t="shared" si="37"/>
        <v>0.48349999999999999</v>
      </c>
      <c r="Z95">
        <f t="shared" si="23"/>
        <v>1</v>
      </c>
      <c r="AA95">
        <f t="shared" si="24"/>
        <v>-3</v>
      </c>
      <c r="AB95">
        <f t="shared" si="25"/>
        <v>5</v>
      </c>
      <c r="AC95" s="10">
        <f t="shared" si="26"/>
        <v>7</v>
      </c>
      <c r="AD95" s="5">
        <f t="shared" si="19"/>
        <v>1</v>
      </c>
      <c r="AE95" s="5">
        <f t="shared" si="20"/>
        <v>1</v>
      </c>
      <c r="AF95" s="5">
        <f t="shared" si="27"/>
        <v>0</v>
      </c>
      <c r="AG95">
        <f>IF(B95&lt;&gt;"", COUNTIFS($B$2:B95, B95), "")</f>
        <v>1</v>
      </c>
      <c r="AH95">
        <f t="shared" si="28"/>
        <v>5</v>
      </c>
      <c r="AI95" t="str">
        <f>VLOOKUP(B95, Currency!A:B, 2, FALSE)</f>
        <v>INR</v>
      </c>
      <c r="AJ95">
        <f t="shared" si="21"/>
        <v>4</v>
      </c>
      <c r="AK95">
        <f t="shared" si="29"/>
        <v>4</v>
      </c>
      <c r="AL95" t="str">
        <f t="shared" si="30"/>
        <v>April</v>
      </c>
      <c r="AM95">
        <f t="shared" si="31"/>
        <v>2023</v>
      </c>
      <c r="AN95" t="str">
        <f t="shared" si="22"/>
        <v>30UNIVERSAL CHEM</v>
      </c>
      <c r="AO95">
        <f>IF(COUNTIF($AN$2:AN95, AN95)=1, 1, 0)</f>
        <v>1</v>
      </c>
      <c r="AP95" t="str">
        <f t="shared" si="32"/>
        <v>&gt;3</v>
      </c>
      <c r="AQ95" t="str">
        <f t="shared" si="33"/>
        <v>&lt;=3</v>
      </c>
      <c r="AR95" t="str">
        <f t="shared" si="34"/>
        <v>&gt;3</v>
      </c>
    </row>
    <row r="96" spans="1:44" x14ac:dyDescent="0.3">
      <c r="A96" t="s">
        <v>33</v>
      </c>
      <c r="B96" t="s">
        <v>436</v>
      </c>
      <c r="C96" t="s">
        <v>172</v>
      </c>
      <c r="D96">
        <v>1185</v>
      </c>
      <c r="E96">
        <v>23310007</v>
      </c>
      <c r="F96" t="s">
        <v>581</v>
      </c>
      <c r="G96" t="s">
        <v>582</v>
      </c>
      <c r="H96">
        <v>4000</v>
      </c>
      <c r="I96">
        <v>8</v>
      </c>
      <c r="J96">
        <v>32000</v>
      </c>
      <c r="K96" t="str">
        <f>IFERROR(IF(B96&lt;&gt;"", TEXT(VLOOKUP(B96, 'Expected Date'!A:B, 2, FALSE) + DATE(RIGHT(C96,2),MID(C96,4,2),LEFT(C96,2)), "dd/mm/yy"), ""), "")</f>
        <v>16/04/23</v>
      </c>
      <c r="L96" t="s">
        <v>38</v>
      </c>
      <c r="M96" t="s">
        <v>48</v>
      </c>
      <c r="N96" t="s">
        <v>318</v>
      </c>
      <c r="O96" t="s">
        <v>374</v>
      </c>
      <c r="P96">
        <v>23390022</v>
      </c>
      <c r="Q96" t="s">
        <v>581</v>
      </c>
      <c r="R96" t="s">
        <v>582</v>
      </c>
      <c r="S96">
        <v>1980</v>
      </c>
      <c r="T96">
        <v>8</v>
      </c>
      <c r="U96">
        <v>15840</v>
      </c>
      <c r="V96" t="str">
        <f t="shared" si="35"/>
        <v>Accepted</v>
      </c>
      <c r="W96">
        <f>IFERROR(VLOOKUP(N96, Payment_Terms!A:B, 2, FALSE), "Payment term not found!")</f>
        <v>30</v>
      </c>
      <c r="X96" t="str">
        <f>IFERROR(VLOOKUP(R96, Item_Category!A:B, 2, FALSE), "Uncategorized")</f>
        <v>Lime</v>
      </c>
      <c r="Y96" s="5">
        <f t="shared" si="37"/>
        <v>0</v>
      </c>
      <c r="Z96">
        <f t="shared" si="23"/>
        <v>5</v>
      </c>
      <c r="AA96">
        <f t="shared" si="24"/>
        <v>-3</v>
      </c>
      <c r="AB96">
        <f t="shared" si="25"/>
        <v>5</v>
      </c>
      <c r="AC96" s="10">
        <f t="shared" si="26"/>
        <v>7</v>
      </c>
      <c r="AD96" s="5">
        <f t="shared" si="19"/>
        <v>1</v>
      </c>
      <c r="AE96" s="5">
        <f t="shared" si="20"/>
        <v>1</v>
      </c>
      <c r="AF96" s="5">
        <f t="shared" si="27"/>
        <v>0</v>
      </c>
      <c r="AG96">
        <f>IF(B96&lt;&gt;"", COUNTIFS($B$2:B96, B96), "")</f>
        <v>2</v>
      </c>
      <c r="AH96">
        <f t="shared" si="28"/>
        <v>5</v>
      </c>
      <c r="AI96" t="str">
        <f>VLOOKUP(B96, Currency!A:B, 2, FALSE)</f>
        <v>INR</v>
      </c>
      <c r="AJ96">
        <f t="shared" si="21"/>
        <v>5</v>
      </c>
      <c r="AK96">
        <f t="shared" si="29"/>
        <v>4</v>
      </c>
      <c r="AL96" t="str">
        <f t="shared" si="30"/>
        <v>April</v>
      </c>
      <c r="AM96">
        <f t="shared" si="31"/>
        <v>2023</v>
      </c>
      <c r="AN96" t="str">
        <f t="shared" si="22"/>
        <v>30Shree Gopal Celluchem Pvt Ltd</v>
      </c>
      <c r="AO96">
        <f>IF(COUNTIF($AN$2:AN96, AN96)=1, 1, 0)</f>
        <v>0</v>
      </c>
      <c r="AP96" t="str">
        <f t="shared" si="32"/>
        <v>&gt;3</v>
      </c>
      <c r="AQ96" t="str">
        <f t="shared" si="33"/>
        <v>&gt;3</v>
      </c>
      <c r="AR96" t="str">
        <f t="shared" si="34"/>
        <v>&gt;3</v>
      </c>
    </row>
    <row r="97" spans="1:44" x14ac:dyDescent="0.3">
      <c r="A97" t="str">
        <f>A31</f>
        <v>Woodpulp</v>
      </c>
      <c r="B97" t="s">
        <v>580</v>
      </c>
      <c r="C97" t="s">
        <v>108</v>
      </c>
      <c r="D97">
        <v>1805</v>
      </c>
      <c r="E97">
        <v>23320011</v>
      </c>
      <c r="F97" t="s">
        <v>575</v>
      </c>
      <c r="G97" t="s">
        <v>291</v>
      </c>
      <c r="H97">
        <v>100</v>
      </c>
      <c r="I97">
        <v>57426</v>
      </c>
      <c r="J97">
        <v>5742600</v>
      </c>
      <c r="K97" t="str">
        <f>IFERROR(IF(B97&lt;&gt;"", TEXT(VLOOKUP(B97, 'Expected Date'!A:B, 2, FALSE) + DATE(RIGHT(C97,2),MID(C97,4,2),LEFT(C97,2)), "dd/mm/yy"), ""), "")</f>
        <v>09/06/23</v>
      </c>
      <c r="L97" t="s">
        <v>38</v>
      </c>
      <c r="M97" t="str">
        <f>M20</f>
        <v>MT</v>
      </c>
      <c r="N97" t="s">
        <v>292</v>
      </c>
      <c r="O97" t="s">
        <v>108</v>
      </c>
      <c r="P97">
        <v>23390152</v>
      </c>
      <c r="Q97" t="s">
        <v>575</v>
      </c>
      <c r="R97" t="s">
        <v>291</v>
      </c>
      <c r="S97">
        <v>30.178000000000001</v>
      </c>
      <c r="T97">
        <v>57430</v>
      </c>
      <c r="U97">
        <v>1733122.54</v>
      </c>
      <c r="V97" t="str">
        <f t="shared" si="35"/>
        <v>Accepted</v>
      </c>
      <c r="W97">
        <f>IFERROR(VLOOKUP(N97, Payment_Terms!A:B, 2, FALSE), "Payment term not found!")</f>
        <v>0</v>
      </c>
      <c r="X97" t="str">
        <f>IFERROR(VLOOKUP(R97, Item_Category!A:B, 2, FALSE), "Uncategorized")</f>
        <v>Wood pulp</v>
      </c>
      <c r="Y97" s="5">
        <f t="shared" si="37"/>
        <v>0</v>
      </c>
      <c r="Z97">
        <f t="shared" si="23"/>
        <v>5</v>
      </c>
      <c r="AA97">
        <f t="shared" si="24"/>
        <v>-30</v>
      </c>
      <c r="AB97">
        <f t="shared" si="25"/>
        <v>5</v>
      </c>
      <c r="AC97" s="10">
        <f t="shared" si="26"/>
        <v>0</v>
      </c>
      <c r="AD97" s="5">
        <f t="shared" si="19"/>
        <v>1</v>
      </c>
      <c r="AE97" s="5">
        <f t="shared" si="20"/>
        <v>1</v>
      </c>
      <c r="AF97" s="5">
        <f t="shared" si="27"/>
        <v>0</v>
      </c>
      <c r="AG97">
        <f>IF(B97&lt;&gt;"", COUNTIFS($B$2:B97, B97), "")</f>
        <v>4</v>
      </c>
      <c r="AH97">
        <f t="shared" si="28"/>
        <v>5</v>
      </c>
      <c r="AI97" t="str">
        <f>VLOOKUP(B97, Currency!A:B, 2, FALSE)</f>
        <v>INR</v>
      </c>
      <c r="AJ97">
        <f t="shared" si="21"/>
        <v>5</v>
      </c>
      <c r="AK97">
        <f t="shared" si="29"/>
        <v>5</v>
      </c>
      <c r="AL97" t="str">
        <f t="shared" si="30"/>
        <v>May</v>
      </c>
      <c r="AM97">
        <f t="shared" si="31"/>
        <v>2023</v>
      </c>
      <c r="AN97" t="str">
        <f t="shared" si="22"/>
        <v>0Dhanalaxmi Roto Spinners Ltd</v>
      </c>
      <c r="AO97">
        <f>IF(COUNTIF($AN$2:AN97, AN97)=1, 1, 0)</f>
        <v>0</v>
      </c>
      <c r="AP97" t="str">
        <f t="shared" si="32"/>
        <v>&gt;3</v>
      </c>
      <c r="AQ97" t="str">
        <f t="shared" si="33"/>
        <v>&gt;3</v>
      </c>
      <c r="AR97" t="str">
        <f t="shared" si="34"/>
        <v>&gt;3</v>
      </c>
    </row>
    <row r="98" spans="1:44" x14ac:dyDescent="0.3">
      <c r="A98" t="s">
        <v>33</v>
      </c>
      <c r="B98" t="s">
        <v>385</v>
      </c>
      <c r="C98" t="s">
        <v>70</v>
      </c>
      <c r="D98">
        <v>1525</v>
      </c>
      <c r="E98">
        <v>23310042</v>
      </c>
      <c r="F98" t="s">
        <v>552</v>
      </c>
      <c r="G98" t="s">
        <v>373</v>
      </c>
      <c r="H98">
        <v>50</v>
      </c>
      <c r="I98">
        <v>250</v>
      </c>
      <c r="J98">
        <v>12500</v>
      </c>
      <c r="K98" t="str">
        <f>IFERROR(IF(B98&lt;&gt;"", TEXT(VLOOKUP(B98, 'Expected Date'!A:B, 2, FALSE) + DATE(RIGHT(C98,2),MID(C98,4,2),LEFT(C98,2)), "dd/mm/yy"), ""), "")</f>
        <v>04/05/23</v>
      </c>
      <c r="L98" t="s">
        <v>68</v>
      </c>
      <c r="M98" t="s">
        <v>48</v>
      </c>
      <c r="N98" t="s">
        <v>342</v>
      </c>
      <c r="O98" t="s">
        <v>225</v>
      </c>
      <c r="P98">
        <v>23390154</v>
      </c>
      <c r="Q98" t="s">
        <v>552</v>
      </c>
      <c r="R98" t="s">
        <v>553</v>
      </c>
      <c r="S98">
        <v>11.2</v>
      </c>
      <c r="T98">
        <v>250</v>
      </c>
      <c r="U98">
        <v>2800</v>
      </c>
      <c r="V98" t="str">
        <f t="shared" si="35"/>
        <v>Accepted</v>
      </c>
      <c r="W98">
        <f>IFERROR(VLOOKUP(N98, Payment_Terms!A:B, 2, FALSE), "Payment term not found!")</f>
        <v>30</v>
      </c>
      <c r="X98" t="str">
        <f>IFERROR(VLOOKUP(R98, Item_Category!A:B, 2, FALSE), "Uncategorized")</f>
        <v>HCL</v>
      </c>
      <c r="Y98" s="5">
        <f t="shared" si="37"/>
        <v>0.32900000000000007</v>
      </c>
      <c r="Z98">
        <f t="shared" si="23"/>
        <v>1</v>
      </c>
      <c r="AA98">
        <f t="shared" si="24"/>
        <v>7</v>
      </c>
      <c r="AB98">
        <f t="shared" si="25"/>
        <v>3</v>
      </c>
      <c r="AC98" s="10">
        <f t="shared" si="26"/>
        <v>17</v>
      </c>
      <c r="AD98" s="5">
        <f t="shared" si="19"/>
        <v>1</v>
      </c>
      <c r="AE98" s="5">
        <f t="shared" si="20"/>
        <v>1</v>
      </c>
      <c r="AF98" s="5">
        <f t="shared" si="27"/>
        <v>0</v>
      </c>
      <c r="AG98">
        <f>IF(B98&lt;&gt;"", COUNTIFS($B$2:B98, B98), "")</f>
        <v>3</v>
      </c>
      <c r="AH98">
        <f t="shared" si="28"/>
        <v>5</v>
      </c>
      <c r="AI98" t="str">
        <f>VLOOKUP(B98, Currency!A:B, 2, FALSE)</f>
        <v>INR</v>
      </c>
      <c r="AJ98">
        <f t="shared" si="21"/>
        <v>4</v>
      </c>
      <c r="AK98">
        <f t="shared" si="29"/>
        <v>4</v>
      </c>
      <c r="AL98" t="str">
        <f t="shared" si="30"/>
        <v>April</v>
      </c>
      <c r="AM98">
        <f t="shared" si="31"/>
        <v>2023</v>
      </c>
      <c r="AN98" t="str">
        <f t="shared" ref="AN98:AN129" si="38">W98&amp;B98</f>
        <v>30Duttchem Enterprise</v>
      </c>
      <c r="AO98">
        <f>IF(COUNTIF($AN$2:AN98, AN98)=1, 1, 0)</f>
        <v>0</v>
      </c>
      <c r="AP98" t="str">
        <f t="shared" si="32"/>
        <v>&gt;3</v>
      </c>
      <c r="AQ98" t="str">
        <f t="shared" si="33"/>
        <v>&lt;=3</v>
      </c>
      <c r="AR98" t="str">
        <f t="shared" si="34"/>
        <v>&lt;=3</v>
      </c>
    </row>
    <row r="99" spans="1:44" x14ac:dyDescent="0.3">
      <c r="A99" t="s">
        <v>33</v>
      </c>
      <c r="B99" t="s">
        <v>436</v>
      </c>
      <c r="C99" t="s">
        <v>172</v>
      </c>
      <c r="D99">
        <v>1185</v>
      </c>
      <c r="E99">
        <v>23310007</v>
      </c>
      <c r="F99" t="s">
        <v>581</v>
      </c>
      <c r="G99" t="s">
        <v>582</v>
      </c>
      <c r="H99">
        <v>4000</v>
      </c>
      <c r="I99">
        <v>8</v>
      </c>
      <c r="J99">
        <v>32000</v>
      </c>
      <c r="K99" t="str">
        <f>IFERROR(IF(B99&lt;&gt;"", TEXT(VLOOKUP(B99, 'Expected Date'!A:B, 2, FALSE) + DATE(RIGHT(C99,2),MID(C99,4,2),LEFT(C99,2)), "dd/mm/yy"), ""), "")</f>
        <v>16/04/23</v>
      </c>
      <c r="L99" t="s">
        <v>38</v>
      </c>
      <c r="M99" t="s">
        <v>48</v>
      </c>
      <c r="N99" t="s">
        <v>318</v>
      </c>
      <c r="O99" t="s">
        <v>179</v>
      </c>
      <c r="P99">
        <v>23390182</v>
      </c>
      <c r="Q99" t="s">
        <v>581</v>
      </c>
      <c r="R99" t="s">
        <v>582</v>
      </c>
      <c r="S99">
        <v>2630</v>
      </c>
      <c r="T99">
        <v>8</v>
      </c>
      <c r="U99">
        <v>21040</v>
      </c>
      <c r="V99" t="str">
        <f t="shared" si="35"/>
        <v>Accepted</v>
      </c>
      <c r="W99">
        <f>IFERROR(VLOOKUP(N99, Payment_Terms!A:B, 2, FALSE), "Payment term not found!")</f>
        <v>30</v>
      </c>
      <c r="X99" t="str">
        <f>IFERROR(VLOOKUP(R99, Item_Category!A:B, 2, FALSE), "Uncategorized")</f>
        <v>Lime</v>
      </c>
      <c r="Y99" s="5">
        <f t="shared" si="37"/>
        <v>0</v>
      </c>
      <c r="Z99">
        <f t="shared" si="23"/>
        <v>5</v>
      </c>
      <c r="AA99">
        <f t="shared" si="24"/>
        <v>37</v>
      </c>
      <c r="AB99">
        <f t="shared" si="25"/>
        <v>1</v>
      </c>
      <c r="AC99" s="10">
        <f t="shared" si="26"/>
        <v>47</v>
      </c>
      <c r="AD99" s="5">
        <f t="shared" si="19"/>
        <v>1</v>
      </c>
      <c r="AE99" s="5">
        <f t="shared" si="20"/>
        <v>1</v>
      </c>
      <c r="AF99" s="5">
        <f t="shared" si="27"/>
        <v>0</v>
      </c>
      <c r="AG99">
        <f>IF(B99&lt;&gt;"", COUNTIFS($B$2:B99, B99), "")</f>
        <v>3</v>
      </c>
      <c r="AH99">
        <f t="shared" si="28"/>
        <v>5</v>
      </c>
      <c r="AI99" t="str">
        <f>VLOOKUP(B99, Currency!A:B, 2, FALSE)</f>
        <v>INR</v>
      </c>
      <c r="AJ99">
        <f t="shared" si="21"/>
        <v>4</v>
      </c>
      <c r="AK99">
        <f t="shared" si="29"/>
        <v>4</v>
      </c>
      <c r="AL99" t="str">
        <f t="shared" si="30"/>
        <v>April</v>
      </c>
      <c r="AM99">
        <f t="shared" si="31"/>
        <v>2023</v>
      </c>
      <c r="AN99" t="str">
        <f t="shared" si="38"/>
        <v>30Shree Gopal Celluchem Pvt Ltd</v>
      </c>
      <c r="AO99">
        <f>IF(COUNTIF($AN$2:AN99, AN99)=1, 1, 0)</f>
        <v>0</v>
      </c>
      <c r="AP99" t="str">
        <f t="shared" si="32"/>
        <v>&gt;3</v>
      </c>
      <c r="AQ99" t="str">
        <f t="shared" si="33"/>
        <v>&gt;3</v>
      </c>
      <c r="AR99" t="str">
        <f t="shared" si="34"/>
        <v>&lt;=3</v>
      </c>
    </row>
    <row r="100" spans="1:44" x14ac:dyDescent="0.3">
      <c r="A100" t="s">
        <v>95</v>
      </c>
      <c r="B100" t="s">
        <v>242</v>
      </c>
      <c r="C100" t="s">
        <v>161</v>
      </c>
      <c r="D100">
        <v>2280</v>
      </c>
      <c r="E100">
        <v>23320013</v>
      </c>
      <c r="F100" t="s">
        <v>593</v>
      </c>
      <c r="G100" t="s">
        <v>244</v>
      </c>
      <c r="H100">
        <v>55</v>
      </c>
      <c r="I100">
        <v>780</v>
      </c>
      <c r="J100">
        <v>3498495</v>
      </c>
      <c r="K100" t="str">
        <f>IFERROR(IF(B100&lt;&gt;"", TEXT(VLOOKUP(B100, 'Expected Date'!A:B, 2, FALSE) + DATE(RIGHT(C100,2),MID(C100,4,2),LEFT(C100,2)), "dd/mm/yy"), ""), "")</f>
        <v>02/08/23</v>
      </c>
      <c r="L100" t="s">
        <v>38</v>
      </c>
      <c r="M100" t="str">
        <f>M20</f>
        <v>MT</v>
      </c>
      <c r="N100" t="s">
        <v>245</v>
      </c>
      <c r="O100" t="s">
        <v>116</v>
      </c>
      <c r="P100">
        <v>23390342</v>
      </c>
      <c r="Q100" t="s">
        <v>593</v>
      </c>
      <c r="R100" t="s">
        <v>244</v>
      </c>
      <c r="S100">
        <v>56.277999999999999</v>
      </c>
      <c r="T100">
        <v>780</v>
      </c>
      <c r="U100">
        <v>3579787.3</v>
      </c>
      <c r="V100" t="str">
        <f t="shared" si="35"/>
        <v>Accepted</v>
      </c>
      <c r="W100">
        <f>IFERROR(VLOOKUP(N100, Payment_Terms!A:B, 2, FALSE), "Payment term not found!")</f>
        <v>0</v>
      </c>
      <c r="X100" t="str">
        <f>IFERROR(VLOOKUP(R100, Item_Category!A:B, 2, FALSE), "Uncategorized")</f>
        <v>Wood pulp</v>
      </c>
      <c r="Y100" s="5">
        <f t="shared" si="37"/>
        <v>0</v>
      </c>
      <c r="Z100">
        <f t="shared" si="23"/>
        <v>5</v>
      </c>
      <c r="AA100">
        <f t="shared" si="24"/>
        <v>-15</v>
      </c>
      <c r="AB100">
        <f t="shared" si="25"/>
        <v>5</v>
      </c>
      <c r="AC100" s="10">
        <f t="shared" si="26"/>
        <v>45</v>
      </c>
      <c r="AD100" s="5">
        <f t="shared" si="19"/>
        <v>1</v>
      </c>
      <c r="AE100" s="5">
        <f t="shared" si="20"/>
        <v>1</v>
      </c>
      <c r="AF100" s="5">
        <f t="shared" si="27"/>
        <v>0</v>
      </c>
      <c r="AG100">
        <f>IF(B100&lt;&gt;"", COUNTIFS($B$2:B100, B100), "")</f>
        <v>1</v>
      </c>
      <c r="AH100">
        <f t="shared" si="28"/>
        <v>5</v>
      </c>
      <c r="AI100" t="str">
        <f>VLOOKUP(B100, Currency!A:B, 2, FALSE)</f>
        <v>USD</v>
      </c>
      <c r="AJ100">
        <f t="shared" si="21"/>
        <v>5</v>
      </c>
      <c r="AK100">
        <f t="shared" si="29"/>
        <v>6</v>
      </c>
      <c r="AL100" t="str">
        <f t="shared" si="30"/>
        <v>June</v>
      </c>
      <c r="AM100">
        <f t="shared" si="31"/>
        <v>2023</v>
      </c>
      <c r="AN100" t="str">
        <f t="shared" si="38"/>
        <v>0G.A.Paper International Inc.</v>
      </c>
      <c r="AO100">
        <f>IF(COUNTIF($AN$2:AN100, AN100)=1, 1, 0)</f>
        <v>1</v>
      </c>
      <c r="AP100" t="str">
        <f t="shared" si="32"/>
        <v>&gt;3</v>
      </c>
      <c r="AQ100" t="str">
        <f t="shared" si="33"/>
        <v>&gt;3</v>
      </c>
      <c r="AR100" t="str">
        <f t="shared" si="34"/>
        <v>&gt;3</v>
      </c>
    </row>
    <row r="101" spans="1:44" x14ac:dyDescent="0.3">
      <c r="A101" t="s">
        <v>33</v>
      </c>
      <c r="B101" t="s">
        <v>122</v>
      </c>
      <c r="C101" t="s">
        <v>131</v>
      </c>
      <c r="D101">
        <v>3266</v>
      </c>
      <c r="E101">
        <v>23310256</v>
      </c>
      <c r="F101" t="s">
        <v>565</v>
      </c>
      <c r="G101" t="s">
        <v>566</v>
      </c>
      <c r="H101">
        <v>100</v>
      </c>
      <c r="I101">
        <v>930</v>
      </c>
      <c r="J101">
        <v>93000</v>
      </c>
      <c r="K101" t="str">
        <f>IFERROR(IF(B101&lt;&gt;"", TEXT(VLOOKUP(B101, 'Expected Date'!A:B, 2, FALSE) + DATE(RIGHT(C101,2),MID(C101,4,2),LEFT(C101,2)), "dd/mm/yy"), ""), "")</f>
        <v>08/08/23</v>
      </c>
      <c r="L101" t="s">
        <v>38</v>
      </c>
      <c r="M101" t="s">
        <v>39</v>
      </c>
      <c r="N101" t="s">
        <v>318</v>
      </c>
      <c r="O101" t="s">
        <v>202</v>
      </c>
      <c r="P101">
        <v>23390406</v>
      </c>
      <c r="Q101" t="s">
        <v>565</v>
      </c>
      <c r="R101" t="s">
        <v>566</v>
      </c>
      <c r="S101">
        <v>15</v>
      </c>
      <c r="T101">
        <v>930</v>
      </c>
      <c r="U101">
        <v>13950</v>
      </c>
      <c r="V101" t="str">
        <f t="shared" si="35"/>
        <v>Accepted</v>
      </c>
      <c r="W101">
        <f>IFERROR(VLOOKUP(N101, Payment_Terms!A:B, 2, FALSE), "Payment term not found!")</f>
        <v>30</v>
      </c>
      <c r="X101" t="str">
        <f>IFERROR(VLOOKUP(R101, Item_Category!A:B, 2, FALSE), "Uncategorized")</f>
        <v>Pallets</v>
      </c>
      <c r="Y101" s="5">
        <f t="shared" si="37"/>
        <v>0</v>
      </c>
      <c r="Z101">
        <f t="shared" si="23"/>
        <v>5</v>
      </c>
      <c r="AA101">
        <f t="shared" si="24"/>
        <v>1</v>
      </c>
      <c r="AB101">
        <f t="shared" si="25"/>
        <v>5</v>
      </c>
      <c r="AC101" s="10">
        <f t="shared" si="26"/>
        <v>16</v>
      </c>
      <c r="AD101" s="5">
        <f t="shared" si="19"/>
        <v>1</v>
      </c>
      <c r="AE101" s="5">
        <f t="shared" si="20"/>
        <v>1</v>
      </c>
      <c r="AF101" s="5">
        <f t="shared" si="27"/>
        <v>0</v>
      </c>
      <c r="AG101">
        <f>IF(B101&lt;&gt;"", COUNTIFS($B$2:B101, B101), "")</f>
        <v>6</v>
      </c>
      <c r="AH101">
        <f t="shared" si="28"/>
        <v>5</v>
      </c>
      <c r="AI101" t="str">
        <f>VLOOKUP(B101, Currency!A:B, 2, FALSE)</f>
        <v>INR</v>
      </c>
      <c r="AJ101">
        <f t="shared" si="21"/>
        <v>5</v>
      </c>
      <c r="AK101">
        <f t="shared" si="29"/>
        <v>7</v>
      </c>
      <c r="AL101" t="str">
        <f t="shared" si="30"/>
        <v>July</v>
      </c>
      <c r="AM101">
        <f t="shared" si="31"/>
        <v>2023</v>
      </c>
      <c r="AN101" t="str">
        <f t="shared" si="38"/>
        <v>30Plastocon Industries Pvt Ltd</v>
      </c>
      <c r="AO101">
        <f>IF(COUNTIF($AN$2:AN101, AN101)=1, 1, 0)</f>
        <v>0</v>
      </c>
      <c r="AP101" t="str">
        <f t="shared" si="32"/>
        <v>&gt;3</v>
      </c>
      <c r="AQ101" t="str">
        <f t="shared" si="33"/>
        <v>&gt;3</v>
      </c>
      <c r="AR101" t="str">
        <f t="shared" si="34"/>
        <v>&gt;3</v>
      </c>
    </row>
    <row r="102" spans="1:44" x14ac:dyDescent="0.3">
      <c r="A102" t="s">
        <v>33</v>
      </c>
      <c r="B102" t="s">
        <v>157</v>
      </c>
      <c r="C102" t="s">
        <v>414</v>
      </c>
      <c r="D102">
        <v>2249</v>
      </c>
      <c r="E102">
        <v>23310148</v>
      </c>
      <c r="F102" t="s">
        <v>583</v>
      </c>
      <c r="G102" t="s">
        <v>159</v>
      </c>
      <c r="H102">
        <v>300</v>
      </c>
      <c r="I102">
        <v>270</v>
      </c>
      <c r="J102">
        <v>81000</v>
      </c>
      <c r="K102" t="str">
        <f>IFERROR(IF(B102&lt;&gt;"", TEXT(VLOOKUP(B102, 'Expected Date'!A:B, 2, FALSE) + DATE(RIGHT(C102,2),MID(C102,4,2),LEFT(C102,2)), "dd/mm/yy"), ""), "")</f>
        <v>11/06/23</v>
      </c>
      <c r="L102" t="s">
        <v>38</v>
      </c>
      <c r="M102" t="s">
        <v>48</v>
      </c>
      <c r="N102" t="s">
        <v>584</v>
      </c>
      <c r="O102" t="s">
        <v>133</v>
      </c>
      <c r="P102">
        <v>23390228</v>
      </c>
      <c r="Q102" t="s">
        <v>583</v>
      </c>
      <c r="R102" t="s">
        <v>159</v>
      </c>
      <c r="S102">
        <v>300</v>
      </c>
      <c r="T102">
        <v>270</v>
      </c>
      <c r="U102">
        <v>81000</v>
      </c>
      <c r="V102" t="str">
        <f t="shared" si="35"/>
        <v>Accepted</v>
      </c>
      <c r="W102">
        <f>IFERROR(VLOOKUP(N102, Payment_Terms!A:B, 2, FALSE), "Payment term not found!")</f>
        <v>0</v>
      </c>
      <c r="X102" t="str">
        <f>IFERROR(VLOOKUP(R102, Item_Category!A:B, 2, FALSE), "Uncategorized")</f>
        <v>Sodium salts</v>
      </c>
      <c r="Y102" s="5">
        <f t="shared" si="37"/>
        <v>0</v>
      </c>
      <c r="Z102">
        <f t="shared" si="23"/>
        <v>5</v>
      </c>
      <c r="AA102">
        <f t="shared" si="24"/>
        <v>-5</v>
      </c>
      <c r="AB102">
        <f t="shared" si="25"/>
        <v>5</v>
      </c>
      <c r="AC102" s="10">
        <f t="shared" si="26"/>
        <v>5</v>
      </c>
      <c r="AD102" s="5">
        <f t="shared" si="19"/>
        <v>1</v>
      </c>
      <c r="AE102" s="5">
        <f t="shared" si="20"/>
        <v>1</v>
      </c>
      <c r="AF102" s="5">
        <f t="shared" si="27"/>
        <v>0</v>
      </c>
      <c r="AG102">
        <f>IF(B102&lt;&gt;"", COUNTIFS($B$2:B102, B102), "")</f>
        <v>4</v>
      </c>
      <c r="AH102">
        <f t="shared" si="28"/>
        <v>5</v>
      </c>
      <c r="AI102" t="str">
        <f>VLOOKUP(B102, Currency!A:B, 2, FALSE)</f>
        <v>INR</v>
      </c>
      <c r="AJ102">
        <f t="shared" si="21"/>
        <v>5</v>
      </c>
      <c r="AK102">
        <f t="shared" si="29"/>
        <v>6</v>
      </c>
      <c r="AL102" t="str">
        <f t="shared" si="30"/>
        <v>June</v>
      </c>
      <c r="AM102">
        <f t="shared" si="31"/>
        <v>2023</v>
      </c>
      <c r="AN102" t="str">
        <f t="shared" si="38"/>
        <v>0ZED CHEM PVT LTD</v>
      </c>
      <c r="AO102">
        <f>IF(COUNTIF($AN$2:AN102, AN102)=1, 1, 0)</f>
        <v>0</v>
      </c>
      <c r="AP102" t="str">
        <f t="shared" si="32"/>
        <v>&gt;3</v>
      </c>
      <c r="AQ102" t="str">
        <f t="shared" si="33"/>
        <v>&gt;3</v>
      </c>
      <c r="AR102" t="str">
        <f t="shared" si="34"/>
        <v>&gt;3</v>
      </c>
    </row>
    <row r="103" spans="1:44" x14ac:dyDescent="0.3">
      <c r="A103" t="s">
        <v>33</v>
      </c>
      <c r="B103" t="s">
        <v>513</v>
      </c>
      <c r="C103" t="s">
        <v>414</v>
      </c>
      <c r="D103">
        <v>2295</v>
      </c>
      <c r="E103">
        <v>23310157</v>
      </c>
      <c r="F103" t="s">
        <v>563</v>
      </c>
      <c r="G103" t="s">
        <v>515</v>
      </c>
      <c r="H103">
        <v>2500</v>
      </c>
      <c r="I103">
        <v>26</v>
      </c>
      <c r="J103">
        <v>65000</v>
      </c>
      <c r="K103" t="str">
        <f>IFERROR(IF(B103&lt;&gt;"", TEXT(VLOOKUP(B103, 'Expected Date'!A:B, 2, FALSE) + DATE(RIGHT(C103,2),MID(C103,4,2),LEFT(C103,2)), "dd/mm/yy"), ""), "")</f>
        <v>03/06/23</v>
      </c>
      <c r="L103" t="s">
        <v>38</v>
      </c>
      <c r="M103" t="s">
        <v>48</v>
      </c>
      <c r="N103" t="s">
        <v>342</v>
      </c>
      <c r="O103" t="s">
        <v>231</v>
      </c>
      <c r="P103">
        <v>23390231</v>
      </c>
      <c r="Q103" t="s">
        <v>563</v>
      </c>
      <c r="R103" t="s">
        <v>564</v>
      </c>
      <c r="S103">
        <v>1000</v>
      </c>
      <c r="T103">
        <v>26</v>
      </c>
      <c r="U103">
        <v>26000</v>
      </c>
      <c r="V103" t="str">
        <f t="shared" si="35"/>
        <v>Accepted</v>
      </c>
      <c r="W103">
        <f>IFERROR(VLOOKUP(N103, Payment_Terms!A:B, 2, FALSE), "Payment term not found!")</f>
        <v>30</v>
      </c>
      <c r="X103" t="str">
        <f>IFERROR(VLOOKUP(R103, Item_Category!A:B, 2, FALSE), "Uncategorized")</f>
        <v xml:space="preserve">Caustic Soda </v>
      </c>
      <c r="Y103" s="5">
        <f t="shared" si="37"/>
        <v>0</v>
      </c>
      <c r="Z103">
        <f t="shared" si="23"/>
        <v>5</v>
      </c>
      <c r="AA103">
        <f t="shared" si="24"/>
        <v>6</v>
      </c>
      <c r="AB103">
        <f t="shared" si="25"/>
        <v>3</v>
      </c>
      <c r="AC103" s="10">
        <f t="shared" si="26"/>
        <v>8</v>
      </c>
      <c r="AD103" s="5">
        <f t="shared" si="19"/>
        <v>1</v>
      </c>
      <c r="AE103" s="5">
        <f t="shared" si="20"/>
        <v>1</v>
      </c>
      <c r="AF103" s="5">
        <f t="shared" si="27"/>
        <v>0</v>
      </c>
      <c r="AG103">
        <f>IF(B103&lt;&gt;"", COUNTIFS($B$2:B103, B103), "")</f>
        <v>9</v>
      </c>
      <c r="AH103">
        <f t="shared" si="28"/>
        <v>5</v>
      </c>
      <c r="AI103" t="str">
        <f>VLOOKUP(B103, Currency!A:B, 2, FALSE)</f>
        <v>INR</v>
      </c>
      <c r="AJ103">
        <f t="shared" si="21"/>
        <v>5</v>
      </c>
      <c r="AK103">
        <f t="shared" si="29"/>
        <v>6</v>
      </c>
      <c r="AL103" t="str">
        <f t="shared" si="30"/>
        <v>June</v>
      </c>
      <c r="AM103">
        <f t="shared" si="31"/>
        <v>2023</v>
      </c>
      <c r="AN103" t="str">
        <f t="shared" si="38"/>
        <v>30J.K.Marketing</v>
      </c>
      <c r="AO103">
        <f>IF(COUNTIF($AN$2:AN103, AN103)=1, 1, 0)</f>
        <v>0</v>
      </c>
      <c r="AP103" t="str">
        <f t="shared" si="32"/>
        <v>&gt;3</v>
      </c>
      <c r="AQ103" t="str">
        <f t="shared" si="33"/>
        <v>&gt;3</v>
      </c>
      <c r="AR103" t="str">
        <f t="shared" si="34"/>
        <v>&lt;=3</v>
      </c>
    </row>
    <row r="104" spans="1:44" x14ac:dyDescent="0.3">
      <c r="A104" t="s">
        <v>33</v>
      </c>
      <c r="B104" t="str">
        <f>B85</f>
        <v>Ami Enterprises</v>
      </c>
      <c r="C104" t="s">
        <v>394</v>
      </c>
      <c r="D104">
        <v>3946</v>
      </c>
      <c r="E104">
        <v>23310315</v>
      </c>
      <c r="F104" t="s">
        <v>594</v>
      </c>
      <c r="G104" t="s">
        <v>595</v>
      </c>
      <c r="H104">
        <v>600</v>
      </c>
      <c r="I104">
        <v>33.5</v>
      </c>
      <c r="J104">
        <v>20100</v>
      </c>
      <c r="K104" t="str">
        <f>IFERROR(IF(B104&lt;&gt;"", TEXT(VLOOKUP(B104, 'Expected Date'!A:B, 2, FALSE) + DATE(RIGHT(C104,2),MID(C104,4,2),LEFT(C104,2)), "dd/mm/yy"), ""), "")</f>
        <v>27/08/23</v>
      </c>
      <c r="L104" t="s">
        <v>68</v>
      </c>
      <c r="M104" t="s">
        <v>39</v>
      </c>
      <c r="N104" t="s">
        <v>318</v>
      </c>
      <c r="O104" t="s">
        <v>501</v>
      </c>
      <c r="P104">
        <v>23390463</v>
      </c>
      <c r="Q104" t="s">
        <v>594</v>
      </c>
      <c r="R104" t="s">
        <v>595</v>
      </c>
      <c r="S104">
        <v>507</v>
      </c>
      <c r="T104">
        <v>33.5</v>
      </c>
      <c r="U104">
        <v>16984.5</v>
      </c>
      <c r="V104" t="str">
        <f t="shared" si="35"/>
        <v>Accepted</v>
      </c>
      <c r="W104">
        <f>IFERROR(VLOOKUP(N104, Payment_Terms!A:B, 2, FALSE), "Payment term not found!")</f>
        <v>30</v>
      </c>
      <c r="X104" t="str">
        <f>IFERROR(VLOOKUP(R104, Item_Category!A:B, 2, FALSE), "Uncategorized")</f>
        <v>Bags</v>
      </c>
      <c r="Y104" s="5">
        <f t="shared" si="37"/>
        <v>0</v>
      </c>
      <c r="Z104">
        <f t="shared" si="23"/>
        <v>5</v>
      </c>
      <c r="AA104">
        <f t="shared" si="24"/>
        <v>-7</v>
      </c>
      <c r="AB104">
        <f t="shared" si="25"/>
        <v>5</v>
      </c>
      <c r="AC104" s="10">
        <f t="shared" si="26"/>
        <v>3</v>
      </c>
      <c r="AD104" s="5">
        <f t="shared" si="19"/>
        <v>1</v>
      </c>
      <c r="AE104" s="5">
        <f t="shared" si="20"/>
        <v>1</v>
      </c>
      <c r="AF104" s="5">
        <f t="shared" si="27"/>
        <v>0</v>
      </c>
      <c r="AG104">
        <f>IF(B104&lt;&gt;"", COUNTIFS($B$2:B104, B104), "")</f>
        <v>9</v>
      </c>
      <c r="AH104">
        <f t="shared" si="28"/>
        <v>5</v>
      </c>
      <c r="AI104" t="str">
        <f>VLOOKUP(B104, Currency!A:B, 2, FALSE)</f>
        <v>INR</v>
      </c>
      <c r="AJ104">
        <f t="shared" si="21"/>
        <v>5</v>
      </c>
      <c r="AK104">
        <f t="shared" si="29"/>
        <v>8</v>
      </c>
      <c r="AL104" t="str">
        <f t="shared" si="30"/>
        <v>August</v>
      </c>
      <c r="AM104">
        <f t="shared" si="31"/>
        <v>2023</v>
      </c>
      <c r="AN104" t="str">
        <f t="shared" si="38"/>
        <v>30Ami Enterprises</v>
      </c>
      <c r="AO104">
        <f>IF(COUNTIF($AN$2:AN104, AN104)=1, 1, 0)</f>
        <v>0</v>
      </c>
      <c r="AP104" t="str">
        <f t="shared" si="32"/>
        <v>&gt;3</v>
      </c>
      <c r="AQ104" t="str">
        <f t="shared" si="33"/>
        <v>&gt;3</v>
      </c>
      <c r="AR104" t="str">
        <f t="shared" si="34"/>
        <v>&gt;3</v>
      </c>
    </row>
    <row r="105" spans="1:44" x14ac:dyDescent="0.3">
      <c r="A105" t="s">
        <v>33</v>
      </c>
      <c r="B105" t="s">
        <v>557</v>
      </c>
      <c r="C105" t="s">
        <v>562</v>
      </c>
      <c r="D105">
        <v>1637</v>
      </c>
      <c r="E105">
        <v>23310059</v>
      </c>
      <c r="F105" t="s">
        <v>558</v>
      </c>
      <c r="G105" t="s">
        <v>384</v>
      </c>
      <c r="H105">
        <v>400</v>
      </c>
      <c r="I105">
        <v>99</v>
      </c>
      <c r="J105">
        <v>39600</v>
      </c>
      <c r="K105" t="str">
        <f>IFERROR(IF(B105&lt;&gt;"", TEXT(VLOOKUP(B105, 'Expected Date'!A:B, 2, FALSE) + DATE(RIGHT(C105,2),MID(C105,4,2),LEFT(C105,2)), "dd/mm/yy"), ""), "")</f>
        <v>10/05/23</v>
      </c>
      <c r="L105" t="s">
        <v>38</v>
      </c>
      <c r="M105" t="s">
        <v>48</v>
      </c>
      <c r="N105" t="s">
        <v>364</v>
      </c>
      <c r="O105" t="s">
        <v>169</v>
      </c>
      <c r="P105">
        <v>23390189</v>
      </c>
      <c r="Q105" t="s">
        <v>558</v>
      </c>
      <c r="R105" t="s">
        <v>559</v>
      </c>
      <c r="S105">
        <v>100</v>
      </c>
      <c r="T105">
        <v>99</v>
      </c>
      <c r="U105">
        <v>9900</v>
      </c>
      <c r="V105" t="str">
        <f t="shared" si="35"/>
        <v>Accepted</v>
      </c>
      <c r="W105">
        <f>IFERROR(VLOOKUP(N105, Payment_Terms!A:B, 2, FALSE), "Payment term not found!")</f>
        <v>30</v>
      </c>
      <c r="X105" t="str">
        <f>IFERROR(VLOOKUP(R105, Item_Category!A:B, 2, FALSE), "Uncategorized")</f>
        <v>Anhydrous Ammonia</v>
      </c>
      <c r="Y105" s="5">
        <f t="shared" si="37"/>
        <v>0</v>
      </c>
      <c r="Z105">
        <f t="shared" si="23"/>
        <v>5</v>
      </c>
      <c r="AA105">
        <f t="shared" si="24"/>
        <v>15</v>
      </c>
      <c r="AB105">
        <f t="shared" si="25"/>
        <v>1</v>
      </c>
      <c r="AC105" s="10">
        <f t="shared" si="26"/>
        <v>25</v>
      </c>
      <c r="AD105" s="5">
        <f t="shared" si="19"/>
        <v>1</v>
      </c>
      <c r="AE105" s="5">
        <f t="shared" si="20"/>
        <v>1</v>
      </c>
      <c r="AF105" s="5">
        <f t="shared" si="27"/>
        <v>0</v>
      </c>
      <c r="AG105">
        <f>IF(B105&lt;&gt;"", COUNTIFS($B$2:B105, B105), "")</f>
        <v>12</v>
      </c>
      <c r="AH105">
        <f t="shared" si="28"/>
        <v>5</v>
      </c>
      <c r="AI105" t="str">
        <f>VLOOKUP(B105, Currency!A:B, 2, FALSE)</f>
        <v>INR</v>
      </c>
      <c r="AJ105">
        <f t="shared" si="21"/>
        <v>4</v>
      </c>
      <c r="AK105">
        <f t="shared" si="29"/>
        <v>4</v>
      </c>
      <c r="AL105" t="str">
        <f t="shared" si="30"/>
        <v>April</v>
      </c>
      <c r="AM105">
        <f t="shared" si="31"/>
        <v>2023</v>
      </c>
      <c r="AN105" t="str">
        <f t="shared" si="38"/>
        <v>30Jaysons Chemical Industries Vapi</v>
      </c>
      <c r="AO105">
        <f>IF(COUNTIF($AN$2:AN105, AN105)=1, 1, 0)</f>
        <v>0</v>
      </c>
      <c r="AP105" t="str">
        <f t="shared" si="32"/>
        <v>&gt;3</v>
      </c>
      <c r="AQ105" t="str">
        <f t="shared" si="33"/>
        <v>&gt;3</v>
      </c>
      <c r="AR105" t="str">
        <f t="shared" si="34"/>
        <v>&lt;=3</v>
      </c>
    </row>
    <row r="106" spans="1:44" x14ac:dyDescent="0.3">
      <c r="A106" t="s">
        <v>33</v>
      </c>
      <c r="B106" t="s">
        <v>386</v>
      </c>
      <c r="C106" t="s">
        <v>57</v>
      </c>
      <c r="D106">
        <v>3521</v>
      </c>
      <c r="E106">
        <v>23310273</v>
      </c>
      <c r="F106" t="s">
        <v>554</v>
      </c>
      <c r="G106" t="s">
        <v>555</v>
      </c>
      <c r="H106">
        <v>8000</v>
      </c>
      <c r="I106">
        <v>19.5</v>
      </c>
      <c r="J106">
        <v>156000</v>
      </c>
      <c r="K106" t="str">
        <f>IFERROR(IF(B106&lt;&gt;"", TEXT(VLOOKUP(B106, 'Expected Date'!A:B, 2, FALSE) + DATE(RIGHT(C106,2),MID(C106,4,2),LEFT(C106,2)), "dd/mm/yy"), ""), "")</f>
        <v>08/08/23</v>
      </c>
      <c r="L106" t="s">
        <v>38</v>
      </c>
      <c r="M106" t="s">
        <v>39</v>
      </c>
      <c r="N106" t="s">
        <v>318</v>
      </c>
      <c r="O106" t="s">
        <v>487</v>
      </c>
      <c r="P106">
        <v>23390396</v>
      </c>
      <c r="Q106" t="s">
        <v>554</v>
      </c>
      <c r="R106" t="s">
        <v>555</v>
      </c>
      <c r="S106">
        <v>7240</v>
      </c>
      <c r="T106">
        <v>19.5</v>
      </c>
      <c r="U106">
        <v>141180</v>
      </c>
      <c r="V106" t="str">
        <f t="shared" si="35"/>
        <v>Accepted</v>
      </c>
      <c r="W106">
        <f>IFERROR(VLOOKUP(N106, Payment_Terms!A:B, 2, FALSE), "Payment term not found!")</f>
        <v>30</v>
      </c>
      <c r="X106" t="str">
        <f>IFERROR(VLOOKUP(R106, Item_Category!A:B, 2, FALSE), "Uncategorized")</f>
        <v>HDPE bag acecel</v>
      </c>
      <c r="Y106" s="5">
        <f t="shared" si="37"/>
        <v>0</v>
      </c>
      <c r="Z106">
        <f t="shared" si="23"/>
        <v>5</v>
      </c>
      <c r="AA106">
        <f t="shared" si="24"/>
        <v>-2</v>
      </c>
      <c r="AB106">
        <f t="shared" si="25"/>
        <v>5</v>
      </c>
      <c r="AC106" s="10">
        <f t="shared" si="26"/>
        <v>3</v>
      </c>
      <c r="AD106" s="5">
        <f t="shared" si="19"/>
        <v>1</v>
      </c>
      <c r="AE106" s="5">
        <f t="shared" si="20"/>
        <v>1</v>
      </c>
      <c r="AF106" s="5">
        <f t="shared" si="27"/>
        <v>0</v>
      </c>
      <c r="AG106">
        <f>IF(B106&lt;&gt;"", COUNTIFS($B$2:B106, B106), "")</f>
        <v>9</v>
      </c>
      <c r="AH106">
        <f t="shared" si="28"/>
        <v>5</v>
      </c>
      <c r="AI106" t="str">
        <f>VLOOKUP(B106, Currency!A:B, 2, FALSE)</f>
        <v>INR</v>
      </c>
      <c r="AJ106">
        <f t="shared" si="21"/>
        <v>5</v>
      </c>
      <c r="AK106">
        <f t="shared" si="29"/>
        <v>8</v>
      </c>
      <c r="AL106" t="str">
        <f t="shared" si="30"/>
        <v>August</v>
      </c>
      <c r="AM106">
        <f t="shared" si="31"/>
        <v>2023</v>
      </c>
      <c r="AN106" t="str">
        <f t="shared" si="38"/>
        <v>30Shree Shyam Enterprises</v>
      </c>
      <c r="AO106">
        <f>IF(COUNTIF($AN$2:AN106, AN106)=1, 1, 0)</f>
        <v>0</v>
      </c>
      <c r="AP106" t="str">
        <f t="shared" si="32"/>
        <v>&gt;3</v>
      </c>
      <c r="AQ106" t="str">
        <f t="shared" si="33"/>
        <v>&gt;3</v>
      </c>
      <c r="AR106" t="str">
        <f t="shared" si="34"/>
        <v>&gt;3</v>
      </c>
    </row>
    <row r="107" spans="1:44" x14ac:dyDescent="0.3">
      <c r="A107" t="s">
        <v>33</v>
      </c>
      <c r="B107" t="s">
        <v>557</v>
      </c>
      <c r="C107" t="s">
        <v>103</v>
      </c>
      <c r="D107">
        <v>4200</v>
      </c>
      <c r="E107">
        <v>23310342</v>
      </c>
      <c r="F107" t="s">
        <v>558</v>
      </c>
      <c r="G107" t="s">
        <v>384</v>
      </c>
      <c r="H107">
        <v>400</v>
      </c>
      <c r="I107">
        <v>99</v>
      </c>
      <c r="J107">
        <v>39600</v>
      </c>
      <c r="K107" t="str">
        <f>IFERROR(IF(B107&lt;&gt;"", TEXT(VLOOKUP(B107, 'Expected Date'!A:B, 2, FALSE) + DATE(RIGHT(C107,2),MID(C107,4,2),LEFT(C107,2)), "dd/mm/yy"), ""), "")</f>
        <v>16/09/23</v>
      </c>
      <c r="L107" t="s">
        <v>68</v>
      </c>
      <c r="M107" t="s">
        <v>48</v>
      </c>
      <c r="N107" t="s">
        <v>364</v>
      </c>
      <c r="O107" t="s">
        <v>156</v>
      </c>
      <c r="P107">
        <v>23390581</v>
      </c>
      <c r="Q107" t="s">
        <v>558</v>
      </c>
      <c r="R107" t="s">
        <v>559</v>
      </c>
      <c r="S107">
        <v>100</v>
      </c>
      <c r="T107">
        <v>99</v>
      </c>
      <c r="U107">
        <v>9900</v>
      </c>
      <c r="V107" t="str">
        <f t="shared" si="35"/>
        <v>Accepted</v>
      </c>
      <c r="W107">
        <f>IFERROR(VLOOKUP(N107, Payment_Terms!A:B, 2, FALSE), "Payment term not found!")</f>
        <v>30</v>
      </c>
      <c r="X107" t="str">
        <f>IFERROR(VLOOKUP(R107, Item_Category!A:B, 2, FALSE), "Uncategorized")</f>
        <v>Anhydrous Ammonia</v>
      </c>
      <c r="Y107" s="5">
        <f>IFERROR(IF(AND(E107&lt;&gt;"", G107&lt;&gt;""), MAX(0, (H107-SUMIFS(S:S, E:E, E107, G:G, G107))/H107), ""), (H107-S107)/H107)</f>
        <v>0.75</v>
      </c>
      <c r="Z107">
        <f t="shared" si="23"/>
        <v>1</v>
      </c>
      <c r="AA107">
        <f t="shared" si="24"/>
        <v>2</v>
      </c>
      <c r="AB107">
        <f t="shared" si="25"/>
        <v>5</v>
      </c>
      <c r="AC107" s="10">
        <f t="shared" si="26"/>
        <v>12</v>
      </c>
      <c r="AD107" s="5">
        <f t="shared" si="19"/>
        <v>1</v>
      </c>
      <c r="AE107" s="5">
        <f t="shared" si="20"/>
        <v>1</v>
      </c>
      <c r="AF107" s="5">
        <f t="shared" si="27"/>
        <v>0</v>
      </c>
      <c r="AG107">
        <f>IF(B107&lt;&gt;"", COUNTIFS($B$2:B107, B107), "")</f>
        <v>13</v>
      </c>
      <c r="AH107">
        <f t="shared" si="28"/>
        <v>5</v>
      </c>
      <c r="AI107" t="str">
        <f>VLOOKUP(B107, Currency!A:B, 2, FALSE)</f>
        <v>INR</v>
      </c>
      <c r="AJ107">
        <f t="shared" si="21"/>
        <v>4</v>
      </c>
      <c r="AK107">
        <f t="shared" si="29"/>
        <v>9</v>
      </c>
      <c r="AL107" t="str">
        <f t="shared" si="30"/>
        <v>September</v>
      </c>
      <c r="AM107">
        <f t="shared" si="31"/>
        <v>2023</v>
      </c>
      <c r="AN107" t="str">
        <f t="shared" si="38"/>
        <v>30Jaysons Chemical Industries Vapi</v>
      </c>
      <c r="AO107">
        <f>IF(COUNTIF($AN$2:AN107, AN107)=1, 1, 0)</f>
        <v>0</v>
      </c>
      <c r="AP107" t="str">
        <f t="shared" si="32"/>
        <v>&gt;3</v>
      </c>
      <c r="AQ107" t="str">
        <f t="shared" si="33"/>
        <v>&lt;=3</v>
      </c>
      <c r="AR107" t="str">
        <f t="shared" si="34"/>
        <v>&gt;3</v>
      </c>
    </row>
    <row r="108" spans="1:44" x14ac:dyDescent="0.3">
      <c r="A108" t="str">
        <f>A90</f>
        <v>Woodpulp</v>
      </c>
      <c r="B108" t="s">
        <v>140</v>
      </c>
      <c r="C108" t="s">
        <v>90</v>
      </c>
      <c r="D108">
        <v>2880</v>
      </c>
      <c r="E108">
        <v>23320029</v>
      </c>
      <c r="F108" t="s">
        <v>571</v>
      </c>
      <c r="G108" t="s">
        <v>360</v>
      </c>
      <c r="H108">
        <v>50</v>
      </c>
      <c r="I108">
        <v>830</v>
      </c>
      <c r="J108">
        <v>3376025</v>
      </c>
      <c r="K108" t="str">
        <f>IFERROR(IF(B108&lt;&gt;"", TEXT(VLOOKUP(B108, 'Expected Date'!A:B, 2, FALSE) + DATE(RIGHT(C108,2),MID(C108,4,2),LEFT(C108,2)), "dd/mm/yy"), ""), "")</f>
        <v>20/08/23</v>
      </c>
      <c r="L108" t="s">
        <v>68</v>
      </c>
      <c r="M108" t="str">
        <f>M11</f>
        <v>MT</v>
      </c>
      <c r="N108" t="s">
        <v>144</v>
      </c>
      <c r="O108" t="s">
        <v>526</v>
      </c>
      <c r="P108">
        <v>23390689</v>
      </c>
      <c r="Q108" t="s">
        <v>571</v>
      </c>
      <c r="R108" t="s">
        <v>143</v>
      </c>
      <c r="S108">
        <v>49.042999999999999</v>
      </c>
      <c r="T108">
        <v>830</v>
      </c>
      <c r="U108">
        <v>3350078.29</v>
      </c>
      <c r="V108" t="str">
        <f t="shared" si="35"/>
        <v>Accepted</v>
      </c>
      <c r="W108">
        <f>IFERROR(VLOOKUP(N108, Payment_Terms!A:B, 2, FALSE), "Payment term not found!")</f>
        <v>30</v>
      </c>
      <c r="X108" t="str">
        <f>IFERROR(VLOOKUP(R108, Item_Category!A:B, 2, FALSE), "Uncategorized")</f>
        <v>Wood pulp</v>
      </c>
      <c r="Y108" s="5">
        <f t="shared" ref="Y108:Y153" si="39">IFERROR(IF(AND(E108&lt;&gt;"", G108&lt;&gt;""), MAX(0, (H108-SUMIFS(S:S, E:E, E108, G:G, G108))/H108), ""), (H108-S108)/H108)</f>
        <v>1.9140000000000015E-2</v>
      </c>
      <c r="Z108">
        <f t="shared" si="23"/>
        <v>4</v>
      </c>
      <c r="AA108">
        <f t="shared" si="24"/>
        <v>54</v>
      </c>
      <c r="AB108">
        <f t="shared" si="25"/>
        <v>1</v>
      </c>
      <c r="AC108" s="10">
        <f t="shared" si="26"/>
        <v>99</v>
      </c>
      <c r="AD108" s="5">
        <f t="shared" si="19"/>
        <v>1</v>
      </c>
      <c r="AE108" s="5">
        <f t="shared" si="20"/>
        <v>1</v>
      </c>
      <c r="AF108" s="5">
        <f t="shared" si="27"/>
        <v>0</v>
      </c>
      <c r="AG108">
        <f>IF(B108&lt;&gt;"", COUNTIFS($B$2:B108, B108), "")</f>
        <v>5</v>
      </c>
      <c r="AH108">
        <f t="shared" si="28"/>
        <v>5</v>
      </c>
      <c r="AI108" t="str">
        <f>VLOOKUP(B108, Currency!A:B, 2, FALSE)</f>
        <v>USD</v>
      </c>
      <c r="AJ108">
        <f t="shared" si="21"/>
        <v>4</v>
      </c>
      <c r="AK108">
        <f t="shared" si="29"/>
        <v>7</v>
      </c>
      <c r="AL108" t="str">
        <f t="shared" si="30"/>
        <v>July</v>
      </c>
      <c r="AM108">
        <f t="shared" si="31"/>
        <v>2023</v>
      </c>
      <c r="AN108" t="str">
        <f t="shared" si="38"/>
        <v>30Sappi Paper Holdings GMBH</v>
      </c>
      <c r="AO108">
        <f>IF(COUNTIF($AN$2:AN108, AN108)=1, 1, 0)</f>
        <v>0</v>
      </c>
      <c r="AP108" t="str">
        <f t="shared" si="32"/>
        <v>&gt;3</v>
      </c>
      <c r="AQ108" t="str">
        <f t="shared" si="33"/>
        <v>&gt;3</v>
      </c>
      <c r="AR108" t="str">
        <f t="shared" si="34"/>
        <v>&lt;=3</v>
      </c>
    </row>
    <row r="109" spans="1:44" x14ac:dyDescent="0.3">
      <c r="A109" t="s">
        <v>33</v>
      </c>
      <c r="B109" t="s">
        <v>557</v>
      </c>
      <c r="C109" t="s">
        <v>57</v>
      </c>
      <c r="D109">
        <v>3523</v>
      </c>
      <c r="E109">
        <v>23310275</v>
      </c>
      <c r="F109" t="s">
        <v>558</v>
      </c>
      <c r="G109" t="s">
        <v>384</v>
      </c>
      <c r="H109">
        <v>400</v>
      </c>
      <c r="I109">
        <v>99</v>
      </c>
      <c r="J109">
        <v>39600</v>
      </c>
      <c r="K109" t="str">
        <f>IFERROR(IF(B109&lt;&gt;"", TEXT(VLOOKUP(B109, 'Expected Date'!A:B, 2, FALSE) + DATE(RIGHT(C109,2),MID(C109,4,2),LEFT(C109,2)), "dd/mm/yy"), ""), "")</f>
        <v>13/08/23</v>
      </c>
      <c r="L109" t="s">
        <v>38</v>
      </c>
      <c r="M109" t="s">
        <v>48</v>
      </c>
      <c r="N109" t="s">
        <v>364</v>
      </c>
      <c r="O109" t="s">
        <v>202</v>
      </c>
      <c r="P109">
        <v>23390408</v>
      </c>
      <c r="Q109" t="s">
        <v>558</v>
      </c>
      <c r="R109" t="s">
        <v>559</v>
      </c>
      <c r="S109">
        <v>100</v>
      </c>
      <c r="T109">
        <v>99</v>
      </c>
      <c r="U109">
        <v>9900</v>
      </c>
      <c r="V109" t="str">
        <f t="shared" si="35"/>
        <v>Accepted</v>
      </c>
      <c r="W109">
        <f>IFERROR(VLOOKUP(N109, Payment_Terms!A:B, 2, FALSE), "Payment term not found!")</f>
        <v>30</v>
      </c>
      <c r="X109" t="str">
        <f>IFERROR(VLOOKUP(R109, Item_Category!A:B, 2, FALSE), "Uncategorized")</f>
        <v>Anhydrous Ammonia</v>
      </c>
      <c r="Y109" s="5">
        <f t="shared" si="39"/>
        <v>0</v>
      </c>
      <c r="Z109">
        <f t="shared" si="23"/>
        <v>5</v>
      </c>
      <c r="AA109">
        <f t="shared" si="24"/>
        <v>-4</v>
      </c>
      <c r="AB109">
        <f t="shared" si="25"/>
        <v>5</v>
      </c>
      <c r="AC109" s="10">
        <f t="shared" si="26"/>
        <v>6</v>
      </c>
      <c r="AD109" s="5">
        <f t="shared" si="19"/>
        <v>1</v>
      </c>
      <c r="AE109" s="5">
        <f t="shared" si="20"/>
        <v>1</v>
      </c>
      <c r="AF109" s="5">
        <f t="shared" si="27"/>
        <v>0</v>
      </c>
      <c r="AG109">
        <f>IF(B109&lt;&gt;"", COUNTIFS($B$2:B109, B109), "")</f>
        <v>14</v>
      </c>
      <c r="AH109">
        <f t="shared" si="28"/>
        <v>5</v>
      </c>
      <c r="AI109" t="str">
        <f>VLOOKUP(B109, Currency!A:B, 2, FALSE)</f>
        <v>INR</v>
      </c>
      <c r="AJ109">
        <f t="shared" si="21"/>
        <v>5</v>
      </c>
      <c r="AK109">
        <f t="shared" si="29"/>
        <v>8</v>
      </c>
      <c r="AL109" t="str">
        <f t="shared" si="30"/>
        <v>August</v>
      </c>
      <c r="AM109">
        <f t="shared" si="31"/>
        <v>2023</v>
      </c>
      <c r="AN109" t="str">
        <f t="shared" si="38"/>
        <v>30Jaysons Chemical Industries Vapi</v>
      </c>
      <c r="AO109">
        <f>IF(COUNTIF($AN$2:AN109, AN109)=1, 1, 0)</f>
        <v>0</v>
      </c>
      <c r="AP109" t="str">
        <f t="shared" si="32"/>
        <v>&gt;3</v>
      </c>
      <c r="AQ109" t="str">
        <f t="shared" si="33"/>
        <v>&gt;3</v>
      </c>
      <c r="AR109" t="str">
        <f t="shared" si="34"/>
        <v>&gt;3</v>
      </c>
    </row>
    <row r="110" spans="1:44" x14ac:dyDescent="0.3">
      <c r="A110" t="s">
        <v>33</v>
      </c>
      <c r="B110" t="s">
        <v>386</v>
      </c>
      <c r="C110" t="s">
        <v>354</v>
      </c>
      <c r="D110">
        <v>2794</v>
      </c>
      <c r="E110">
        <v>23310213</v>
      </c>
      <c r="F110" t="s">
        <v>567</v>
      </c>
      <c r="G110" t="s">
        <v>568</v>
      </c>
      <c r="H110">
        <v>500</v>
      </c>
      <c r="I110">
        <v>133</v>
      </c>
      <c r="J110">
        <v>66500</v>
      </c>
      <c r="K110" t="str">
        <f>IFERROR(IF(B110&lt;&gt;"", TEXT(VLOOKUP(B110, 'Expected Date'!A:B, 2, FALSE) + DATE(RIGHT(C110,2),MID(C110,4,2),LEFT(C110,2)), "dd/mm/yy"), ""), "")</f>
        <v>08/07/23</v>
      </c>
      <c r="L110" t="s">
        <v>38</v>
      </c>
      <c r="M110" t="s">
        <v>39</v>
      </c>
      <c r="N110" t="s">
        <v>318</v>
      </c>
      <c r="O110" t="s">
        <v>120</v>
      </c>
      <c r="P110">
        <v>23390343</v>
      </c>
      <c r="Q110" t="s">
        <v>567</v>
      </c>
      <c r="R110" t="s">
        <v>568</v>
      </c>
      <c r="S110">
        <v>712</v>
      </c>
      <c r="T110">
        <v>133</v>
      </c>
      <c r="U110">
        <v>94696</v>
      </c>
      <c r="V110" t="str">
        <f t="shared" si="35"/>
        <v>Accepted</v>
      </c>
      <c r="W110">
        <f>IFERROR(VLOOKUP(N110, Payment_Terms!A:B, 2, FALSE), "Payment term not found!")</f>
        <v>30</v>
      </c>
      <c r="X110" t="str">
        <f>IFERROR(VLOOKUP(R110, Item_Category!A:B, 2, FALSE), "Uncategorized")</f>
        <v>Liner</v>
      </c>
      <c r="Y110" s="5">
        <f t="shared" si="39"/>
        <v>0</v>
      </c>
      <c r="Z110">
        <f t="shared" si="23"/>
        <v>5</v>
      </c>
      <c r="AA110">
        <f t="shared" si="24"/>
        <v>12</v>
      </c>
      <c r="AB110">
        <f t="shared" si="25"/>
        <v>1</v>
      </c>
      <c r="AC110" s="10">
        <f t="shared" si="26"/>
        <v>17</v>
      </c>
      <c r="AD110" s="5">
        <f t="shared" si="19"/>
        <v>1</v>
      </c>
      <c r="AE110" s="5">
        <f t="shared" si="20"/>
        <v>1</v>
      </c>
      <c r="AF110" s="5">
        <f t="shared" si="27"/>
        <v>0</v>
      </c>
      <c r="AG110">
        <f>IF(B110&lt;&gt;"", COUNTIFS($B$2:B110, B110), "")</f>
        <v>10</v>
      </c>
      <c r="AH110">
        <f t="shared" si="28"/>
        <v>5</v>
      </c>
      <c r="AI110" t="str">
        <f>VLOOKUP(B110, Currency!A:B, 2, FALSE)</f>
        <v>INR</v>
      </c>
      <c r="AJ110">
        <f t="shared" si="21"/>
        <v>4</v>
      </c>
      <c r="AK110">
        <f t="shared" si="29"/>
        <v>7</v>
      </c>
      <c r="AL110" t="str">
        <f t="shared" si="30"/>
        <v>July</v>
      </c>
      <c r="AM110">
        <f t="shared" si="31"/>
        <v>2023</v>
      </c>
      <c r="AN110" t="str">
        <f t="shared" si="38"/>
        <v>30Shree Shyam Enterprises</v>
      </c>
      <c r="AO110">
        <f>IF(COUNTIF($AN$2:AN110, AN110)=1, 1, 0)</f>
        <v>0</v>
      </c>
      <c r="AP110" t="str">
        <f t="shared" si="32"/>
        <v>&gt;3</v>
      </c>
      <c r="AQ110" t="str">
        <f t="shared" si="33"/>
        <v>&gt;3</v>
      </c>
      <c r="AR110" t="str">
        <f t="shared" si="34"/>
        <v>&lt;=3</v>
      </c>
    </row>
    <row r="111" spans="1:44" x14ac:dyDescent="0.3">
      <c r="A111" t="s">
        <v>33</v>
      </c>
      <c r="B111" t="s">
        <v>366</v>
      </c>
      <c r="C111" t="s">
        <v>178</v>
      </c>
      <c r="D111">
        <v>4155</v>
      </c>
      <c r="E111">
        <v>23310339</v>
      </c>
      <c r="F111" t="s">
        <v>569</v>
      </c>
      <c r="G111" t="s">
        <v>570</v>
      </c>
      <c r="H111">
        <v>150</v>
      </c>
      <c r="I111">
        <v>9800</v>
      </c>
      <c r="J111">
        <v>1470000</v>
      </c>
      <c r="K111" t="str">
        <f>IFERROR(IF(B111&lt;&gt;"", TEXT(VLOOKUP(B111, 'Expected Date'!A:B, 2, FALSE) + DATE(RIGHT(C111,2),MID(C111,4,2),LEFT(C111,2)), "dd/mm/yy"), ""), "")</f>
        <v>03/09/23</v>
      </c>
      <c r="L111" t="s">
        <v>38</v>
      </c>
      <c r="M111" t="s">
        <v>48</v>
      </c>
      <c r="N111" t="s">
        <v>532</v>
      </c>
      <c r="O111" t="s">
        <v>156</v>
      </c>
      <c r="P111">
        <v>23390580</v>
      </c>
      <c r="Q111" t="s">
        <v>569</v>
      </c>
      <c r="R111" t="s">
        <v>570</v>
      </c>
      <c r="S111">
        <v>29.34</v>
      </c>
      <c r="T111">
        <v>9800</v>
      </c>
      <c r="U111">
        <v>287532</v>
      </c>
      <c r="V111" t="str">
        <f t="shared" si="35"/>
        <v>Accepted</v>
      </c>
      <c r="W111">
        <f>IFERROR(VLOOKUP(N111, Payment_Terms!A:B, 2, FALSE), "Payment term not found!")</f>
        <v>15</v>
      </c>
      <c r="X111" t="str">
        <f>IFERROR(VLOOKUP(R111, Item_Category!A:B, 2, FALSE), "Uncategorized")</f>
        <v>Coal materials</v>
      </c>
      <c r="Y111" s="5">
        <f t="shared" si="39"/>
        <v>0</v>
      </c>
      <c r="Z111">
        <f t="shared" si="23"/>
        <v>5</v>
      </c>
      <c r="AA111">
        <f t="shared" si="24"/>
        <v>15</v>
      </c>
      <c r="AB111">
        <f t="shared" si="25"/>
        <v>1</v>
      </c>
      <c r="AC111" s="10">
        <f t="shared" si="26"/>
        <v>17</v>
      </c>
      <c r="AD111" s="5">
        <f t="shared" si="19"/>
        <v>1</v>
      </c>
      <c r="AE111" s="5">
        <f t="shared" si="20"/>
        <v>1</v>
      </c>
      <c r="AF111" s="5">
        <f t="shared" si="27"/>
        <v>0</v>
      </c>
      <c r="AG111">
        <f>IF(B111&lt;&gt;"", COUNTIFS($B$2:B111, B111), "")</f>
        <v>15</v>
      </c>
      <c r="AH111">
        <f t="shared" si="28"/>
        <v>5</v>
      </c>
      <c r="AI111" t="str">
        <f>VLOOKUP(B111, Currency!A:B, 2, FALSE)</f>
        <v>INR</v>
      </c>
      <c r="AJ111">
        <f t="shared" si="21"/>
        <v>4</v>
      </c>
      <c r="AK111">
        <f t="shared" si="29"/>
        <v>9</v>
      </c>
      <c r="AL111" t="str">
        <f t="shared" si="30"/>
        <v>September</v>
      </c>
      <c r="AM111">
        <f t="shared" si="31"/>
        <v>2023</v>
      </c>
      <c r="AN111" t="str">
        <f t="shared" si="38"/>
        <v>15SKYWIN ENTERPRISE</v>
      </c>
      <c r="AO111">
        <f>IF(COUNTIF($AN$2:AN111, AN111)=1, 1, 0)</f>
        <v>0</v>
      </c>
      <c r="AP111" t="str">
        <f t="shared" si="32"/>
        <v>&gt;3</v>
      </c>
      <c r="AQ111" t="str">
        <f t="shared" si="33"/>
        <v>&gt;3</v>
      </c>
      <c r="AR111" t="str">
        <f t="shared" si="34"/>
        <v>&lt;=3</v>
      </c>
    </row>
    <row r="112" spans="1:44" x14ac:dyDescent="0.3">
      <c r="A112" t="s">
        <v>33</v>
      </c>
      <c r="B112" t="s">
        <v>513</v>
      </c>
      <c r="C112" t="s">
        <v>562</v>
      </c>
      <c r="D112">
        <v>1635</v>
      </c>
      <c r="E112">
        <v>23310057</v>
      </c>
      <c r="F112" t="s">
        <v>563</v>
      </c>
      <c r="G112" t="s">
        <v>515</v>
      </c>
      <c r="H112">
        <v>2500</v>
      </c>
      <c r="I112">
        <v>26</v>
      </c>
      <c r="J112">
        <v>65000</v>
      </c>
      <c r="K112" t="str">
        <f>IFERROR(IF(B112&lt;&gt;"", TEXT(VLOOKUP(B112, 'Expected Date'!A:B, 2, FALSE) + DATE(RIGHT(C112,2),MID(C112,4,2),LEFT(C112,2)), "dd/mm/yy"), ""), "")</f>
        <v>02/05/23</v>
      </c>
      <c r="L112" t="s">
        <v>38</v>
      </c>
      <c r="M112" t="s">
        <v>48</v>
      </c>
      <c r="N112" t="s">
        <v>342</v>
      </c>
      <c r="O112" t="s">
        <v>223</v>
      </c>
      <c r="P112">
        <v>23390155</v>
      </c>
      <c r="Q112" t="s">
        <v>563</v>
      </c>
      <c r="R112" t="s">
        <v>564</v>
      </c>
      <c r="S112">
        <v>500</v>
      </c>
      <c r="T112">
        <v>26</v>
      </c>
      <c r="U112">
        <v>13000</v>
      </c>
      <c r="V112" t="str">
        <f t="shared" si="35"/>
        <v>Accepted</v>
      </c>
      <c r="W112">
        <f>IFERROR(VLOOKUP(N112, Payment_Terms!A:B, 2, FALSE), "Payment term not found!")</f>
        <v>30</v>
      </c>
      <c r="X112" t="str">
        <f>IFERROR(VLOOKUP(R112, Item_Category!A:B, 2, FALSE), "Uncategorized")</f>
        <v xml:space="preserve">Caustic Soda </v>
      </c>
      <c r="Y112" s="5">
        <f t="shared" si="39"/>
        <v>0</v>
      </c>
      <c r="Z112">
        <f t="shared" si="23"/>
        <v>5</v>
      </c>
      <c r="AA112">
        <f t="shared" si="24"/>
        <v>15</v>
      </c>
      <c r="AB112">
        <f t="shared" si="25"/>
        <v>1</v>
      </c>
      <c r="AC112" s="10">
        <f t="shared" si="26"/>
        <v>17</v>
      </c>
      <c r="AD112" s="5">
        <f t="shared" si="19"/>
        <v>1</v>
      </c>
      <c r="AE112" s="5">
        <f t="shared" si="20"/>
        <v>1</v>
      </c>
      <c r="AF112" s="5">
        <f t="shared" si="27"/>
        <v>0</v>
      </c>
      <c r="AG112">
        <f>IF(B112&lt;&gt;"", COUNTIFS($B$2:B112, B112), "")</f>
        <v>10</v>
      </c>
      <c r="AH112">
        <f t="shared" si="28"/>
        <v>5</v>
      </c>
      <c r="AI112" t="str">
        <f>VLOOKUP(B112, Currency!A:B, 2, FALSE)</f>
        <v>INR</v>
      </c>
      <c r="AJ112">
        <f t="shared" si="21"/>
        <v>4</v>
      </c>
      <c r="AK112">
        <f t="shared" si="29"/>
        <v>4</v>
      </c>
      <c r="AL112" t="str">
        <f t="shared" si="30"/>
        <v>April</v>
      </c>
      <c r="AM112">
        <f t="shared" si="31"/>
        <v>2023</v>
      </c>
      <c r="AN112" t="str">
        <f t="shared" si="38"/>
        <v>30J.K.Marketing</v>
      </c>
      <c r="AO112">
        <f>IF(COUNTIF($AN$2:AN112, AN112)=1, 1, 0)</f>
        <v>0</v>
      </c>
      <c r="AP112" t="str">
        <f t="shared" si="32"/>
        <v>&gt;3</v>
      </c>
      <c r="AQ112" t="str">
        <f t="shared" si="33"/>
        <v>&gt;3</v>
      </c>
      <c r="AR112" t="str">
        <f t="shared" si="34"/>
        <v>&lt;=3</v>
      </c>
    </row>
    <row r="113" spans="1:44" x14ac:dyDescent="0.3">
      <c r="A113" t="s">
        <v>33</v>
      </c>
      <c r="B113" t="s">
        <v>395</v>
      </c>
      <c r="C113" t="s">
        <v>352</v>
      </c>
      <c r="D113">
        <v>2380</v>
      </c>
      <c r="E113">
        <v>23310163</v>
      </c>
      <c r="F113" t="s">
        <v>569</v>
      </c>
      <c r="G113" t="s">
        <v>570</v>
      </c>
      <c r="H113">
        <v>100</v>
      </c>
      <c r="I113">
        <v>11523.81</v>
      </c>
      <c r="J113">
        <v>1152381</v>
      </c>
      <c r="K113" t="str">
        <f>IFERROR(IF(B113&lt;&gt;"", TEXT(VLOOKUP(B113, 'Expected Date'!A:B, 2, FALSE) + DATE(RIGHT(C113,2),MID(C113,4,2),LEFT(C113,2)), "dd/mm/yy"), ""), "")</f>
        <v>07/06/23</v>
      </c>
      <c r="L113" t="s">
        <v>68</v>
      </c>
      <c r="M113" t="s">
        <v>48</v>
      </c>
      <c r="N113" t="s">
        <v>342</v>
      </c>
      <c r="O113" t="s">
        <v>195</v>
      </c>
      <c r="P113">
        <v>23390247</v>
      </c>
      <c r="Q113" t="s">
        <v>569</v>
      </c>
      <c r="R113" t="s">
        <v>570</v>
      </c>
      <c r="S113">
        <v>30.87</v>
      </c>
      <c r="T113">
        <v>11523.81</v>
      </c>
      <c r="U113">
        <v>355740.01</v>
      </c>
      <c r="V113" t="str">
        <f t="shared" si="35"/>
        <v>Accepted</v>
      </c>
      <c r="W113">
        <f>IFERROR(VLOOKUP(N113, Payment_Terms!A:B, 2, FALSE), "Payment term not found!")</f>
        <v>30</v>
      </c>
      <c r="X113" t="str">
        <f>IFERROR(VLOOKUP(R113, Item_Category!A:B, 2, FALSE), "Uncategorized")</f>
        <v>Coal materials</v>
      </c>
      <c r="Y113" s="5">
        <f t="shared" si="39"/>
        <v>0.23749999999999999</v>
      </c>
      <c r="Z113">
        <f t="shared" si="23"/>
        <v>1</v>
      </c>
      <c r="AA113">
        <f t="shared" si="24"/>
        <v>8</v>
      </c>
      <c r="AB113">
        <f t="shared" si="25"/>
        <v>2</v>
      </c>
      <c r="AC113" s="10">
        <f t="shared" si="26"/>
        <v>13</v>
      </c>
      <c r="AD113" s="5">
        <f t="shared" si="19"/>
        <v>1</v>
      </c>
      <c r="AE113" s="5">
        <f t="shared" si="20"/>
        <v>1</v>
      </c>
      <c r="AF113" s="5">
        <f t="shared" si="27"/>
        <v>0</v>
      </c>
      <c r="AG113">
        <f>IF(B113&lt;&gt;"", COUNTIFS($B$2:B113, B113), "")</f>
        <v>5</v>
      </c>
      <c r="AH113">
        <f t="shared" si="28"/>
        <v>5</v>
      </c>
      <c r="AI113" t="str">
        <f>VLOOKUP(B113, Currency!A:B, 2, FALSE)</f>
        <v>INR</v>
      </c>
      <c r="AJ113">
        <f t="shared" si="21"/>
        <v>3</v>
      </c>
      <c r="AK113">
        <f t="shared" si="29"/>
        <v>6</v>
      </c>
      <c r="AL113" t="str">
        <f t="shared" si="30"/>
        <v>June</v>
      </c>
      <c r="AM113">
        <f t="shared" si="31"/>
        <v>2023</v>
      </c>
      <c r="AN113" t="str">
        <f t="shared" si="38"/>
        <v>30Crystal coal corporation</v>
      </c>
      <c r="AO113">
        <f>IF(COUNTIF($AN$2:AN113, AN113)=1, 1, 0)</f>
        <v>0</v>
      </c>
      <c r="AP113" t="str">
        <f t="shared" si="32"/>
        <v>&gt;3</v>
      </c>
      <c r="AQ113" t="str">
        <f t="shared" si="33"/>
        <v>&lt;=3</v>
      </c>
      <c r="AR113" t="str">
        <f t="shared" si="34"/>
        <v>&lt;=3</v>
      </c>
    </row>
    <row r="114" spans="1:44" x14ac:dyDescent="0.3">
      <c r="A114" t="str">
        <f>A10</f>
        <v>Woodpulp</v>
      </c>
      <c r="B114" t="s">
        <v>289</v>
      </c>
      <c r="C114" t="s">
        <v>133</v>
      </c>
      <c r="D114">
        <v>2299</v>
      </c>
      <c r="E114">
        <v>23320014</v>
      </c>
      <c r="F114" t="s">
        <v>575</v>
      </c>
      <c r="G114" t="s">
        <v>291</v>
      </c>
      <c r="H114">
        <v>100</v>
      </c>
      <c r="I114">
        <v>56000</v>
      </c>
      <c r="J114">
        <v>5600000</v>
      </c>
      <c r="K114" t="str">
        <f>IFERROR(IF(B114&lt;&gt;"", TEXT(VLOOKUP(B114, 'Expected Date'!A:B, 2, FALSE) + DATE(RIGHT(C114,2),MID(C114,4,2),LEFT(C114,2)), "dd/mm/yy"), ""), "")</f>
        <v>06/07/23</v>
      </c>
      <c r="L114" t="s">
        <v>68</v>
      </c>
      <c r="M114" t="str">
        <f>M11</f>
        <v>MT</v>
      </c>
      <c r="N114" t="s">
        <v>292</v>
      </c>
      <c r="O114" t="s">
        <v>328</v>
      </c>
      <c r="P114">
        <v>23390243</v>
      </c>
      <c r="Q114" t="s">
        <v>575</v>
      </c>
      <c r="R114" t="s">
        <v>291</v>
      </c>
      <c r="S114">
        <v>30.27</v>
      </c>
      <c r="T114">
        <v>56000</v>
      </c>
      <c r="U114">
        <v>1695120</v>
      </c>
      <c r="V114" t="str">
        <f t="shared" si="35"/>
        <v>Accepted</v>
      </c>
      <c r="W114">
        <f>IFERROR(VLOOKUP(N114, Payment_Terms!A:B, 2, FALSE), "Payment term not found!")</f>
        <v>0</v>
      </c>
      <c r="X114" t="str">
        <f>IFERROR(VLOOKUP(R114, Item_Category!A:B, 2, FALSE), "Uncategorized")</f>
        <v>Wood pulp</v>
      </c>
      <c r="Y114" s="5">
        <f t="shared" si="39"/>
        <v>0.17262</v>
      </c>
      <c r="Z114">
        <f t="shared" si="23"/>
        <v>1</v>
      </c>
      <c r="AA114">
        <f t="shared" si="24"/>
        <v>-22</v>
      </c>
      <c r="AB114">
        <f t="shared" si="25"/>
        <v>5</v>
      </c>
      <c r="AC114" s="10">
        <f t="shared" si="26"/>
        <v>8</v>
      </c>
      <c r="AD114" s="5">
        <f t="shared" si="19"/>
        <v>1</v>
      </c>
      <c r="AE114" s="5">
        <f t="shared" si="20"/>
        <v>1</v>
      </c>
      <c r="AF114" s="5">
        <f t="shared" si="27"/>
        <v>0</v>
      </c>
      <c r="AG114">
        <f>IF(B114&lt;&gt;"", COUNTIFS($B$2:B114, B114), "")</f>
        <v>12</v>
      </c>
      <c r="AH114">
        <f t="shared" si="28"/>
        <v>5</v>
      </c>
      <c r="AI114" t="str">
        <f>VLOOKUP(B114, Currency!A:B, 2, FALSE)</f>
        <v>INR</v>
      </c>
      <c r="AJ114">
        <f t="shared" si="21"/>
        <v>4</v>
      </c>
      <c r="AK114">
        <f t="shared" si="29"/>
        <v>6</v>
      </c>
      <c r="AL114" t="str">
        <f t="shared" si="30"/>
        <v>June</v>
      </c>
      <c r="AM114">
        <f t="shared" si="31"/>
        <v>2023</v>
      </c>
      <c r="AN114" t="str">
        <f t="shared" si="38"/>
        <v>0N.E. IMPEX PRIVATE LIMITED</v>
      </c>
      <c r="AO114">
        <f>IF(COUNTIF($AN$2:AN114, AN114)=1, 1, 0)</f>
        <v>0</v>
      </c>
      <c r="AP114" t="str">
        <f t="shared" si="32"/>
        <v>&gt;3</v>
      </c>
      <c r="AQ114" t="str">
        <f t="shared" si="33"/>
        <v>&lt;=3</v>
      </c>
      <c r="AR114" t="str">
        <f t="shared" si="34"/>
        <v>&gt;3</v>
      </c>
    </row>
    <row r="115" spans="1:44" x14ac:dyDescent="0.3">
      <c r="A115" t="str">
        <f>A10</f>
        <v>Woodpulp</v>
      </c>
      <c r="B115" t="s">
        <v>289</v>
      </c>
      <c r="C115" t="s">
        <v>133</v>
      </c>
      <c r="D115">
        <v>2299</v>
      </c>
      <c r="E115">
        <v>23320014</v>
      </c>
      <c r="F115" t="s">
        <v>575</v>
      </c>
      <c r="G115" t="s">
        <v>291</v>
      </c>
      <c r="H115">
        <v>100</v>
      </c>
      <c r="I115">
        <v>56000</v>
      </c>
      <c r="J115">
        <v>5600000</v>
      </c>
      <c r="K115" t="str">
        <f>IFERROR(IF(B115&lt;&gt;"", TEXT(VLOOKUP(B115, 'Expected Date'!A:B, 2, FALSE) + DATE(RIGHT(C115,2),MID(C115,4,2),LEFT(C115,2)), "dd/mm/yy"), ""), "")</f>
        <v>06/07/23</v>
      </c>
      <c r="L115" t="s">
        <v>68</v>
      </c>
      <c r="M115" t="str">
        <f>M11</f>
        <v>MT</v>
      </c>
      <c r="N115" t="s">
        <v>292</v>
      </c>
      <c r="O115" t="s">
        <v>328</v>
      </c>
      <c r="P115">
        <v>23390245</v>
      </c>
      <c r="Q115" t="s">
        <v>575</v>
      </c>
      <c r="R115" t="s">
        <v>291</v>
      </c>
      <c r="S115">
        <v>24.216000000000001</v>
      </c>
      <c r="T115">
        <v>56000</v>
      </c>
      <c r="U115">
        <v>1356096</v>
      </c>
      <c r="V115" t="str">
        <f t="shared" si="35"/>
        <v>Accepted</v>
      </c>
      <c r="W115">
        <f>IFERROR(VLOOKUP(N115, Payment_Terms!A:B, 2, FALSE), "Payment term not found!")</f>
        <v>0</v>
      </c>
      <c r="X115" t="str">
        <f>IFERROR(VLOOKUP(R115, Item_Category!A:B, 2, FALSE), "Uncategorized")</f>
        <v>Wood pulp</v>
      </c>
      <c r="Y115" s="5">
        <f t="shared" si="39"/>
        <v>0.17262</v>
      </c>
      <c r="Z115">
        <f t="shared" si="23"/>
        <v>1</v>
      </c>
      <c r="AA115">
        <f t="shared" si="24"/>
        <v>-22</v>
      </c>
      <c r="AB115">
        <f t="shared" si="25"/>
        <v>5</v>
      </c>
      <c r="AC115" s="10">
        <f t="shared" si="26"/>
        <v>8</v>
      </c>
      <c r="AD115" s="5">
        <f t="shared" si="19"/>
        <v>1</v>
      </c>
      <c r="AE115" s="5">
        <f t="shared" si="20"/>
        <v>1</v>
      </c>
      <c r="AF115" s="5">
        <f t="shared" si="27"/>
        <v>0</v>
      </c>
      <c r="AG115">
        <f>IF(B115&lt;&gt;"", COUNTIFS($B$2:B115, B115), "")</f>
        <v>13</v>
      </c>
      <c r="AH115">
        <f t="shared" si="28"/>
        <v>5</v>
      </c>
      <c r="AI115" t="str">
        <f>VLOOKUP(B115, Currency!A:B, 2, FALSE)</f>
        <v>INR</v>
      </c>
      <c r="AJ115">
        <f t="shared" si="21"/>
        <v>4</v>
      </c>
      <c r="AK115">
        <f t="shared" si="29"/>
        <v>6</v>
      </c>
      <c r="AL115" t="str">
        <f t="shared" si="30"/>
        <v>June</v>
      </c>
      <c r="AM115">
        <f t="shared" si="31"/>
        <v>2023</v>
      </c>
      <c r="AN115" t="str">
        <f t="shared" si="38"/>
        <v>0N.E. IMPEX PRIVATE LIMITED</v>
      </c>
      <c r="AO115">
        <f>IF(COUNTIF($AN$2:AN115, AN115)=1, 1, 0)</f>
        <v>0</v>
      </c>
      <c r="AP115" t="str">
        <f t="shared" si="32"/>
        <v>&gt;3</v>
      </c>
      <c r="AQ115" t="str">
        <f t="shared" si="33"/>
        <v>&lt;=3</v>
      </c>
      <c r="AR115" t="str">
        <f t="shared" si="34"/>
        <v>&gt;3</v>
      </c>
    </row>
    <row r="116" spans="1:44" x14ac:dyDescent="0.3">
      <c r="A116" t="s">
        <v>33</v>
      </c>
      <c r="B116" t="s">
        <v>386</v>
      </c>
      <c r="C116" t="s">
        <v>496</v>
      </c>
      <c r="D116">
        <v>4201</v>
      </c>
      <c r="E116">
        <v>23310343</v>
      </c>
      <c r="F116" t="s">
        <v>554</v>
      </c>
      <c r="G116" t="s">
        <v>555</v>
      </c>
      <c r="H116">
        <v>8000</v>
      </c>
      <c r="I116">
        <v>19.5</v>
      </c>
      <c r="J116">
        <v>156000</v>
      </c>
      <c r="K116" t="str">
        <f>IFERROR(IF(B116&lt;&gt;"", TEXT(VLOOKUP(B116, 'Expected Date'!A:B, 2, FALSE) + DATE(RIGHT(C116,2),MID(C116,4,2),LEFT(C116,2)), "dd/mm/yy"), ""), "")</f>
        <v>07/09/23</v>
      </c>
      <c r="L116" t="s">
        <v>38</v>
      </c>
      <c r="M116" t="s">
        <v>48</v>
      </c>
      <c r="N116" t="s">
        <v>318</v>
      </c>
      <c r="O116" t="s">
        <v>154</v>
      </c>
      <c r="P116">
        <v>23390600</v>
      </c>
      <c r="Q116" t="s">
        <v>554</v>
      </c>
      <c r="R116" t="s">
        <v>555</v>
      </c>
      <c r="S116">
        <v>9550</v>
      </c>
      <c r="T116">
        <v>19.5</v>
      </c>
      <c r="U116">
        <v>186225</v>
      </c>
      <c r="V116" t="str">
        <f t="shared" si="35"/>
        <v>Accepted</v>
      </c>
      <c r="W116">
        <f>IFERROR(VLOOKUP(N116, Payment_Terms!A:B, 2, FALSE), "Payment term not found!")</f>
        <v>30</v>
      </c>
      <c r="X116" t="str">
        <f>IFERROR(VLOOKUP(R116, Item_Category!A:B, 2, FALSE), "Uncategorized")</f>
        <v>HDPE bag acecel</v>
      </c>
      <c r="Y116" s="5">
        <f t="shared" si="39"/>
        <v>0</v>
      </c>
      <c r="Z116">
        <f t="shared" si="23"/>
        <v>5</v>
      </c>
      <c r="AA116">
        <f t="shared" si="24"/>
        <v>13</v>
      </c>
      <c r="AB116">
        <f t="shared" si="25"/>
        <v>1</v>
      </c>
      <c r="AC116" s="10">
        <f t="shared" si="26"/>
        <v>18</v>
      </c>
      <c r="AD116" s="5">
        <f t="shared" si="19"/>
        <v>1</v>
      </c>
      <c r="AE116" s="5">
        <f t="shared" si="20"/>
        <v>1</v>
      </c>
      <c r="AF116" s="5">
        <f t="shared" si="27"/>
        <v>0</v>
      </c>
      <c r="AG116">
        <f>IF(B116&lt;&gt;"", COUNTIFS($B$2:B116, B116), "")</f>
        <v>11</v>
      </c>
      <c r="AH116">
        <f t="shared" si="28"/>
        <v>5</v>
      </c>
      <c r="AI116" t="str">
        <f>VLOOKUP(B116, Currency!A:B, 2, FALSE)</f>
        <v>INR</v>
      </c>
      <c r="AJ116">
        <f t="shared" si="21"/>
        <v>4</v>
      </c>
      <c r="AK116">
        <f t="shared" si="29"/>
        <v>9</v>
      </c>
      <c r="AL116" t="str">
        <f t="shared" si="30"/>
        <v>September</v>
      </c>
      <c r="AM116">
        <f t="shared" si="31"/>
        <v>2023</v>
      </c>
      <c r="AN116" t="str">
        <f t="shared" si="38"/>
        <v>30Shree Shyam Enterprises</v>
      </c>
      <c r="AO116">
        <f>IF(COUNTIF($AN$2:AN116, AN116)=1, 1, 0)</f>
        <v>0</v>
      </c>
      <c r="AP116" t="str">
        <f t="shared" si="32"/>
        <v>&gt;3</v>
      </c>
      <c r="AQ116" t="str">
        <f t="shared" si="33"/>
        <v>&gt;3</v>
      </c>
      <c r="AR116" t="str">
        <f t="shared" si="34"/>
        <v>&lt;=3</v>
      </c>
    </row>
    <row r="117" spans="1:44" x14ac:dyDescent="0.3">
      <c r="A117" t="s">
        <v>111</v>
      </c>
      <c r="B117" t="s">
        <v>296</v>
      </c>
      <c r="C117" t="s">
        <v>257</v>
      </c>
      <c r="D117">
        <v>2662</v>
      </c>
      <c r="E117">
        <v>23320019</v>
      </c>
      <c r="F117" t="s">
        <v>591</v>
      </c>
      <c r="G117" t="s">
        <v>311</v>
      </c>
      <c r="H117">
        <v>1000</v>
      </c>
      <c r="I117">
        <v>413</v>
      </c>
      <c r="J117">
        <v>413000</v>
      </c>
      <c r="K117" t="str">
        <f>IFERROR(IF(B117&lt;&gt;"", TEXT(VLOOKUP(B117, 'Expected Date'!A:B, 2, FALSE) + DATE(RIGHT(C117,2),MID(C117,4,2),LEFT(C117,2)), "dd/mm/yy"), ""), "")</f>
        <v>12/07/23</v>
      </c>
      <c r="L117" t="s">
        <v>38</v>
      </c>
      <c r="M117" t="s">
        <v>48</v>
      </c>
      <c r="N117" t="s">
        <v>470</v>
      </c>
      <c r="O117" t="s">
        <v>162</v>
      </c>
      <c r="P117">
        <v>23390283</v>
      </c>
      <c r="Q117" t="s">
        <v>591</v>
      </c>
      <c r="R117" t="s">
        <v>376</v>
      </c>
      <c r="S117">
        <v>1000</v>
      </c>
      <c r="T117">
        <v>413</v>
      </c>
      <c r="U117">
        <v>413000</v>
      </c>
      <c r="V117" t="str">
        <f t="shared" si="35"/>
        <v>Accepted</v>
      </c>
      <c r="W117">
        <f>IFERROR(VLOOKUP(N117, Payment_Terms!A:B, 2, FALSE), "Payment term not found!")</f>
        <v>30</v>
      </c>
      <c r="X117" t="str">
        <f>IFERROR(VLOOKUP(R117, Item_Category!A:B, 2, FALSE), "Uncategorized")</f>
        <v>CROSSCARMELLOSE SODIUM</v>
      </c>
      <c r="Y117" s="5">
        <f t="shared" si="39"/>
        <v>0</v>
      </c>
      <c r="Z117">
        <f t="shared" si="23"/>
        <v>5</v>
      </c>
      <c r="AA117">
        <f t="shared" si="24"/>
        <v>-13</v>
      </c>
      <c r="AB117">
        <f t="shared" si="25"/>
        <v>5</v>
      </c>
      <c r="AC117" s="10">
        <f t="shared" si="26"/>
        <v>2</v>
      </c>
      <c r="AD117" s="5">
        <f t="shared" si="19"/>
        <v>1</v>
      </c>
      <c r="AE117" s="5">
        <f t="shared" si="20"/>
        <v>1</v>
      </c>
      <c r="AF117" s="5">
        <f t="shared" si="27"/>
        <v>0</v>
      </c>
      <c r="AG117">
        <f>IF(B117&lt;&gt;"", COUNTIFS($B$2:B117, B117), "")</f>
        <v>4</v>
      </c>
      <c r="AH117">
        <f t="shared" si="28"/>
        <v>5</v>
      </c>
      <c r="AI117" t="str">
        <f>VLOOKUP(B117, Currency!A:B, 2, FALSE)</f>
        <v>INR</v>
      </c>
      <c r="AJ117">
        <f t="shared" si="21"/>
        <v>5</v>
      </c>
      <c r="AK117">
        <f t="shared" si="29"/>
        <v>6</v>
      </c>
      <c r="AL117" t="str">
        <f t="shared" si="30"/>
        <v>June</v>
      </c>
      <c r="AM117">
        <f t="shared" si="31"/>
        <v>2023</v>
      </c>
      <c r="AN117" t="str">
        <f t="shared" si="38"/>
        <v>30Ascot Pharmachem Pvt Ltd</v>
      </c>
      <c r="AO117">
        <f>IF(COUNTIF($AN$2:AN117, AN117)=1, 1, 0)</f>
        <v>0</v>
      </c>
      <c r="AP117" t="str">
        <f t="shared" si="32"/>
        <v>&gt;3</v>
      </c>
      <c r="AQ117" t="str">
        <f t="shared" si="33"/>
        <v>&gt;3</v>
      </c>
      <c r="AR117" t="str">
        <f t="shared" si="34"/>
        <v>&gt;3</v>
      </c>
    </row>
    <row r="118" spans="1:44" x14ac:dyDescent="0.3">
      <c r="A118" t="str">
        <f>A90</f>
        <v>Woodpulp</v>
      </c>
      <c r="B118" t="s">
        <v>140</v>
      </c>
      <c r="C118" t="s">
        <v>35</v>
      </c>
      <c r="D118">
        <v>1555</v>
      </c>
      <c r="E118">
        <v>23320010</v>
      </c>
      <c r="F118" t="s">
        <v>571</v>
      </c>
      <c r="G118" t="s">
        <v>360</v>
      </c>
      <c r="H118">
        <v>75</v>
      </c>
      <c r="I118">
        <v>830</v>
      </c>
      <c r="J118">
        <v>5067150</v>
      </c>
      <c r="K118" t="str">
        <f>IFERROR(IF(B118&lt;&gt;"", TEXT(VLOOKUP(B118, 'Expected Date'!A:B, 2, FALSE) + DATE(RIGHT(C118,2),MID(C118,4,2),LEFT(C118,2)), "dd/mm/yy"), ""), "")</f>
        <v>11/06/23</v>
      </c>
      <c r="L118" t="s">
        <v>68</v>
      </c>
      <c r="M118" t="str">
        <f>M11</f>
        <v>MT</v>
      </c>
      <c r="N118" t="s">
        <v>144</v>
      </c>
      <c r="O118" t="s">
        <v>477</v>
      </c>
      <c r="P118">
        <v>23390077</v>
      </c>
      <c r="Q118" t="s">
        <v>571</v>
      </c>
      <c r="R118" t="s">
        <v>143</v>
      </c>
      <c r="S118">
        <v>73.992999999999995</v>
      </c>
      <c r="T118">
        <v>830</v>
      </c>
      <c r="U118">
        <v>4999115.07</v>
      </c>
      <c r="V118" t="str">
        <f t="shared" si="35"/>
        <v>Accepted</v>
      </c>
      <c r="W118">
        <f>IFERROR(VLOOKUP(N118, Payment_Terms!A:B, 2, FALSE), "Payment term not found!")</f>
        <v>30</v>
      </c>
      <c r="X118" t="str">
        <f>IFERROR(VLOOKUP(R118, Item_Category!A:B, 2, FALSE), "Uncategorized")</f>
        <v>Wood pulp</v>
      </c>
      <c r="Y118" s="5">
        <f t="shared" si="39"/>
        <v>1.3426666666666733E-2</v>
      </c>
      <c r="Z118">
        <f t="shared" si="23"/>
        <v>4</v>
      </c>
      <c r="AA118">
        <f t="shared" si="24"/>
        <v>-46</v>
      </c>
      <c r="AB118">
        <f t="shared" si="25"/>
        <v>5</v>
      </c>
      <c r="AC118" s="10">
        <f t="shared" si="26"/>
        <v>1</v>
      </c>
      <c r="AD118" s="5">
        <f t="shared" si="19"/>
        <v>1</v>
      </c>
      <c r="AE118" s="5">
        <f t="shared" si="20"/>
        <v>1</v>
      </c>
      <c r="AF118" s="5">
        <f t="shared" si="27"/>
        <v>0</v>
      </c>
      <c r="AG118">
        <f>IF(B118&lt;&gt;"", COUNTIFS($B$2:B118, B118), "")</f>
        <v>6</v>
      </c>
      <c r="AH118">
        <f t="shared" si="28"/>
        <v>5</v>
      </c>
      <c r="AI118" t="str">
        <f>VLOOKUP(B118, Currency!A:B, 2, FALSE)</f>
        <v>USD</v>
      </c>
      <c r="AJ118">
        <f t="shared" si="21"/>
        <v>5</v>
      </c>
      <c r="AK118">
        <f t="shared" si="29"/>
        <v>4</v>
      </c>
      <c r="AL118" t="str">
        <f t="shared" si="30"/>
        <v>April</v>
      </c>
      <c r="AM118">
        <f t="shared" si="31"/>
        <v>2023</v>
      </c>
      <c r="AN118" t="str">
        <f t="shared" si="38"/>
        <v>30Sappi Paper Holdings GMBH</v>
      </c>
      <c r="AO118">
        <f>IF(COUNTIF($AN$2:AN118, AN118)=1, 1, 0)</f>
        <v>0</v>
      </c>
      <c r="AP118" t="str">
        <f t="shared" si="32"/>
        <v>&gt;3</v>
      </c>
      <c r="AQ118" t="str">
        <f t="shared" si="33"/>
        <v>&gt;3</v>
      </c>
      <c r="AR118" t="str">
        <f t="shared" si="34"/>
        <v>&gt;3</v>
      </c>
    </row>
    <row r="119" spans="1:44" x14ac:dyDescent="0.3">
      <c r="A119" t="s">
        <v>33</v>
      </c>
      <c r="B119" t="s">
        <v>513</v>
      </c>
      <c r="C119" t="s">
        <v>103</v>
      </c>
      <c r="D119">
        <v>4198</v>
      </c>
      <c r="E119">
        <v>23310340</v>
      </c>
      <c r="F119" t="s">
        <v>563</v>
      </c>
      <c r="G119" t="s">
        <v>515</v>
      </c>
      <c r="H119">
        <v>2500</v>
      </c>
      <c r="I119">
        <v>24</v>
      </c>
      <c r="J119">
        <v>60000</v>
      </c>
      <c r="K119" t="str">
        <f>IFERROR(IF(B119&lt;&gt;"", TEXT(VLOOKUP(B119, 'Expected Date'!A:B, 2, FALSE) + DATE(RIGHT(C119,2),MID(C119,4,2),LEFT(C119,2)), "dd/mm/yy"), ""), "")</f>
        <v>08/09/23</v>
      </c>
      <c r="L119" t="s">
        <v>38</v>
      </c>
      <c r="M119" t="s">
        <v>48</v>
      </c>
      <c r="N119" t="s">
        <v>342</v>
      </c>
      <c r="O119" t="s">
        <v>270</v>
      </c>
      <c r="P119">
        <v>23390582</v>
      </c>
      <c r="Q119" t="s">
        <v>563</v>
      </c>
      <c r="R119" t="s">
        <v>564</v>
      </c>
      <c r="S119">
        <v>1000</v>
      </c>
      <c r="T119">
        <v>24</v>
      </c>
      <c r="U119">
        <v>24000</v>
      </c>
      <c r="V119" t="str">
        <f t="shared" si="35"/>
        <v>Accepted</v>
      </c>
      <c r="W119">
        <f>IFERROR(VLOOKUP(N119, Payment_Terms!A:B, 2, FALSE), "Payment term not found!")</f>
        <v>30</v>
      </c>
      <c r="X119" t="str">
        <f>IFERROR(VLOOKUP(R119, Item_Category!A:B, 2, FALSE), "Uncategorized")</f>
        <v xml:space="preserve">Caustic Soda </v>
      </c>
      <c r="Y119" s="5">
        <f t="shared" si="39"/>
        <v>0</v>
      </c>
      <c r="Z119">
        <f t="shared" si="23"/>
        <v>5</v>
      </c>
      <c r="AA119">
        <f t="shared" si="24"/>
        <v>8</v>
      </c>
      <c r="AB119">
        <f t="shared" si="25"/>
        <v>2</v>
      </c>
      <c r="AC119" s="10">
        <f t="shared" si="26"/>
        <v>10</v>
      </c>
      <c r="AD119" s="5">
        <f t="shared" si="19"/>
        <v>1</v>
      </c>
      <c r="AE119" s="5">
        <f t="shared" si="20"/>
        <v>1</v>
      </c>
      <c r="AF119" s="5">
        <f t="shared" si="27"/>
        <v>0</v>
      </c>
      <c r="AG119">
        <f>IF(B119&lt;&gt;"", COUNTIFS($B$2:B119, B119), "")</f>
        <v>11</v>
      </c>
      <c r="AH119">
        <f t="shared" si="28"/>
        <v>5</v>
      </c>
      <c r="AI119" t="str">
        <f>VLOOKUP(B119, Currency!A:B, 2, FALSE)</f>
        <v>INR</v>
      </c>
      <c r="AJ119">
        <f t="shared" si="21"/>
        <v>5</v>
      </c>
      <c r="AK119">
        <f t="shared" si="29"/>
        <v>9</v>
      </c>
      <c r="AL119" t="str">
        <f t="shared" si="30"/>
        <v>September</v>
      </c>
      <c r="AM119">
        <f t="shared" si="31"/>
        <v>2023</v>
      </c>
      <c r="AN119" t="str">
        <f t="shared" si="38"/>
        <v>30J.K.Marketing</v>
      </c>
      <c r="AO119">
        <f>IF(COUNTIF($AN$2:AN119, AN119)=1, 1, 0)</f>
        <v>0</v>
      </c>
      <c r="AP119" t="str">
        <f t="shared" si="32"/>
        <v>&gt;3</v>
      </c>
      <c r="AQ119" t="str">
        <f t="shared" si="33"/>
        <v>&gt;3</v>
      </c>
      <c r="AR119" t="str">
        <f t="shared" si="34"/>
        <v>&lt;=3</v>
      </c>
    </row>
    <row r="120" spans="1:44" x14ac:dyDescent="0.3">
      <c r="A120" t="s">
        <v>33</v>
      </c>
      <c r="B120" t="s">
        <v>386</v>
      </c>
      <c r="C120" t="s">
        <v>110</v>
      </c>
      <c r="D120">
        <v>2497</v>
      </c>
      <c r="E120">
        <v>23310177</v>
      </c>
      <c r="F120" t="s">
        <v>578</v>
      </c>
      <c r="G120" t="s">
        <v>579</v>
      </c>
      <c r="H120">
        <v>150</v>
      </c>
      <c r="I120">
        <v>129</v>
      </c>
      <c r="J120">
        <v>19350</v>
      </c>
      <c r="K120" t="str">
        <f>IFERROR(IF(B120&lt;&gt;"", TEXT(VLOOKUP(B120, 'Expected Date'!A:B, 2, FALSE) + DATE(RIGHT(C120,2),MID(C120,4,2),LEFT(C120,2)), "dd/mm/yy"), ""), "")</f>
        <v>05/06/23</v>
      </c>
      <c r="L120" t="s">
        <v>38</v>
      </c>
      <c r="M120" t="s">
        <v>48</v>
      </c>
      <c r="N120" t="s">
        <v>342</v>
      </c>
      <c r="O120" t="s">
        <v>195</v>
      </c>
      <c r="P120">
        <v>23390259</v>
      </c>
      <c r="Q120" t="s">
        <v>578</v>
      </c>
      <c r="R120" t="s">
        <v>579</v>
      </c>
      <c r="S120">
        <v>150</v>
      </c>
      <c r="T120">
        <v>129</v>
      </c>
      <c r="U120">
        <v>19350</v>
      </c>
      <c r="V120" t="str">
        <f t="shared" si="35"/>
        <v>Accepted</v>
      </c>
      <c r="W120">
        <f>IFERROR(VLOOKUP(N120, Payment_Terms!A:B, 2, FALSE), "Payment term not found!")</f>
        <v>30</v>
      </c>
      <c r="X120" t="str">
        <f>IFERROR(VLOOKUP(R120, Item_Category!A:B, 2, FALSE), "Uncategorized")</f>
        <v>Film</v>
      </c>
      <c r="Y120" s="5">
        <f t="shared" si="39"/>
        <v>0</v>
      </c>
      <c r="Z120">
        <f t="shared" si="23"/>
        <v>5</v>
      </c>
      <c r="AA120">
        <f t="shared" si="24"/>
        <v>10</v>
      </c>
      <c r="AB120">
        <f t="shared" si="25"/>
        <v>2</v>
      </c>
      <c r="AC120" s="10">
        <f t="shared" si="26"/>
        <v>15</v>
      </c>
      <c r="AD120" s="5">
        <f t="shared" si="19"/>
        <v>1</v>
      </c>
      <c r="AE120" s="5">
        <f t="shared" si="20"/>
        <v>1</v>
      </c>
      <c r="AF120" s="5">
        <f t="shared" si="27"/>
        <v>0</v>
      </c>
      <c r="AG120">
        <f>IF(B120&lt;&gt;"", COUNTIFS($B$2:B120, B120), "")</f>
        <v>12</v>
      </c>
      <c r="AH120">
        <f t="shared" si="28"/>
        <v>5</v>
      </c>
      <c r="AI120" t="str">
        <f>VLOOKUP(B120, Currency!A:B, 2, FALSE)</f>
        <v>INR</v>
      </c>
      <c r="AJ120">
        <f t="shared" si="21"/>
        <v>5</v>
      </c>
      <c r="AK120">
        <f t="shared" si="29"/>
        <v>5</v>
      </c>
      <c r="AL120" t="str">
        <f t="shared" si="30"/>
        <v>May</v>
      </c>
      <c r="AM120">
        <f t="shared" si="31"/>
        <v>2023</v>
      </c>
      <c r="AN120" t="str">
        <f t="shared" si="38"/>
        <v>30Shree Shyam Enterprises</v>
      </c>
      <c r="AO120">
        <f>IF(COUNTIF($AN$2:AN120, AN120)=1, 1, 0)</f>
        <v>0</v>
      </c>
      <c r="AP120" t="str">
        <f t="shared" si="32"/>
        <v>&gt;3</v>
      </c>
      <c r="AQ120" t="str">
        <f t="shared" si="33"/>
        <v>&gt;3</v>
      </c>
      <c r="AR120" t="str">
        <f t="shared" si="34"/>
        <v>&lt;=3</v>
      </c>
    </row>
    <row r="121" spans="1:44" x14ac:dyDescent="0.3">
      <c r="A121" t="s">
        <v>33</v>
      </c>
      <c r="B121" t="s">
        <v>157</v>
      </c>
      <c r="C121" t="s">
        <v>172</v>
      </c>
      <c r="D121">
        <v>1181</v>
      </c>
      <c r="E121">
        <v>23310004</v>
      </c>
      <c r="F121" t="s">
        <v>583</v>
      </c>
      <c r="G121" t="s">
        <v>159</v>
      </c>
      <c r="H121">
        <v>250</v>
      </c>
      <c r="I121">
        <v>270</v>
      </c>
      <c r="J121">
        <v>67500</v>
      </c>
      <c r="K121" t="str">
        <f>IFERROR(IF(B121&lt;&gt;"", TEXT(VLOOKUP(B121, 'Expected Date'!A:B, 2, FALSE) + DATE(RIGHT(C121,2),MID(C121,4,2),LEFT(C121,2)), "dd/mm/yy"), ""), "")</f>
        <v>16/04/23</v>
      </c>
      <c r="L121" t="s">
        <v>38</v>
      </c>
      <c r="M121" t="s">
        <v>48</v>
      </c>
      <c r="N121" t="s">
        <v>435</v>
      </c>
      <c r="O121" t="s">
        <v>97</v>
      </c>
      <c r="P121">
        <v>23390018</v>
      </c>
      <c r="Q121" t="s">
        <v>583</v>
      </c>
      <c r="R121" t="s">
        <v>159</v>
      </c>
      <c r="S121">
        <v>250</v>
      </c>
      <c r="T121">
        <v>270</v>
      </c>
      <c r="U121">
        <v>67500</v>
      </c>
      <c r="V121" t="str">
        <f t="shared" si="35"/>
        <v>Accepted</v>
      </c>
      <c r="W121">
        <f>IFERROR(VLOOKUP(N121, Payment_Terms!A:B, 2, FALSE), "Payment term not found!")</f>
        <v>0</v>
      </c>
      <c r="X121" t="str">
        <f>IFERROR(VLOOKUP(R121, Item_Category!A:B, 2, FALSE), "Uncategorized")</f>
        <v>Sodium salts</v>
      </c>
      <c r="Y121" s="5">
        <f t="shared" si="39"/>
        <v>0</v>
      </c>
      <c r="Z121">
        <f t="shared" si="23"/>
        <v>5</v>
      </c>
      <c r="AA121">
        <f t="shared" si="24"/>
        <v>-5</v>
      </c>
      <c r="AB121">
        <f t="shared" si="25"/>
        <v>5</v>
      </c>
      <c r="AC121" s="10">
        <f t="shared" si="26"/>
        <v>5</v>
      </c>
      <c r="AD121" s="5">
        <f t="shared" si="19"/>
        <v>1</v>
      </c>
      <c r="AE121" s="5">
        <f t="shared" si="20"/>
        <v>1</v>
      </c>
      <c r="AF121" s="5">
        <f t="shared" si="27"/>
        <v>0</v>
      </c>
      <c r="AG121">
        <f>IF(B121&lt;&gt;"", COUNTIFS($B$2:B121, B121), "")</f>
        <v>5</v>
      </c>
      <c r="AH121">
        <f t="shared" si="28"/>
        <v>5</v>
      </c>
      <c r="AI121" t="str">
        <f>VLOOKUP(B121, Currency!A:B, 2, FALSE)</f>
        <v>INR</v>
      </c>
      <c r="AJ121">
        <f t="shared" si="21"/>
        <v>5</v>
      </c>
      <c r="AK121">
        <f t="shared" si="29"/>
        <v>4</v>
      </c>
      <c r="AL121" t="str">
        <f t="shared" si="30"/>
        <v>April</v>
      </c>
      <c r="AM121">
        <f t="shared" si="31"/>
        <v>2023</v>
      </c>
      <c r="AN121" t="str">
        <f t="shared" si="38"/>
        <v>0ZED CHEM PVT LTD</v>
      </c>
      <c r="AO121">
        <f>IF(COUNTIF($AN$2:AN121, AN121)=1, 1, 0)</f>
        <v>0</v>
      </c>
      <c r="AP121" t="str">
        <f t="shared" si="32"/>
        <v>&gt;3</v>
      </c>
      <c r="AQ121" t="str">
        <f t="shared" si="33"/>
        <v>&gt;3</v>
      </c>
      <c r="AR121" t="str">
        <f t="shared" si="34"/>
        <v>&gt;3</v>
      </c>
    </row>
    <row r="122" spans="1:44" x14ac:dyDescent="0.3">
      <c r="A122" t="str">
        <f>A90</f>
        <v>Woodpulp</v>
      </c>
      <c r="B122" t="s">
        <v>140</v>
      </c>
      <c r="C122" t="s">
        <v>343</v>
      </c>
      <c r="D122">
        <v>1249</v>
      </c>
      <c r="E122">
        <v>23320005</v>
      </c>
      <c r="F122" t="s">
        <v>571</v>
      </c>
      <c r="G122" t="s">
        <v>360</v>
      </c>
      <c r="H122">
        <v>100</v>
      </c>
      <c r="I122">
        <v>830</v>
      </c>
      <c r="J122">
        <v>6731300</v>
      </c>
      <c r="K122" t="str">
        <f>IFERROR(IF(B122&lt;&gt;"", TEXT(VLOOKUP(B122, 'Expected Date'!A:B, 2, FALSE) + DATE(RIGHT(C122,2),MID(C122,4,2),LEFT(C122,2)), "dd/mm/yy"), ""), "")</f>
        <v>27/05/23</v>
      </c>
      <c r="L122" t="s">
        <v>68</v>
      </c>
      <c r="M122" t="str">
        <f>M84</f>
        <v>MT</v>
      </c>
      <c r="N122" t="s">
        <v>144</v>
      </c>
      <c r="O122" t="s">
        <v>396</v>
      </c>
      <c r="P122">
        <v>23390019</v>
      </c>
      <c r="Q122" t="s">
        <v>571</v>
      </c>
      <c r="R122" t="s">
        <v>143</v>
      </c>
      <c r="S122">
        <v>98.751999999999995</v>
      </c>
      <c r="T122">
        <v>830</v>
      </c>
      <c r="U122">
        <v>6647293.3799999999</v>
      </c>
      <c r="V122" t="str">
        <f t="shared" si="35"/>
        <v>Accepted</v>
      </c>
      <c r="W122">
        <f>IFERROR(VLOOKUP(N122, Payment_Terms!A:B, 2, FALSE), "Payment term not found!")</f>
        <v>30</v>
      </c>
      <c r="X122" t="str">
        <f>IFERROR(VLOOKUP(R122, Item_Category!A:B, 2, FALSE), "Uncategorized")</f>
        <v>Wood pulp</v>
      </c>
      <c r="Y122" s="5">
        <f t="shared" si="39"/>
        <v>1.2480000000000047E-2</v>
      </c>
      <c r="Z122">
        <f t="shared" si="23"/>
        <v>4</v>
      </c>
      <c r="AA122">
        <f t="shared" si="24"/>
        <v>-50</v>
      </c>
      <c r="AB122">
        <f t="shared" si="25"/>
        <v>5</v>
      </c>
      <c r="AC122" s="10">
        <f t="shared" si="26"/>
        <v>5</v>
      </c>
      <c r="AD122" s="5">
        <f t="shared" si="19"/>
        <v>1</v>
      </c>
      <c r="AE122" s="5">
        <f t="shared" si="20"/>
        <v>1</v>
      </c>
      <c r="AF122" s="5">
        <f t="shared" si="27"/>
        <v>0</v>
      </c>
      <c r="AG122">
        <f>IF(B122&lt;&gt;"", COUNTIFS($B$2:B122, B122), "")</f>
        <v>7</v>
      </c>
      <c r="AH122">
        <f t="shared" si="28"/>
        <v>5</v>
      </c>
      <c r="AI122" t="str">
        <f>VLOOKUP(B122, Currency!A:B, 2, FALSE)</f>
        <v>USD</v>
      </c>
      <c r="AJ122">
        <f t="shared" si="21"/>
        <v>5</v>
      </c>
      <c r="AK122">
        <f t="shared" si="29"/>
        <v>4</v>
      </c>
      <c r="AL122" t="str">
        <f t="shared" si="30"/>
        <v>April</v>
      </c>
      <c r="AM122">
        <f t="shared" si="31"/>
        <v>2023</v>
      </c>
      <c r="AN122" t="str">
        <f t="shared" si="38"/>
        <v>30Sappi Paper Holdings GMBH</v>
      </c>
      <c r="AO122">
        <f>IF(COUNTIF($AN$2:AN122, AN122)=1, 1, 0)</f>
        <v>0</v>
      </c>
      <c r="AP122" t="str">
        <f t="shared" si="32"/>
        <v>&gt;3</v>
      </c>
      <c r="AQ122" t="str">
        <f t="shared" si="33"/>
        <v>&gt;3</v>
      </c>
      <c r="AR122" t="str">
        <f t="shared" si="34"/>
        <v>&gt;3</v>
      </c>
    </row>
    <row r="123" spans="1:44" x14ac:dyDescent="0.3">
      <c r="A123" t="s">
        <v>33</v>
      </c>
      <c r="B123" t="s">
        <v>366</v>
      </c>
      <c r="C123" t="s">
        <v>265</v>
      </c>
      <c r="D123">
        <v>1264</v>
      </c>
      <c r="E123">
        <v>23310015</v>
      </c>
      <c r="F123" t="s">
        <v>569</v>
      </c>
      <c r="G123" t="s">
        <v>570</v>
      </c>
      <c r="H123">
        <v>70</v>
      </c>
      <c r="I123">
        <v>10857.14</v>
      </c>
      <c r="J123">
        <v>759999.8</v>
      </c>
      <c r="K123" t="str">
        <f>IFERROR(IF(B123&lt;&gt;"", TEXT(VLOOKUP(B123, 'Expected Date'!A:B, 2, FALSE) + DATE(RIGHT(C123,2),MID(C123,4,2),LEFT(C123,2)), "dd/mm/yy"), ""), "")</f>
        <v>12/04/23</v>
      </c>
      <c r="L123" t="s">
        <v>38</v>
      </c>
      <c r="M123" t="s">
        <v>48</v>
      </c>
      <c r="N123" t="s">
        <v>574</v>
      </c>
      <c r="O123" t="s">
        <v>97</v>
      </c>
      <c r="P123">
        <v>23390021</v>
      </c>
      <c r="Q123" t="s">
        <v>569</v>
      </c>
      <c r="R123" t="s">
        <v>570</v>
      </c>
      <c r="S123">
        <v>26.75</v>
      </c>
      <c r="T123">
        <v>10857.14</v>
      </c>
      <c r="U123">
        <v>290428.5</v>
      </c>
      <c r="V123" t="str">
        <f t="shared" si="35"/>
        <v>Accepted</v>
      </c>
      <c r="W123">
        <f>IFERROR(VLOOKUP(N123, Payment_Terms!A:B, 2, FALSE), "Payment term not found!")</f>
        <v>0</v>
      </c>
      <c r="X123" t="str">
        <f>IFERROR(VLOOKUP(R123, Item_Category!A:B, 2, FALSE), "Uncategorized")</f>
        <v>Coal materials</v>
      </c>
      <c r="Y123" s="5">
        <f t="shared" si="39"/>
        <v>0</v>
      </c>
      <c r="Z123">
        <f t="shared" si="23"/>
        <v>5</v>
      </c>
      <c r="AA123">
        <f t="shared" si="24"/>
        <v>-1</v>
      </c>
      <c r="AB123">
        <f t="shared" si="25"/>
        <v>5</v>
      </c>
      <c r="AC123" s="10">
        <f t="shared" si="26"/>
        <v>1</v>
      </c>
      <c r="AD123" s="5">
        <f t="shared" si="19"/>
        <v>1</v>
      </c>
      <c r="AE123" s="5">
        <f t="shared" si="20"/>
        <v>1</v>
      </c>
      <c r="AF123" s="5">
        <f t="shared" si="27"/>
        <v>0</v>
      </c>
      <c r="AG123">
        <f>IF(B123&lt;&gt;"", COUNTIFS($B$2:B123, B123), "")</f>
        <v>16</v>
      </c>
      <c r="AH123">
        <f t="shared" si="28"/>
        <v>5</v>
      </c>
      <c r="AI123" t="str">
        <f>VLOOKUP(B123, Currency!A:B, 2, FALSE)</f>
        <v>INR</v>
      </c>
      <c r="AJ123">
        <f t="shared" si="21"/>
        <v>5</v>
      </c>
      <c r="AK123">
        <f t="shared" si="29"/>
        <v>4</v>
      </c>
      <c r="AL123" t="str">
        <f t="shared" si="30"/>
        <v>April</v>
      </c>
      <c r="AM123">
        <f t="shared" si="31"/>
        <v>2023</v>
      </c>
      <c r="AN123" t="str">
        <f t="shared" si="38"/>
        <v>0SKYWIN ENTERPRISE</v>
      </c>
      <c r="AO123">
        <f>IF(COUNTIF($AN$2:AN123, AN123)=1, 1, 0)</f>
        <v>0</v>
      </c>
      <c r="AP123" t="str">
        <f t="shared" si="32"/>
        <v>&gt;3</v>
      </c>
      <c r="AQ123" t="str">
        <f t="shared" si="33"/>
        <v>&gt;3</v>
      </c>
      <c r="AR123" t="str">
        <f t="shared" si="34"/>
        <v>&gt;3</v>
      </c>
    </row>
    <row r="124" spans="1:44" x14ac:dyDescent="0.3">
      <c r="A124" t="s">
        <v>33</v>
      </c>
      <c r="B124" t="s">
        <v>366</v>
      </c>
      <c r="C124" t="s">
        <v>265</v>
      </c>
      <c r="D124">
        <v>1264</v>
      </c>
      <c r="E124">
        <v>23310015</v>
      </c>
      <c r="F124" t="s">
        <v>569</v>
      </c>
      <c r="G124" t="s">
        <v>570</v>
      </c>
      <c r="H124">
        <v>70</v>
      </c>
      <c r="I124">
        <v>10857.14</v>
      </c>
      <c r="J124">
        <v>759999.8</v>
      </c>
      <c r="K124" t="str">
        <f>IFERROR(IF(B124&lt;&gt;"", TEXT(VLOOKUP(B124, 'Expected Date'!A:B, 2, FALSE) + DATE(RIGHT(C124,2),MID(C124,4,2),LEFT(C124,2)), "dd/mm/yy"), ""), "")</f>
        <v>12/04/23</v>
      </c>
      <c r="L124" t="s">
        <v>38</v>
      </c>
      <c r="M124" t="s">
        <v>48</v>
      </c>
      <c r="N124" t="s">
        <v>574</v>
      </c>
      <c r="O124" t="s">
        <v>378</v>
      </c>
      <c r="P124">
        <v>23390025</v>
      </c>
      <c r="Q124" t="s">
        <v>569</v>
      </c>
      <c r="R124" t="s">
        <v>570</v>
      </c>
      <c r="S124">
        <v>26.51</v>
      </c>
      <c r="T124">
        <v>10857.14</v>
      </c>
      <c r="U124">
        <v>287822.78000000003</v>
      </c>
      <c r="V124" t="str">
        <f t="shared" si="35"/>
        <v>Accepted</v>
      </c>
      <c r="W124">
        <f>IFERROR(VLOOKUP(N124, Payment_Terms!A:B, 2, FALSE), "Payment term not found!")</f>
        <v>0</v>
      </c>
      <c r="X124" t="str">
        <f>IFERROR(VLOOKUP(R124, Item_Category!A:B, 2, FALSE), "Uncategorized")</f>
        <v>Coal materials</v>
      </c>
      <c r="Y124" s="5">
        <f t="shared" si="39"/>
        <v>0</v>
      </c>
      <c r="Z124">
        <f t="shared" si="23"/>
        <v>5</v>
      </c>
      <c r="AA124">
        <f t="shared" si="24"/>
        <v>3</v>
      </c>
      <c r="AB124">
        <f t="shared" si="25"/>
        <v>4</v>
      </c>
      <c r="AC124" s="10">
        <f t="shared" si="26"/>
        <v>5</v>
      </c>
      <c r="AD124" s="5">
        <f t="shared" si="19"/>
        <v>1</v>
      </c>
      <c r="AE124" s="5">
        <f t="shared" si="20"/>
        <v>1</v>
      </c>
      <c r="AF124" s="5">
        <f t="shared" si="27"/>
        <v>0</v>
      </c>
      <c r="AG124">
        <f>IF(B124&lt;&gt;"", COUNTIFS($B$2:B124, B124), "")</f>
        <v>17</v>
      </c>
      <c r="AH124">
        <f t="shared" si="28"/>
        <v>5</v>
      </c>
      <c r="AI124" t="str">
        <f>VLOOKUP(B124, Currency!A:B, 2, FALSE)</f>
        <v>INR</v>
      </c>
      <c r="AJ124">
        <f t="shared" si="21"/>
        <v>5</v>
      </c>
      <c r="AK124">
        <f t="shared" si="29"/>
        <v>4</v>
      </c>
      <c r="AL124" t="str">
        <f t="shared" si="30"/>
        <v>April</v>
      </c>
      <c r="AM124">
        <f t="shared" si="31"/>
        <v>2023</v>
      </c>
      <c r="AN124" t="str">
        <f t="shared" si="38"/>
        <v>0SKYWIN ENTERPRISE</v>
      </c>
      <c r="AO124">
        <f>IF(COUNTIF($AN$2:AN124, AN124)=1, 1, 0)</f>
        <v>0</v>
      </c>
      <c r="AP124" t="str">
        <f t="shared" si="32"/>
        <v>&gt;3</v>
      </c>
      <c r="AQ124" t="str">
        <f t="shared" si="33"/>
        <v>&gt;3</v>
      </c>
      <c r="AR124" t="str">
        <f t="shared" si="34"/>
        <v>&gt;3</v>
      </c>
    </row>
    <row r="125" spans="1:44" x14ac:dyDescent="0.3">
      <c r="A125" t="str">
        <f>A49</f>
        <v>Woodpulp</v>
      </c>
      <c r="B125" t="s">
        <v>96</v>
      </c>
      <c r="C125" t="s">
        <v>168</v>
      </c>
      <c r="D125">
        <v>1301</v>
      </c>
      <c r="E125">
        <v>23320006</v>
      </c>
      <c r="F125" t="s">
        <v>585</v>
      </c>
      <c r="G125" t="s">
        <v>99</v>
      </c>
      <c r="H125">
        <v>50</v>
      </c>
      <c r="I125">
        <v>860</v>
      </c>
      <c r="J125">
        <v>3487300</v>
      </c>
      <c r="K125" t="str">
        <f>IFERROR(IF(B125&lt;&gt;"", TEXT(VLOOKUP(B125, 'Expected Date'!A:B, 2, FALSE) + DATE(RIGHT(C125,2),MID(C125,4,2),LEFT(C125,2)), "dd/mm/yy"), ""), "")</f>
        <v>16/06/23</v>
      </c>
      <c r="L125" t="s">
        <v>38</v>
      </c>
      <c r="M125" t="str">
        <f>M84</f>
        <v>MT</v>
      </c>
      <c r="N125" t="s">
        <v>596</v>
      </c>
      <c r="O125" t="s">
        <v>80</v>
      </c>
      <c r="P125">
        <v>23390027</v>
      </c>
      <c r="Q125" t="s">
        <v>585</v>
      </c>
      <c r="R125" t="s">
        <v>586</v>
      </c>
      <c r="S125">
        <v>52.838000000000001</v>
      </c>
      <c r="T125">
        <v>860</v>
      </c>
      <c r="U125">
        <v>3685239.15</v>
      </c>
      <c r="V125" t="str">
        <f t="shared" si="35"/>
        <v>Accepted</v>
      </c>
      <c r="W125">
        <f>IFERROR(VLOOKUP(N125, Payment_Terms!A:B, 2, FALSE), "Payment term not found!")</f>
        <v>60</v>
      </c>
      <c r="X125" t="str">
        <f>IFERROR(VLOOKUP(R125, Item_Category!A:B, 2, FALSE), "Uncategorized")</f>
        <v>Wood pulp</v>
      </c>
      <c r="Y125" s="5">
        <f t="shared" si="39"/>
        <v>0</v>
      </c>
      <c r="Z125">
        <f t="shared" si="23"/>
        <v>5</v>
      </c>
      <c r="AA125">
        <f t="shared" si="24"/>
        <v>-63</v>
      </c>
      <c r="AB125">
        <f t="shared" si="25"/>
        <v>5</v>
      </c>
      <c r="AC125" s="10">
        <f t="shared" si="26"/>
        <v>3</v>
      </c>
      <c r="AD125" s="5">
        <f t="shared" si="19"/>
        <v>1</v>
      </c>
      <c r="AE125" s="5">
        <f t="shared" si="20"/>
        <v>1</v>
      </c>
      <c r="AF125" s="5">
        <f t="shared" si="27"/>
        <v>0</v>
      </c>
      <c r="AG125">
        <f>IF(B125&lt;&gt;"", COUNTIFS($B$2:B125, B125), "")</f>
        <v>3</v>
      </c>
      <c r="AH125">
        <f t="shared" si="28"/>
        <v>5</v>
      </c>
      <c r="AI125" t="str">
        <f>VLOOKUP(B125, Currency!A:B, 2, FALSE)</f>
        <v>USD</v>
      </c>
      <c r="AJ125">
        <f t="shared" si="21"/>
        <v>5</v>
      </c>
      <c r="AK125">
        <f t="shared" si="29"/>
        <v>4</v>
      </c>
      <c r="AL125" t="str">
        <f t="shared" si="30"/>
        <v>April</v>
      </c>
      <c r="AM125">
        <f t="shared" si="31"/>
        <v>2023</v>
      </c>
      <c r="AN125" t="str">
        <f t="shared" si="38"/>
        <v>60G P Cellulose GMBH</v>
      </c>
      <c r="AO125">
        <f>IF(COUNTIF($AN$2:AN125, AN125)=1, 1, 0)</f>
        <v>0</v>
      </c>
      <c r="AP125" t="str">
        <f t="shared" si="32"/>
        <v>&gt;3</v>
      </c>
      <c r="AQ125" t="str">
        <f t="shared" si="33"/>
        <v>&gt;3</v>
      </c>
      <c r="AR125" t="str">
        <f t="shared" si="34"/>
        <v>&gt;3</v>
      </c>
    </row>
    <row r="126" spans="1:44" x14ac:dyDescent="0.3">
      <c r="A126" t="s">
        <v>33</v>
      </c>
      <c r="B126" t="s">
        <v>513</v>
      </c>
      <c r="C126" t="s">
        <v>414</v>
      </c>
      <c r="D126">
        <v>2295</v>
      </c>
      <c r="E126">
        <v>23310157</v>
      </c>
      <c r="F126" t="s">
        <v>563</v>
      </c>
      <c r="G126" t="s">
        <v>515</v>
      </c>
      <c r="H126">
        <v>2500</v>
      </c>
      <c r="I126">
        <v>26</v>
      </c>
      <c r="J126">
        <v>65000</v>
      </c>
      <c r="K126" t="str">
        <f>IFERROR(IF(B126&lt;&gt;"", TEXT(VLOOKUP(B126, 'Expected Date'!A:B, 2, FALSE) + DATE(RIGHT(C126,2),MID(C126,4,2),LEFT(C126,2)), "dd/mm/yy"), ""), "")</f>
        <v>03/06/23</v>
      </c>
      <c r="L126" t="s">
        <v>38</v>
      </c>
      <c r="M126" t="s">
        <v>48</v>
      </c>
      <c r="N126" t="s">
        <v>342</v>
      </c>
      <c r="O126" t="s">
        <v>139</v>
      </c>
      <c r="P126">
        <v>23390281</v>
      </c>
      <c r="Q126" t="s">
        <v>563</v>
      </c>
      <c r="R126" t="s">
        <v>564</v>
      </c>
      <c r="S126">
        <v>1000</v>
      </c>
      <c r="T126">
        <v>26</v>
      </c>
      <c r="U126">
        <v>26000</v>
      </c>
      <c r="V126" t="str">
        <f t="shared" si="35"/>
        <v>Accepted</v>
      </c>
      <c r="W126">
        <f>IFERROR(VLOOKUP(N126, Payment_Terms!A:B, 2, FALSE), "Payment term not found!")</f>
        <v>30</v>
      </c>
      <c r="X126" t="str">
        <f>IFERROR(VLOOKUP(R126, Item_Category!A:B, 2, FALSE), "Uncategorized")</f>
        <v xml:space="preserve">Caustic Soda </v>
      </c>
      <c r="Y126" s="5">
        <f t="shared" si="39"/>
        <v>0</v>
      </c>
      <c r="Z126">
        <f t="shared" si="23"/>
        <v>5</v>
      </c>
      <c r="AA126">
        <f t="shared" si="24"/>
        <v>25</v>
      </c>
      <c r="AB126">
        <f t="shared" si="25"/>
        <v>1</v>
      </c>
      <c r="AC126" s="10">
        <f t="shared" si="26"/>
        <v>27</v>
      </c>
      <c r="AD126" s="5">
        <f t="shared" si="19"/>
        <v>1</v>
      </c>
      <c r="AE126" s="5">
        <f t="shared" si="20"/>
        <v>1</v>
      </c>
      <c r="AF126" s="5">
        <f t="shared" si="27"/>
        <v>0</v>
      </c>
      <c r="AG126">
        <f>IF(B126&lt;&gt;"", COUNTIFS($B$2:B126, B126), "")</f>
        <v>12</v>
      </c>
      <c r="AH126">
        <f t="shared" si="28"/>
        <v>5</v>
      </c>
      <c r="AI126" t="str">
        <f>VLOOKUP(B126, Currency!A:B, 2, FALSE)</f>
        <v>INR</v>
      </c>
      <c r="AJ126">
        <f t="shared" si="21"/>
        <v>4</v>
      </c>
      <c r="AK126">
        <f t="shared" si="29"/>
        <v>6</v>
      </c>
      <c r="AL126" t="str">
        <f t="shared" si="30"/>
        <v>June</v>
      </c>
      <c r="AM126">
        <f t="shared" si="31"/>
        <v>2023</v>
      </c>
      <c r="AN126" t="str">
        <f t="shared" si="38"/>
        <v>30J.K.Marketing</v>
      </c>
      <c r="AO126">
        <f>IF(COUNTIF($AN$2:AN126, AN126)=1, 1, 0)</f>
        <v>0</v>
      </c>
      <c r="AP126" t="str">
        <f t="shared" si="32"/>
        <v>&gt;3</v>
      </c>
      <c r="AQ126" t="str">
        <f t="shared" si="33"/>
        <v>&gt;3</v>
      </c>
      <c r="AR126" t="str">
        <f t="shared" si="34"/>
        <v>&lt;=3</v>
      </c>
    </row>
    <row r="127" spans="1:44" x14ac:dyDescent="0.3">
      <c r="A127" t="s">
        <v>111</v>
      </c>
      <c r="B127" t="s">
        <v>112</v>
      </c>
      <c r="C127" t="s">
        <v>87</v>
      </c>
      <c r="D127">
        <v>3060</v>
      </c>
      <c r="E127">
        <v>23320030</v>
      </c>
      <c r="F127" t="s">
        <v>113</v>
      </c>
      <c r="G127" t="s">
        <v>114</v>
      </c>
      <c r="H127">
        <v>2000</v>
      </c>
      <c r="I127">
        <v>25</v>
      </c>
      <c r="J127">
        <v>50000</v>
      </c>
      <c r="K127" t="str">
        <f>IFERROR(IF(B127&lt;&gt;"", TEXT(VLOOKUP(B127, 'Expected Date'!A:B, 2, FALSE) + DATE(RIGHT(C127,2),MID(C127,4,2),LEFT(C127,2)), "dd/mm/yy"), ""), "")</f>
        <v>27/07/23</v>
      </c>
      <c r="L127" t="s">
        <v>38</v>
      </c>
      <c r="M127" t="s">
        <v>48</v>
      </c>
      <c r="N127" t="s">
        <v>115</v>
      </c>
      <c r="O127" t="s">
        <v>120</v>
      </c>
      <c r="P127">
        <v>23390347</v>
      </c>
      <c r="Q127" t="s">
        <v>113</v>
      </c>
      <c r="R127" t="s">
        <v>114</v>
      </c>
      <c r="S127">
        <v>2000</v>
      </c>
      <c r="T127">
        <v>25</v>
      </c>
      <c r="U127">
        <v>50000</v>
      </c>
      <c r="V127" t="str">
        <f t="shared" si="35"/>
        <v>Accepted</v>
      </c>
      <c r="W127">
        <f>IFERROR(VLOOKUP(N127, Payment_Terms!A:B, 2, FALSE), "Payment term not found!")</f>
        <v>30</v>
      </c>
      <c r="X127" t="str">
        <f>IFERROR(VLOOKUP(R127, Item_Category!A:B, 2, FALSE), "Uncategorized")</f>
        <v>Talc</v>
      </c>
      <c r="Y127" s="5">
        <f t="shared" si="39"/>
        <v>0</v>
      </c>
      <c r="Z127">
        <f t="shared" si="23"/>
        <v>5</v>
      </c>
      <c r="AA127">
        <f t="shared" si="24"/>
        <v>-7</v>
      </c>
      <c r="AB127">
        <f t="shared" si="25"/>
        <v>5</v>
      </c>
      <c r="AC127" s="10">
        <f t="shared" si="26"/>
        <v>8</v>
      </c>
      <c r="AD127" s="5">
        <f t="shared" si="19"/>
        <v>1</v>
      </c>
      <c r="AE127" s="5">
        <f t="shared" si="20"/>
        <v>1</v>
      </c>
      <c r="AF127" s="5">
        <f t="shared" si="27"/>
        <v>0</v>
      </c>
      <c r="AG127">
        <f>IF(B127&lt;&gt;"", COUNTIFS($B$2:B127, B127), "")</f>
        <v>1</v>
      </c>
      <c r="AH127">
        <f t="shared" si="28"/>
        <v>5</v>
      </c>
      <c r="AI127" t="str">
        <f>VLOOKUP(B127, Currency!A:B, 2, FALSE)</f>
        <v>INR</v>
      </c>
      <c r="AJ127">
        <f t="shared" si="21"/>
        <v>5</v>
      </c>
      <c r="AK127">
        <f t="shared" si="29"/>
        <v>7</v>
      </c>
      <c r="AL127" t="str">
        <f t="shared" si="30"/>
        <v>July</v>
      </c>
      <c r="AM127">
        <f t="shared" si="31"/>
        <v>2023</v>
      </c>
      <c r="AN127" t="str">
        <f t="shared" si="38"/>
        <v>30NEELKANTH FINECHEM LLP</v>
      </c>
      <c r="AO127">
        <f>IF(COUNTIF($AN$2:AN127, AN127)=1, 1, 0)</f>
        <v>1</v>
      </c>
      <c r="AP127" t="str">
        <f t="shared" si="32"/>
        <v>&gt;3</v>
      </c>
      <c r="AQ127" t="str">
        <f t="shared" si="33"/>
        <v>&gt;3</v>
      </c>
      <c r="AR127" t="str">
        <f t="shared" si="34"/>
        <v>&gt;3</v>
      </c>
    </row>
    <row r="128" spans="1:44" x14ac:dyDescent="0.3">
      <c r="A128" t="str">
        <f>A49</f>
        <v>Woodpulp</v>
      </c>
      <c r="B128" t="s">
        <v>96</v>
      </c>
      <c r="C128" t="s">
        <v>97</v>
      </c>
      <c r="D128">
        <v>1228</v>
      </c>
      <c r="E128">
        <v>23320003</v>
      </c>
      <c r="F128" t="s">
        <v>585</v>
      </c>
      <c r="G128" t="s">
        <v>99</v>
      </c>
      <c r="H128">
        <v>52</v>
      </c>
      <c r="I128">
        <v>820</v>
      </c>
      <c r="J128">
        <v>3458104</v>
      </c>
      <c r="K128" t="str">
        <f>IFERROR(IF(B128&lt;&gt;"", TEXT(VLOOKUP(B128, 'Expected Date'!A:B, 2, FALSE) + DATE(RIGHT(C128,2),MID(C128,4,2),LEFT(C128,2)), "dd/mm/yy"), ""), "")</f>
        <v>10/06/23</v>
      </c>
      <c r="L128" t="s">
        <v>38</v>
      </c>
      <c r="M128" t="str">
        <f>M84</f>
        <v>MT</v>
      </c>
      <c r="N128" t="s">
        <v>102</v>
      </c>
      <c r="O128" t="s">
        <v>191</v>
      </c>
      <c r="P128">
        <v>23390487</v>
      </c>
      <c r="Q128" t="s">
        <v>585</v>
      </c>
      <c r="R128" t="s">
        <v>586</v>
      </c>
      <c r="S128">
        <v>52.841999999999999</v>
      </c>
      <c r="T128">
        <v>820</v>
      </c>
      <c r="U128">
        <v>3561762.17</v>
      </c>
      <c r="V128" t="str">
        <f t="shared" si="35"/>
        <v>Accepted</v>
      </c>
      <c r="W128">
        <f>IFERROR(VLOOKUP(N128, Payment_Terms!A:B, 2, FALSE), "Payment term not found!")</f>
        <v>60</v>
      </c>
      <c r="X128" t="str">
        <f>IFERROR(VLOOKUP(R128, Item_Category!A:B, 2, FALSE), "Uncategorized")</f>
        <v>Wood pulp</v>
      </c>
      <c r="Y128" s="5">
        <f t="shared" si="39"/>
        <v>0</v>
      </c>
      <c r="Z128">
        <f t="shared" si="23"/>
        <v>5</v>
      </c>
      <c r="AA128">
        <f t="shared" si="24"/>
        <v>79</v>
      </c>
      <c r="AB128">
        <f t="shared" si="25"/>
        <v>1</v>
      </c>
      <c r="AC128" s="10">
        <f t="shared" si="26"/>
        <v>139</v>
      </c>
      <c r="AD128" s="5">
        <f t="shared" si="19"/>
        <v>1</v>
      </c>
      <c r="AE128" s="5">
        <f t="shared" si="20"/>
        <v>1</v>
      </c>
      <c r="AF128" s="5">
        <f t="shared" si="27"/>
        <v>0</v>
      </c>
      <c r="AG128">
        <f>IF(B128&lt;&gt;"", COUNTIFS($B$2:B128, B128), "")</f>
        <v>4</v>
      </c>
      <c r="AH128">
        <f t="shared" si="28"/>
        <v>5</v>
      </c>
      <c r="AI128" t="str">
        <f>VLOOKUP(B128, Currency!A:B, 2, FALSE)</f>
        <v>USD</v>
      </c>
      <c r="AJ128">
        <f t="shared" si="21"/>
        <v>4</v>
      </c>
      <c r="AK128">
        <f t="shared" si="29"/>
        <v>4</v>
      </c>
      <c r="AL128" t="str">
        <f t="shared" si="30"/>
        <v>April</v>
      </c>
      <c r="AM128">
        <f t="shared" si="31"/>
        <v>2023</v>
      </c>
      <c r="AN128" t="str">
        <f t="shared" si="38"/>
        <v>60G P Cellulose GMBH</v>
      </c>
      <c r="AO128">
        <f>IF(COUNTIF($AN$2:AN128, AN128)=1, 1, 0)</f>
        <v>0</v>
      </c>
      <c r="AP128" t="str">
        <f t="shared" si="32"/>
        <v>&gt;3</v>
      </c>
      <c r="AQ128" t="str">
        <f t="shared" si="33"/>
        <v>&gt;3</v>
      </c>
      <c r="AR128" t="str">
        <f t="shared" si="34"/>
        <v>&lt;=3</v>
      </c>
    </row>
    <row r="129" spans="1:44" x14ac:dyDescent="0.3">
      <c r="A129" t="str">
        <f>A49</f>
        <v>Woodpulp</v>
      </c>
      <c r="B129" t="s">
        <v>96</v>
      </c>
      <c r="C129" t="s">
        <v>97</v>
      </c>
      <c r="D129">
        <v>1229</v>
      </c>
      <c r="E129">
        <v>23320004</v>
      </c>
      <c r="F129" t="s">
        <v>585</v>
      </c>
      <c r="G129" t="s">
        <v>99</v>
      </c>
      <c r="H129">
        <v>78</v>
      </c>
      <c r="I129">
        <v>820</v>
      </c>
      <c r="J129">
        <v>5187156</v>
      </c>
      <c r="K129" t="str">
        <f>IFERROR(IF(B129&lt;&gt;"", TEXT(VLOOKUP(B129, 'Expected Date'!A:B, 2, FALSE) + DATE(RIGHT(C129,2),MID(C129,4,2),LEFT(C129,2)), "dd/mm/yy"), ""), "")</f>
        <v>10/06/23</v>
      </c>
      <c r="L129" t="s">
        <v>38</v>
      </c>
      <c r="M129" t="str">
        <f>M84</f>
        <v>MT</v>
      </c>
      <c r="N129" t="s">
        <v>102</v>
      </c>
      <c r="O129" t="s">
        <v>330</v>
      </c>
      <c r="P129">
        <v>23390603</v>
      </c>
      <c r="Q129" t="s">
        <v>585</v>
      </c>
      <c r="R129" t="s">
        <v>586</v>
      </c>
      <c r="S129">
        <v>52.695999999999998</v>
      </c>
      <c r="T129">
        <v>820</v>
      </c>
      <c r="U129">
        <v>3556242.26</v>
      </c>
      <c r="V129" t="str">
        <f t="shared" si="35"/>
        <v>Accepted</v>
      </c>
      <c r="W129">
        <f>IFERROR(VLOOKUP(N129, Payment_Terms!A:B, 2, FALSE), "Payment term not found!")</f>
        <v>60</v>
      </c>
      <c r="X129" t="str">
        <f>IFERROR(VLOOKUP(R129, Item_Category!A:B, 2, FALSE), "Uncategorized")</f>
        <v>Wood pulp</v>
      </c>
      <c r="Y129" s="5">
        <f t="shared" si="39"/>
        <v>0</v>
      </c>
      <c r="Z129">
        <f t="shared" si="23"/>
        <v>5</v>
      </c>
      <c r="AA129">
        <f t="shared" si="24"/>
        <v>105</v>
      </c>
      <c r="AB129">
        <f t="shared" si="25"/>
        <v>1</v>
      </c>
      <c r="AC129" s="10">
        <f t="shared" si="26"/>
        <v>165</v>
      </c>
      <c r="AD129" s="5">
        <f t="shared" si="19"/>
        <v>1</v>
      </c>
      <c r="AE129" s="5">
        <f t="shared" si="20"/>
        <v>1</v>
      </c>
      <c r="AF129" s="5">
        <f t="shared" si="27"/>
        <v>0</v>
      </c>
      <c r="AG129">
        <f>IF(B129&lt;&gt;"", COUNTIFS($B$2:B129, B129), "")</f>
        <v>5</v>
      </c>
      <c r="AH129">
        <f t="shared" si="28"/>
        <v>5</v>
      </c>
      <c r="AI129" t="str">
        <f>VLOOKUP(B129, Currency!A:B, 2, FALSE)</f>
        <v>USD</v>
      </c>
      <c r="AJ129">
        <f t="shared" si="21"/>
        <v>4</v>
      </c>
      <c r="AK129">
        <f t="shared" si="29"/>
        <v>4</v>
      </c>
      <c r="AL129" t="str">
        <f t="shared" si="30"/>
        <v>April</v>
      </c>
      <c r="AM129">
        <f t="shared" si="31"/>
        <v>2023</v>
      </c>
      <c r="AN129" t="str">
        <f t="shared" si="38"/>
        <v>60G P Cellulose GMBH</v>
      </c>
      <c r="AO129">
        <f>IF(COUNTIF($AN$2:AN129, AN129)=1, 1, 0)</f>
        <v>0</v>
      </c>
      <c r="AP129" t="str">
        <f t="shared" si="32"/>
        <v>&gt;3</v>
      </c>
      <c r="AQ129" t="str">
        <f t="shared" si="33"/>
        <v>&gt;3</v>
      </c>
      <c r="AR129" t="str">
        <f t="shared" si="34"/>
        <v>&lt;=3</v>
      </c>
    </row>
    <row r="130" spans="1:44" x14ac:dyDescent="0.3">
      <c r="A130" t="s">
        <v>33</v>
      </c>
      <c r="B130" t="s">
        <v>371</v>
      </c>
      <c r="C130" t="s">
        <v>229</v>
      </c>
      <c r="D130">
        <v>4747</v>
      </c>
      <c r="E130">
        <v>23310395</v>
      </c>
      <c r="F130" t="s">
        <v>552</v>
      </c>
      <c r="G130" t="s">
        <v>373</v>
      </c>
      <c r="H130">
        <v>20</v>
      </c>
      <c r="I130">
        <v>1700</v>
      </c>
      <c r="J130">
        <v>34000</v>
      </c>
      <c r="K130" t="str">
        <f>IFERROR(IF(B130&lt;&gt;"", TEXT(VLOOKUP(B130, 'Expected Date'!A:B, 2, FALSE) + DATE(RIGHT(C130,2),MID(C130,4,2),LEFT(C130,2)), "dd/mm/yy"), ""), "")</f>
        <v>05/10/23</v>
      </c>
      <c r="L130" t="s">
        <v>68</v>
      </c>
      <c r="M130" t="s">
        <v>48</v>
      </c>
      <c r="N130" t="s">
        <v>342</v>
      </c>
      <c r="O130" t="s">
        <v>254</v>
      </c>
      <c r="P130">
        <v>23390690</v>
      </c>
      <c r="Q130" t="s">
        <v>552</v>
      </c>
      <c r="R130" t="s">
        <v>553</v>
      </c>
      <c r="S130">
        <v>9.9499999999999993</v>
      </c>
      <c r="T130">
        <v>1700</v>
      </c>
      <c r="U130">
        <v>16915</v>
      </c>
      <c r="V130" t="str">
        <f t="shared" si="35"/>
        <v>Accepted</v>
      </c>
      <c r="W130">
        <f>IFERROR(VLOOKUP(N130, Payment_Terms!A:B, 2, FALSE), "Payment term not found!")</f>
        <v>30</v>
      </c>
      <c r="X130" t="str">
        <f>IFERROR(VLOOKUP(R130, Item_Category!A:B, 2, FALSE), "Uncategorized")</f>
        <v>HCL</v>
      </c>
      <c r="Y130" s="5">
        <f t="shared" si="39"/>
        <v>5.0000000000000712E-3</v>
      </c>
      <c r="Z130">
        <f t="shared" si="23"/>
        <v>4</v>
      </c>
      <c r="AA130">
        <f t="shared" si="24"/>
        <v>9</v>
      </c>
      <c r="AB130">
        <f t="shared" si="25"/>
        <v>2</v>
      </c>
      <c r="AC130" s="10">
        <f t="shared" si="26"/>
        <v>14</v>
      </c>
      <c r="AD130" s="5">
        <f t="shared" ref="AD130:AD193" si="40">IF(V130="Accepted",1,0)</f>
        <v>1</v>
      </c>
      <c r="AE130" s="5">
        <f t="shared" ref="AE130:AE193" si="41">ROUNDUP((SUMIFS(S:S, B:B, B130, V:V, "Accepted")/SUMIF(B:B,B130,S:S)),2)</f>
        <v>1</v>
      </c>
      <c r="AF130" s="5">
        <f t="shared" si="27"/>
        <v>0</v>
      </c>
      <c r="AG130">
        <f>IF(B130&lt;&gt;"", COUNTIFS($B$2:B130, B130), "")</f>
        <v>4</v>
      </c>
      <c r="AH130">
        <f t="shared" si="28"/>
        <v>5</v>
      </c>
      <c r="AI130" t="str">
        <f>VLOOKUP(B130, Currency!A:B, 2, FALSE)</f>
        <v>INR</v>
      </c>
      <c r="AJ130">
        <f t="shared" ref="AJ130:AJ193" si="42">_xlfn.CEILING.MATH(((0.4*AH130)+(0.3*Z130)+(0.3*AB130)),1)</f>
        <v>4</v>
      </c>
      <c r="AK130">
        <f t="shared" si="29"/>
        <v>9</v>
      </c>
      <c r="AL130" t="str">
        <f t="shared" si="30"/>
        <v>September</v>
      </c>
      <c r="AM130">
        <f t="shared" si="31"/>
        <v>2023</v>
      </c>
      <c r="AN130" t="str">
        <f t="shared" ref="AN130:AN161" si="43">W130&amp;B130</f>
        <v>30SHREE ACID AND CHEMICALS</v>
      </c>
      <c r="AO130">
        <f>IF(COUNTIF($AN$2:AN130, AN130)=1, 1, 0)</f>
        <v>0</v>
      </c>
      <c r="AP130" t="str">
        <f t="shared" si="32"/>
        <v>&gt;3</v>
      </c>
      <c r="AQ130" t="str">
        <f t="shared" si="33"/>
        <v>&gt;3</v>
      </c>
      <c r="AR130" t="str">
        <f t="shared" si="34"/>
        <v>&lt;=3</v>
      </c>
    </row>
    <row r="131" spans="1:44" x14ac:dyDescent="0.3">
      <c r="A131" t="s">
        <v>33</v>
      </c>
      <c r="B131" t="s">
        <v>371</v>
      </c>
      <c r="C131" t="s">
        <v>414</v>
      </c>
      <c r="D131">
        <v>2293</v>
      </c>
      <c r="E131">
        <v>23310155</v>
      </c>
      <c r="F131" t="s">
        <v>552</v>
      </c>
      <c r="G131" t="s">
        <v>373</v>
      </c>
      <c r="H131">
        <v>50</v>
      </c>
      <c r="I131">
        <v>150</v>
      </c>
      <c r="J131">
        <v>7500</v>
      </c>
      <c r="K131" t="str">
        <f>IFERROR(IF(B131&lt;&gt;"", TEXT(VLOOKUP(B131, 'Expected Date'!A:B, 2, FALSE) + DATE(RIGHT(C131,2),MID(C131,4,2),LEFT(C131,2)), "dd/mm/yy"), ""), "")</f>
        <v>06/06/23</v>
      </c>
      <c r="L131" t="s">
        <v>68</v>
      </c>
      <c r="M131" t="s">
        <v>48</v>
      </c>
      <c r="N131" t="s">
        <v>342</v>
      </c>
      <c r="O131" t="s">
        <v>231</v>
      </c>
      <c r="P131">
        <v>23390232</v>
      </c>
      <c r="Q131" t="s">
        <v>552</v>
      </c>
      <c r="R131" t="s">
        <v>553</v>
      </c>
      <c r="S131">
        <v>9.6999999999999993</v>
      </c>
      <c r="T131">
        <v>150</v>
      </c>
      <c r="U131">
        <v>1455</v>
      </c>
      <c r="V131" t="str">
        <f t="shared" si="35"/>
        <v>Accepted</v>
      </c>
      <c r="W131">
        <f>IFERROR(VLOOKUP(N131, Payment_Terms!A:B, 2, FALSE), "Payment term not found!")</f>
        <v>30</v>
      </c>
      <c r="X131" t="str">
        <f>IFERROR(VLOOKUP(R131, Item_Category!A:B, 2, FALSE), "Uncategorized")</f>
        <v>HCL</v>
      </c>
      <c r="Y131" s="5">
        <f t="shared" si="39"/>
        <v>0.41700000000000004</v>
      </c>
      <c r="Z131">
        <f t="shared" ref="Z131:Z194" si="44">IF(Y131&lt;=0%,5,(IF(AND(Y131&gt;0%,Y131&lt;=2%),4,IF(AND(Y131&gt;2%,Y131&lt;=5%),3,IF(AND(Y131&gt;5%,Y131&lt;10%),2,1)))))</f>
        <v>1</v>
      </c>
      <c r="AA131">
        <f t="shared" ref="AA131:AA194" si="45">DATE(RIGHT(O131,2),MID(O131,4,2),LEFT(O131,2)) - DATE(RIGHT(K131,2),MID(K131,4,2),LEFT(K131,2))</f>
        <v>3</v>
      </c>
      <c r="AB131">
        <f t="shared" ref="AB131:AB194" si="46">IF(AA131 &lt;= 2, 5, IF(AA131 &lt;= 4, 4, IF(AA131 &lt;= 7, 3, IF(AA131&lt;=10,2,1))))</f>
        <v>4</v>
      </c>
      <c r="AC131" s="10">
        <f t="shared" ref="AC131:AC194" si="47">ABS(DATE(RIGHT(O131,2),MID(O131,4,2),LEFT(O131,2)) - DATE(RIGHT(C131,2),MID(C131,4,2),LEFT(C131,2)))</f>
        <v>8</v>
      </c>
      <c r="AD131" s="5">
        <f t="shared" si="40"/>
        <v>1</v>
      </c>
      <c r="AE131" s="5">
        <f t="shared" si="41"/>
        <v>1</v>
      </c>
      <c r="AF131" s="5">
        <f t="shared" ref="AF131:AF194" si="48">ROUNDUP(ABS(100%-AE131),2)</f>
        <v>0</v>
      </c>
      <c r="AG131">
        <f>IF(B131&lt;&gt;"", COUNTIFS($B$2:B131, B131), "")</f>
        <v>5</v>
      </c>
      <c r="AH131">
        <f t="shared" ref="AH131:AH194" si="49">IF(AF131=0%,5,IF(AND(AF131&gt;0%,AF131&lt;=2%),4,IF(AND(AF131&gt;2%,AF131&lt;=5%),3,IF(AND(AF131&gt;5%,AF131&lt;10%),2,1))))</f>
        <v>5</v>
      </c>
      <c r="AI131" t="str">
        <f>VLOOKUP(B131, Currency!A:B, 2, FALSE)</f>
        <v>INR</v>
      </c>
      <c r="AJ131">
        <f t="shared" si="42"/>
        <v>4</v>
      </c>
      <c r="AK131">
        <f t="shared" ref="AK131:AK194" si="50">MONTH(DATE(RIGHT(C131,2),MID(C131,4,2),LEFT(C131,2)))</f>
        <v>6</v>
      </c>
      <c r="AL131" t="str">
        <f t="shared" ref="AL131:AL194" si="51">TEXT(DATE(RIGHT(C131,2),MID(C131,4,2),LEFT(C131,2)),"mmmm")</f>
        <v>June</v>
      </c>
      <c r="AM131">
        <f t="shared" ref="AM131:AM194" si="52">YEAR(DATE(VALUE(MID(C131,7,2))+2000, MID(C131,4,2), MID(C131,1,2)))</f>
        <v>2023</v>
      </c>
      <c r="AN131" t="str">
        <f t="shared" si="43"/>
        <v>30SHREE ACID AND CHEMICALS</v>
      </c>
      <c r="AO131">
        <f>IF(COUNTIF($AN$2:AN131, AN131)=1, 1, 0)</f>
        <v>0</v>
      </c>
      <c r="AP131" t="str">
        <f t="shared" ref="AP131:AP194" si="53">IF(AH131&lt;=3,"&lt;=3","&gt;3")</f>
        <v>&gt;3</v>
      </c>
      <c r="AQ131" t="str">
        <f t="shared" ref="AQ131:AQ194" si="54">IF(Z131&lt;=3,"&lt;=3","&gt;3")</f>
        <v>&lt;=3</v>
      </c>
      <c r="AR131" t="str">
        <f t="shared" ref="AR131:AR194" si="55">IF(AB131&lt;=3,"&lt;=3","&gt;3")</f>
        <v>&gt;3</v>
      </c>
    </row>
    <row r="132" spans="1:44" x14ac:dyDescent="0.3">
      <c r="A132" t="s">
        <v>33</v>
      </c>
      <c r="B132" t="s">
        <v>386</v>
      </c>
      <c r="C132" t="s">
        <v>165</v>
      </c>
      <c r="D132">
        <v>2309</v>
      </c>
      <c r="E132">
        <v>23310159</v>
      </c>
      <c r="F132" t="s">
        <v>554</v>
      </c>
      <c r="G132" t="s">
        <v>555</v>
      </c>
      <c r="H132">
        <v>8000</v>
      </c>
      <c r="I132">
        <v>19.5</v>
      </c>
      <c r="J132">
        <v>156000</v>
      </c>
      <c r="K132" t="str">
        <f>IFERROR(IF(B132&lt;&gt;"", TEXT(VLOOKUP(B132, 'Expected Date'!A:B, 2, FALSE) + DATE(RIGHT(C132,2),MID(C132,4,2),LEFT(C132,2)), "dd/mm/yy"), ""), "")</f>
        <v>12/06/23</v>
      </c>
      <c r="L132" t="s">
        <v>68</v>
      </c>
      <c r="M132" t="s">
        <v>39</v>
      </c>
      <c r="N132" t="s">
        <v>318</v>
      </c>
      <c r="O132" t="s">
        <v>308</v>
      </c>
      <c r="P132">
        <v>23390233</v>
      </c>
      <c r="Q132" t="s">
        <v>554</v>
      </c>
      <c r="R132" t="s">
        <v>555</v>
      </c>
      <c r="S132">
        <v>6257</v>
      </c>
      <c r="T132">
        <v>19.5</v>
      </c>
      <c r="U132">
        <v>122011.5</v>
      </c>
      <c r="V132" t="str">
        <f t="shared" ref="V132:V195" si="56">V131</f>
        <v>Accepted</v>
      </c>
      <c r="W132">
        <f>IFERROR(VLOOKUP(N132, Payment_Terms!A:B, 2, FALSE), "Payment term not found!")</f>
        <v>30</v>
      </c>
      <c r="X132" t="str">
        <f>IFERROR(VLOOKUP(R132, Item_Category!A:B, 2, FALSE), "Uncategorized")</f>
        <v>HDPE bag acecel</v>
      </c>
      <c r="Y132" s="5">
        <f t="shared" si="39"/>
        <v>0.21787500000000001</v>
      </c>
      <c r="Z132">
        <f t="shared" si="44"/>
        <v>1</v>
      </c>
      <c r="AA132">
        <f t="shared" si="45"/>
        <v>-2</v>
      </c>
      <c r="AB132">
        <f t="shared" si="46"/>
        <v>5</v>
      </c>
      <c r="AC132" s="10">
        <f t="shared" si="47"/>
        <v>3</v>
      </c>
      <c r="AD132" s="5">
        <f t="shared" si="40"/>
        <v>1</v>
      </c>
      <c r="AE132" s="5">
        <f t="shared" si="41"/>
        <v>1</v>
      </c>
      <c r="AF132" s="5">
        <f t="shared" si="48"/>
        <v>0</v>
      </c>
      <c r="AG132">
        <f>IF(B132&lt;&gt;"", COUNTIFS($B$2:B132, B132), "")</f>
        <v>13</v>
      </c>
      <c r="AH132">
        <f t="shared" si="49"/>
        <v>5</v>
      </c>
      <c r="AI132" t="str">
        <f>VLOOKUP(B132, Currency!A:B, 2, FALSE)</f>
        <v>INR</v>
      </c>
      <c r="AJ132">
        <f t="shared" si="42"/>
        <v>4</v>
      </c>
      <c r="AK132">
        <f t="shared" si="50"/>
        <v>6</v>
      </c>
      <c r="AL132" t="str">
        <f t="shared" si="51"/>
        <v>June</v>
      </c>
      <c r="AM132">
        <f t="shared" si="52"/>
        <v>2023</v>
      </c>
      <c r="AN132" t="str">
        <f t="shared" si="43"/>
        <v>30Shree Shyam Enterprises</v>
      </c>
      <c r="AO132">
        <f>IF(COUNTIF($AN$2:AN132, AN132)=1, 1, 0)</f>
        <v>0</v>
      </c>
      <c r="AP132" t="str">
        <f t="shared" si="53"/>
        <v>&gt;3</v>
      </c>
      <c r="AQ132" t="str">
        <f t="shared" si="54"/>
        <v>&lt;=3</v>
      </c>
      <c r="AR132" t="str">
        <f t="shared" si="55"/>
        <v>&gt;3</v>
      </c>
    </row>
    <row r="133" spans="1:44" x14ac:dyDescent="0.3">
      <c r="A133" t="s">
        <v>33</v>
      </c>
      <c r="B133" t="s">
        <v>386</v>
      </c>
      <c r="C133" t="s">
        <v>354</v>
      </c>
      <c r="D133">
        <v>2794</v>
      </c>
      <c r="E133">
        <v>23310213</v>
      </c>
      <c r="F133" t="s">
        <v>554</v>
      </c>
      <c r="G133" t="s">
        <v>555</v>
      </c>
      <c r="H133">
        <v>8000</v>
      </c>
      <c r="I133">
        <v>19.5</v>
      </c>
      <c r="J133">
        <v>156000</v>
      </c>
      <c r="K133" t="str">
        <f>IFERROR(IF(B133&lt;&gt;"", TEXT(VLOOKUP(B133, 'Expected Date'!A:B, 2, FALSE) + DATE(RIGHT(C133,2),MID(C133,4,2),LEFT(C133,2)), "dd/mm/yy"), ""), "")</f>
        <v>08/07/23</v>
      </c>
      <c r="L133" t="s">
        <v>38</v>
      </c>
      <c r="M133" t="s">
        <v>39</v>
      </c>
      <c r="N133" t="s">
        <v>318</v>
      </c>
      <c r="O133" t="s">
        <v>89</v>
      </c>
      <c r="P133">
        <v>23390292</v>
      </c>
      <c r="Q133" t="s">
        <v>554</v>
      </c>
      <c r="R133" t="s">
        <v>555</v>
      </c>
      <c r="S133">
        <v>4800</v>
      </c>
      <c r="T133">
        <v>19.5</v>
      </c>
      <c r="U133">
        <v>93600</v>
      </c>
      <c r="V133" t="str">
        <f t="shared" si="56"/>
        <v>Accepted</v>
      </c>
      <c r="W133">
        <f>IFERROR(VLOOKUP(N133, Payment_Terms!A:B, 2, FALSE), "Payment term not found!")</f>
        <v>30</v>
      </c>
      <c r="X133" t="str">
        <f>IFERROR(VLOOKUP(R133, Item_Category!A:B, 2, FALSE), "Uncategorized")</f>
        <v>HDPE bag acecel</v>
      </c>
      <c r="Y133" s="5">
        <f>IFERROR(IF(AND(E133&lt;&gt;"", G133&lt;&gt;""), MAX(0, (H133-SUMIFS(S:S, E:E, E133, G:G, G133))/H133), ""), (H133-S133)/H133)</f>
        <v>0</v>
      </c>
      <c r="Z133">
        <f t="shared" si="44"/>
        <v>5</v>
      </c>
      <c r="AA133">
        <f t="shared" si="45"/>
        <v>-3</v>
      </c>
      <c r="AB133">
        <f t="shared" si="46"/>
        <v>5</v>
      </c>
      <c r="AC133" s="10">
        <f t="shared" si="47"/>
        <v>2</v>
      </c>
      <c r="AD133" s="5">
        <f t="shared" si="40"/>
        <v>1</v>
      </c>
      <c r="AE133" s="5">
        <f t="shared" si="41"/>
        <v>1</v>
      </c>
      <c r="AF133" s="5">
        <f t="shared" si="48"/>
        <v>0</v>
      </c>
      <c r="AG133">
        <f>IF(B133&lt;&gt;"", COUNTIFS($B$2:B133, B133), "")</f>
        <v>14</v>
      </c>
      <c r="AH133">
        <f t="shared" si="49"/>
        <v>5</v>
      </c>
      <c r="AI133" t="str">
        <f>VLOOKUP(B133, Currency!A:B, 2, FALSE)</f>
        <v>INR</v>
      </c>
      <c r="AJ133">
        <f t="shared" si="42"/>
        <v>5</v>
      </c>
      <c r="AK133">
        <f t="shared" si="50"/>
        <v>7</v>
      </c>
      <c r="AL133" t="str">
        <f t="shared" si="51"/>
        <v>July</v>
      </c>
      <c r="AM133">
        <f t="shared" si="52"/>
        <v>2023</v>
      </c>
      <c r="AN133" t="str">
        <f t="shared" si="43"/>
        <v>30Shree Shyam Enterprises</v>
      </c>
      <c r="AO133">
        <f>IF(COUNTIF($AN$2:AN133, AN133)=1, 1, 0)</f>
        <v>0</v>
      </c>
      <c r="AP133" t="str">
        <f t="shared" si="53"/>
        <v>&gt;3</v>
      </c>
      <c r="AQ133" t="str">
        <f t="shared" si="54"/>
        <v>&gt;3</v>
      </c>
      <c r="AR133" t="str">
        <f t="shared" si="55"/>
        <v>&gt;3</v>
      </c>
    </row>
    <row r="134" spans="1:44" x14ac:dyDescent="0.3">
      <c r="A134" t="s">
        <v>33</v>
      </c>
      <c r="B134" t="s">
        <v>366</v>
      </c>
      <c r="C134" t="s">
        <v>476</v>
      </c>
      <c r="D134">
        <v>3937</v>
      </c>
      <c r="E134">
        <v>23310313</v>
      </c>
      <c r="F134" t="s">
        <v>569</v>
      </c>
      <c r="G134" t="s">
        <v>570</v>
      </c>
      <c r="H134">
        <v>100</v>
      </c>
      <c r="I134">
        <v>9800</v>
      </c>
      <c r="J134">
        <v>980000</v>
      </c>
      <c r="K134" t="str">
        <f>IFERROR(IF(B134&lt;&gt;"", TEXT(VLOOKUP(B134, 'Expected Date'!A:B, 2, FALSE) + DATE(RIGHT(C134,2),MID(C134,4,2),LEFT(C134,2)), "dd/mm/yy"), ""), "")</f>
        <v>17/08/23</v>
      </c>
      <c r="L134" t="s">
        <v>38</v>
      </c>
      <c r="M134" t="s">
        <v>48</v>
      </c>
      <c r="N134" t="s">
        <v>532</v>
      </c>
      <c r="O134" t="s">
        <v>540</v>
      </c>
      <c r="P134">
        <v>23390483</v>
      </c>
      <c r="Q134" t="s">
        <v>569</v>
      </c>
      <c r="R134" t="s">
        <v>570</v>
      </c>
      <c r="S134">
        <v>29.41</v>
      </c>
      <c r="T134">
        <v>9800</v>
      </c>
      <c r="U134">
        <v>288218</v>
      </c>
      <c r="V134" t="str">
        <f t="shared" si="56"/>
        <v>Accepted</v>
      </c>
      <c r="W134">
        <f>IFERROR(VLOOKUP(N134, Payment_Terms!A:B, 2, FALSE), "Payment term not found!")</f>
        <v>15</v>
      </c>
      <c r="X134" t="str">
        <f>IFERROR(VLOOKUP(R134, Item_Category!A:B, 2, FALSE), "Uncategorized")</f>
        <v>Coal materials</v>
      </c>
      <c r="Y134" s="5">
        <f t="shared" si="39"/>
        <v>0</v>
      </c>
      <c r="Z134">
        <f t="shared" si="44"/>
        <v>5</v>
      </c>
      <c r="AA134">
        <f t="shared" si="45"/>
        <v>10</v>
      </c>
      <c r="AB134">
        <f t="shared" si="46"/>
        <v>2</v>
      </c>
      <c r="AC134" s="10">
        <f t="shared" si="47"/>
        <v>12</v>
      </c>
      <c r="AD134" s="5">
        <f t="shared" si="40"/>
        <v>1</v>
      </c>
      <c r="AE134" s="5">
        <f t="shared" si="41"/>
        <v>1</v>
      </c>
      <c r="AF134" s="5">
        <f t="shared" si="48"/>
        <v>0</v>
      </c>
      <c r="AG134">
        <f>IF(B134&lt;&gt;"", COUNTIFS($B$2:B134, B134), "")</f>
        <v>18</v>
      </c>
      <c r="AH134">
        <f t="shared" si="49"/>
        <v>5</v>
      </c>
      <c r="AI134" t="str">
        <f>VLOOKUP(B134, Currency!A:B, 2, FALSE)</f>
        <v>INR</v>
      </c>
      <c r="AJ134">
        <f t="shared" si="42"/>
        <v>5</v>
      </c>
      <c r="AK134">
        <f t="shared" si="50"/>
        <v>8</v>
      </c>
      <c r="AL134" t="str">
        <f t="shared" si="51"/>
        <v>August</v>
      </c>
      <c r="AM134">
        <f t="shared" si="52"/>
        <v>2023</v>
      </c>
      <c r="AN134" t="str">
        <f t="shared" si="43"/>
        <v>15SKYWIN ENTERPRISE</v>
      </c>
      <c r="AO134">
        <f>IF(COUNTIF($AN$2:AN134, AN134)=1, 1, 0)</f>
        <v>0</v>
      </c>
      <c r="AP134" t="str">
        <f t="shared" si="53"/>
        <v>&gt;3</v>
      </c>
      <c r="AQ134" t="str">
        <f t="shared" si="54"/>
        <v>&gt;3</v>
      </c>
      <c r="AR134" t="str">
        <f t="shared" si="55"/>
        <v>&lt;=3</v>
      </c>
    </row>
    <row r="135" spans="1:44" x14ac:dyDescent="0.3">
      <c r="A135" t="s">
        <v>33</v>
      </c>
      <c r="B135" t="s">
        <v>371</v>
      </c>
      <c r="C135" t="s">
        <v>78</v>
      </c>
      <c r="D135">
        <v>3998</v>
      </c>
      <c r="E135">
        <v>23310325</v>
      </c>
      <c r="F135" t="s">
        <v>552</v>
      </c>
      <c r="G135" t="s">
        <v>373</v>
      </c>
      <c r="H135">
        <v>20</v>
      </c>
      <c r="I135">
        <v>1700</v>
      </c>
      <c r="J135">
        <v>34000</v>
      </c>
      <c r="K135" t="str">
        <f>IFERROR(IF(B135&lt;&gt;"", TEXT(VLOOKUP(B135, 'Expected Date'!A:B, 2, FALSE) + DATE(RIGHT(C135,2),MID(C135,4,2),LEFT(C135,2)), "dd/mm/yy"), ""), "")</f>
        <v>29/08/23</v>
      </c>
      <c r="L135" t="s">
        <v>38</v>
      </c>
      <c r="M135" t="s">
        <v>48</v>
      </c>
      <c r="N135" t="s">
        <v>318</v>
      </c>
      <c r="O135" t="s">
        <v>191</v>
      </c>
      <c r="P135">
        <v>23390485</v>
      </c>
      <c r="Q135" t="s">
        <v>552</v>
      </c>
      <c r="R135" t="s">
        <v>553</v>
      </c>
      <c r="S135">
        <v>10</v>
      </c>
      <c r="T135">
        <v>1700</v>
      </c>
      <c r="U135">
        <v>17000</v>
      </c>
      <c r="V135" t="str">
        <f t="shared" si="56"/>
        <v>Accepted</v>
      </c>
      <c r="W135">
        <f>IFERROR(VLOOKUP(N135, Payment_Terms!A:B, 2, FALSE), "Payment term not found!")</f>
        <v>30</v>
      </c>
      <c r="X135" t="str">
        <f>IFERROR(VLOOKUP(R135, Item_Category!A:B, 2, FALSE), "Uncategorized")</f>
        <v>HCL</v>
      </c>
      <c r="Y135" s="5">
        <f t="shared" si="39"/>
        <v>0</v>
      </c>
      <c r="Z135">
        <f t="shared" si="44"/>
        <v>5</v>
      </c>
      <c r="AA135">
        <f t="shared" si="45"/>
        <v>-1</v>
      </c>
      <c r="AB135">
        <f t="shared" si="46"/>
        <v>5</v>
      </c>
      <c r="AC135" s="10">
        <f t="shared" si="47"/>
        <v>4</v>
      </c>
      <c r="AD135" s="5">
        <f t="shared" si="40"/>
        <v>1</v>
      </c>
      <c r="AE135" s="5">
        <f t="shared" si="41"/>
        <v>1</v>
      </c>
      <c r="AF135" s="5">
        <f t="shared" si="48"/>
        <v>0</v>
      </c>
      <c r="AG135">
        <f>IF(B135&lt;&gt;"", COUNTIFS($B$2:B135, B135), "")</f>
        <v>6</v>
      </c>
      <c r="AH135">
        <f t="shared" si="49"/>
        <v>5</v>
      </c>
      <c r="AI135" t="str">
        <f>VLOOKUP(B135, Currency!A:B, 2, FALSE)</f>
        <v>INR</v>
      </c>
      <c r="AJ135">
        <f t="shared" si="42"/>
        <v>5</v>
      </c>
      <c r="AK135">
        <f t="shared" si="50"/>
        <v>8</v>
      </c>
      <c r="AL135" t="str">
        <f t="shared" si="51"/>
        <v>August</v>
      </c>
      <c r="AM135">
        <f t="shared" si="52"/>
        <v>2023</v>
      </c>
      <c r="AN135" t="str">
        <f t="shared" si="43"/>
        <v>30SHREE ACID AND CHEMICALS</v>
      </c>
      <c r="AO135">
        <f>IF(COUNTIF($AN$2:AN135, AN135)=1, 1, 0)</f>
        <v>0</v>
      </c>
      <c r="AP135" t="str">
        <f t="shared" si="53"/>
        <v>&gt;3</v>
      </c>
      <c r="AQ135" t="str">
        <f t="shared" si="54"/>
        <v>&gt;3</v>
      </c>
      <c r="AR135" t="str">
        <f t="shared" si="55"/>
        <v>&gt;3</v>
      </c>
    </row>
    <row r="136" spans="1:44" x14ac:dyDescent="0.3">
      <c r="A136" t="s">
        <v>33</v>
      </c>
      <c r="B136" t="s">
        <v>386</v>
      </c>
      <c r="C136" t="s">
        <v>496</v>
      </c>
      <c r="D136">
        <v>4201</v>
      </c>
      <c r="E136">
        <v>23310343</v>
      </c>
      <c r="F136" t="s">
        <v>567</v>
      </c>
      <c r="G136" t="s">
        <v>568</v>
      </c>
      <c r="H136">
        <v>500</v>
      </c>
      <c r="I136">
        <v>133</v>
      </c>
      <c r="J136">
        <v>66500</v>
      </c>
      <c r="K136" t="str">
        <f>IFERROR(IF(B136&lt;&gt;"", TEXT(VLOOKUP(B136, 'Expected Date'!A:B, 2, FALSE) + DATE(RIGHT(C136,2),MID(C136,4,2),LEFT(C136,2)), "dd/mm/yy"), ""), "")</f>
        <v>07/09/23</v>
      </c>
      <c r="L136" t="s">
        <v>38</v>
      </c>
      <c r="M136" t="s">
        <v>39</v>
      </c>
      <c r="N136" t="s">
        <v>318</v>
      </c>
      <c r="O136" t="s">
        <v>228</v>
      </c>
      <c r="P136">
        <v>23390601</v>
      </c>
      <c r="Q136" t="s">
        <v>567</v>
      </c>
      <c r="R136" t="s">
        <v>568</v>
      </c>
      <c r="S136">
        <v>501</v>
      </c>
      <c r="T136">
        <v>133</v>
      </c>
      <c r="U136">
        <v>66633</v>
      </c>
      <c r="V136" t="str">
        <f t="shared" si="56"/>
        <v>Accepted</v>
      </c>
      <c r="W136">
        <f>IFERROR(VLOOKUP(N136, Payment_Terms!A:B, 2, FALSE), "Payment term not found!")</f>
        <v>30</v>
      </c>
      <c r="X136" t="str">
        <f>IFERROR(VLOOKUP(R136, Item_Category!A:B, 2, FALSE), "Uncategorized")</f>
        <v>Liner</v>
      </c>
      <c r="Y136" s="5">
        <f t="shared" si="39"/>
        <v>0</v>
      </c>
      <c r="Z136">
        <f t="shared" si="44"/>
        <v>5</v>
      </c>
      <c r="AA136">
        <f t="shared" si="45"/>
        <v>15</v>
      </c>
      <c r="AB136">
        <f t="shared" si="46"/>
        <v>1</v>
      </c>
      <c r="AC136" s="10">
        <f t="shared" si="47"/>
        <v>20</v>
      </c>
      <c r="AD136" s="5">
        <f t="shared" si="40"/>
        <v>1</v>
      </c>
      <c r="AE136" s="5">
        <f t="shared" si="41"/>
        <v>1</v>
      </c>
      <c r="AF136" s="5">
        <f t="shared" si="48"/>
        <v>0</v>
      </c>
      <c r="AG136">
        <f>IF(B136&lt;&gt;"", COUNTIFS($B$2:B136, B136), "")</f>
        <v>15</v>
      </c>
      <c r="AH136">
        <f t="shared" si="49"/>
        <v>5</v>
      </c>
      <c r="AI136" t="str">
        <f>VLOOKUP(B136, Currency!A:B, 2, FALSE)</f>
        <v>INR</v>
      </c>
      <c r="AJ136">
        <f t="shared" si="42"/>
        <v>4</v>
      </c>
      <c r="AK136">
        <f t="shared" si="50"/>
        <v>9</v>
      </c>
      <c r="AL136" t="str">
        <f t="shared" si="51"/>
        <v>September</v>
      </c>
      <c r="AM136">
        <f t="shared" si="52"/>
        <v>2023</v>
      </c>
      <c r="AN136" t="str">
        <f t="shared" si="43"/>
        <v>30Shree Shyam Enterprises</v>
      </c>
      <c r="AO136">
        <f>IF(COUNTIF($AN$2:AN136, AN136)=1, 1, 0)</f>
        <v>0</v>
      </c>
      <c r="AP136" t="str">
        <f t="shared" si="53"/>
        <v>&gt;3</v>
      </c>
      <c r="AQ136" t="str">
        <f t="shared" si="54"/>
        <v>&gt;3</v>
      </c>
      <c r="AR136" t="str">
        <f t="shared" si="55"/>
        <v>&lt;=3</v>
      </c>
    </row>
    <row r="137" spans="1:44" x14ac:dyDescent="0.3">
      <c r="A137" t="s">
        <v>33</v>
      </c>
      <c r="B137" t="s">
        <v>366</v>
      </c>
      <c r="C137" t="s">
        <v>178</v>
      </c>
      <c r="D137">
        <v>4155</v>
      </c>
      <c r="E137">
        <v>23310339</v>
      </c>
      <c r="F137" t="s">
        <v>569</v>
      </c>
      <c r="G137" t="s">
        <v>570</v>
      </c>
      <c r="H137">
        <v>150</v>
      </c>
      <c r="I137">
        <v>9800</v>
      </c>
      <c r="J137">
        <v>1470000</v>
      </c>
      <c r="K137" t="str">
        <f>IFERROR(IF(B137&lt;&gt;"", TEXT(VLOOKUP(B137, 'Expected Date'!A:B, 2, FALSE) + DATE(RIGHT(C137,2),MID(C137,4,2),LEFT(C137,2)), "dd/mm/yy"), ""), "")</f>
        <v>03/09/23</v>
      </c>
      <c r="L137" t="s">
        <v>38</v>
      </c>
      <c r="M137" t="s">
        <v>48</v>
      </c>
      <c r="N137" t="s">
        <v>532</v>
      </c>
      <c r="O137" t="s">
        <v>228</v>
      </c>
      <c r="P137">
        <v>23390602</v>
      </c>
      <c r="Q137" t="s">
        <v>569</v>
      </c>
      <c r="R137" t="s">
        <v>570</v>
      </c>
      <c r="S137">
        <v>29.54</v>
      </c>
      <c r="T137">
        <v>9800</v>
      </c>
      <c r="U137">
        <v>289492</v>
      </c>
      <c r="V137" t="str">
        <f t="shared" si="56"/>
        <v>Accepted</v>
      </c>
      <c r="W137">
        <f>IFERROR(VLOOKUP(N137, Payment_Terms!A:B, 2, FALSE), "Payment term not found!")</f>
        <v>15</v>
      </c>
      <c r="X137" t="str">
        <f>IFERROR(VLOOKUP(R137, Item_Category!A:B, 2, FALSE), "Uncategorized")</f>
        <v>Coal materials</v>
      </c>
      <c r="Y137" s="5">
        <f t="shared" si="39"/>
        <v>0</v>
      </c>
      <c r="Z137">
        <f t="shared" si="44"/>
        <v>5</v>
      </c>
      <c r="AA137">
        <f t="shared" si="45"/>
        <v>19</v>
      </c>
      <c r="AB137">
        <f t="shared" si="46"/>
        <v>1</v>
      </c>
      <c r="AC137" s="10">
        <f t="shared" si="47"/>
        <v>21</v>
      </c>
      <c r="AD137" s="5">
        <f t="shared" si="40"/>
        <v>1</v>
      </c>
      <c r="AE137" s="5">
        <f t="shared" si="41"/>
        <v>1</v>
      </c>
      <c r="AF137" s="5">
        <f t="shared" si="48"/>
        <v>0</v>
      </c>
      <c r="AG137">
        <f>IF(B137&lt;&gt;"", COUNTIFS($B$2:B137, B137), "")</f>
        <v>19</v>
      </c>
      <c r="AH137">
        <f t="shared" si="49"/>
        <v>5</v>
      </c>
      <c r="AI137" t="str">
        <f>VLOOKUP(B137, Currency!A:B, 2, FALSE)</f>
        <v>INR</v>
      </c>
      <c r="AJ137">
        <f t="shared" si="42"/>
        <v>4</v>
      </c>
      <c r="AK137">
        <f t="shared" si="50"/>
        <v>9</v>
      </c>
      <c r="AL137" t="str">
        <f t="shared" si="51"/>
        <v>September</v>
      </c>
      <c r="AM137">
        <f t="shared" si="52"/>
        <v>2023</v>
      </c>
      <c r="AN137" t="str">
        <f t="shared" si="43"/>
        <v>15SKYWIN ENTERPRISE</v>
      </c>
      <c r="AO137">
        <f>IF(COUNTIF($AN$2:AN137, AN137)=1, 1, 0)</f>
        <v>0</v>
      </c>
      <c r="AP137" t="str">
        <f t="shared" si="53"/>
        <v>&gt;3</v>
      </c>
      <c r="AQ137" t="str">
        <f t="shared" si="54"/>
        <v>&gt;3</v>
      </c>
      <c r="AR137" t="str">
        <f t="shared" si="55"/>
        <v>&lt;=3</v>
      </c>
    </row>
    <row r="138" spans="1:44" x14ac:dyDescent="0.3">
      <c r="A138" t="s">
        <v>33</v>
      </c>
      <c r="B138" t="s">
        <v>157</v>
      </c>
      <c r="C138" t="s">
        <v>103</v>
      </c>
      <c r="D138">
        <v>4199</v>
      </c>
      <c r="E138">
        <v>23310341</v>
      </c>
      <c r="F138" t="s">
        <v>583</v>
      </c>
      <c r="G138" t="s">
        <v>159</v>
      </c>
      <c r="H138">
        <v>400</v>
      </c>
      <c r="I138">
        <v>270</v>
      </c>
      <c r="J138">
        <v>108000</v>
      </c>
      <c r="K138" t="str">
        <f>IFERROR(IF(B138&lt;&gt;"", TEXT(VLOOKUP(B138, 'Expected Date'!A:B, 2, FALSE) + DATE(RIGHT(C138,2),MID(C138,4,2),LEFT(C138,2)), "dd/mm/yy"), ""), "")</f>
        <v>16/09/23</v>
      </c>
      <c r="L138" t="s">
        <v>38</v>
      </c>
      <c r="M138" t="s">
        <v>48</v>
      </c>
      <c r="N138" t="s">
        <v>584</v>
      </c>
      <c r="O138" t="s">
        <v>512</v>
      </c>
      <c r="P138">
        <v>23390604</v>
      </c>
      <c r="Q138" t="s">
        <v>583</v>
      </c>
      <c r="R138" t="s">
        <v>159</v>
      </c>
      <c r="S138">
        <v>400</v>
      </c>
      <c r="T138">
        <v>270</v>
      </c>
      <c r="U138">
        <v>108000</v>
      </c>
      <c r="V138" t="str">
        <f t="shared" si="56"/>
        <v>Accepted</v>
      </c>
      <c r="W138">
        <f>IFERROR(VLOOKUP(N138, Payment_Terms!A:B, 2, FALSE), "Payment term not found!")</f>
        <v>0</v>
      </c>
      <c r="X138" t="str">
        <f>IFERROR(VLOOKUP(R138, Item_Category!A:B, 2, FALSE), "Uncategorized")</f>
        <v>Sodium salts</v>
      </c>
      <c r="Y138" s="5">
        <f t="shared" si="39"/>
        <v>0</v>
      </c>
      <c r="Z138">
        <f t="shared" si="44"/>
        <v>5</v>
      </c>
      <c r="AA138">
        <f t="shared" si="45"/>
        <v>8</v>
      </c>
      <c r="AB138">
        <f t="shared" si="46"/>
        <v>2</v>
      </c>
      <c r="AC138" s="10">
        <f t="shared" si="47"/>
        <v>18</v>
      </c>
      <c r="AD138" s="5">
        <f t="shared" si="40"/>
        <v>1</v>
      </c>
      <c r="AE138" s="5">
        <f t="shared" si="41"/>
        <v>1</v>
      </c>
      <c r="AF138" s="5">
        <f t="shared" si="48"/>
        <v>0</v>
      </c>
      <c r="AG138">
        <f>IF(B138&lt;&gt;"", COUNTIFS($B$2:B138, B138), "")</f>
        <v>6</v>
      </c>
      <c r="AH138">
        <f t="shared" si="49"/>
        <v>5</v>
      </c>
      <c r="AI138" t="str">
        <f>VLOOKUP(B138, Currency!A:B, 2, FALSE)</f>
        <v>INR</v>
      </c>
      <c r="AJ138">
        <f t="shared" si="42"/>
        <v>5</v>
      </c>
      <c r="AK138">
        <f t="shared" si="50"/>
        <v>9</v>
      </c>
      <c r="AL138" t="str">
        <f t="shared" si="51"/>
        <v>September</v>
      </c>
      <c r="AM138">
        <f t="shared" si="52"/>
        <v>2023</v>
      </c>
      <c r="AN138" t="str">
        <f t="shared" si="43"/>
        <v>0ZED CHEM PVT LTD</v>
      </c>
      <c r="AO138">
        <f>IF(COUNTIF($AN$2:AN138, AN138)=1, 1, 0)</f>
        <v>0</v>
      </c>
      <c r="AP138" t="str">
        <f t="shared" si="53"/>
        <v>&gt;3</v>
      </c>
      <c r="AQ138" t="str">
        <f t="shared" si="54"/>
        <v>&gt;3</v>
      </c>
      <c r="AR138" t="str">
        <f t="shared" si="55"/>
        <v>&lt;=3</v>
      </c>
    </row>
    <row r="139" spans="1:44" x14ac:dyDescent="0.3">
      <c r="A139" t="s">
        <v>33</v>
      </c>
      <c r="B139" t="s">
        <v>371</v>
      </c>
      <c r="C139" t="s">
        <v>414</v>
      </c>
      <c r="D139">
        <v>2293</v>
      </c>
      <c r="E139">
        <v>23310155</v>
      </c>
      <c r="F139" t="s">
        <v>552</v>
      </c>
      <c r="G139" t="s">
        <v>373</v>
      </c>
      <c r="H139">
        <v>50</v>
      </c>
      <c r="I139">
        <v>150</v>
      </c>
      <c r="J139">
        <v>7500</v>
      </c>
      <c r="K139" t="str">
        <f>IFERROR(IF(B139&lt;&gt;"", TEXT(VLOOKUP(B139, 'Expected Date'!A:B, 2, FALSE) + DATE(RIGHT(C139,2),MID(C139,4,2),LEFT(C139,2)), "dd/mm/yy"), ""), "")</f>
        <v>06/06/23</v>
      </c>
      <c r="L139" t="s">
        <v>68</v>
      </c>
      <c r="M139" t="s">
        <v>48</v>
      </c>
      <c r="N139" t="s">
        <v>342</v>
      </c>
      <c r="O139" t="s">
        <v>88</v>
      </c>
      <c r="P139">
        <v>23390293</v>
      </c>
      <c r="Q139" t="s">
        <v>552</v>
      </c>
      <c r="R139" t="s">
        <v>553</v>
      </c>
      <c r="S139">
        <v>9.8699999999999992</v>
      </c>
      <c r="T139">
        <v>150</v>
      </c>
      <c r="U139">
        <v>1480.5</v>
      </c>
      <c r="V139" t="str">
        <f t="shared" si="56"/>
        <v>Accepted</v>
      </c>
      <c r="W139">
        <f>IFERROR(VLOOKUP(N139, Payment_Terms!A:B, 2, FALSE), "Payment term not found!")</f>
        <v>30</v>
      </c>
      <c r="X139" t="str">
        <f>IFERROR(VLOOKUP(R139, Item_Category!A:B, 2, FALSE), "Uncategorized")</f>
        <v>HCL</v>
      </c>
      <c r="Y139" s="5">
        <f t="shared" si="39"/>
        <v>0.41700000000000004</v>
      </c>
      <c r="Z139">
        <f t="shared" si="44"/>
        <v>1</v>
      </c>
      <c r="AA139">
        <f t="shared" si="45"/>
        <v>28</v>
      </c>
      <c r="AB139">
        <f t="shared" si="46"/>
        <v>1</v>
      </c>
      <c r="AC139" s="10">
        <f t="shared" si="47"/>
        <v>33</v>
      </c>
      <c r="AD139" s="5">
        <f t="shared" si="40"/>
        <v>1</v>
      </c>
      <c r="AE139" s="5">
        <f t="shared" si="41"/>
        <v>1</v>
      </c>
      <c r="AF139" s="5">
        <f t="shared" si="48"/>
        <v>0</v>
      </c>
      <c r="AG139">
        <f>IF(B139&lt;&gt;"", COUNTIFS($B$2:B139, B139), "")</f>
        <v>7</v>
      </c>
      <c r="AH139">
        <f t="shared" si="49"/>
        <v>5</v>
      </c>
      <c r="AI139" t="str">
        <f>VLOOKUP(B139, Currency!A:B, 2, FALSE)</f>
        <v>INR</v>
      </c>
      <c r="AJ139">
        <f t="shared" si="42"/>
        <v>3</v>
      </c>
      <c r="AK139">
        <f t="shared" si="50"/>
        <v>6</v>
      </c>
      <c r="AL139" t="str">
        <f t="shared" si="51"/>
        <v>June</v>
      </c>
      <c r="AM139">
        <f t="shared" si="52"/>
        <v>2023</v>
      </c>
      <c r="AN139" t="str">
        <f t="shared" si="43"/>
        <v>30SHREE ACID AND CHEMICALS</v>
      </c>
      <c r="AO139">
        <f>IF(COUNTIF($AN$2:AN139, AN139)=1, 1, 0)</f>
        <v>0</v>
      </c>
      <c r="AP139" t="str">
        <f t="shared" si="53"/>
        <v>&gt;3</v>
      </c>
      <c r="AQ139" t="str">
        <f t="shared" si="54"/>
        <v>&lt;=3</v>
      </c>
      <c r="AR139" t="str">
        <f t="shared" si="55"/>
        <v>&lt;=3</v>
      </c>
    </row>
    <row r="140" spans="1:44" x14ac:dyDescent="0.3">
      <c r="A140" t="s">
        <v>33</v>
      </c>
      <c r="B140" t="s">
        <v>371</v>
      </c>
      <c r="C140" t="s">
        <v>414</v>
      </c>
      <c r="D140">
        <v>2293</v>
      </c>
      <c r="E140">
        <v>23310155</v>
      </c>
      <c r="F140" t="s">
        <v>552</v>
      </c>
      <c r="G140" t="s">
        <v>373</v>
      </c>
      <c r="H140">
        <v>50</v>
      </c>
      <c r="I140">
        <v>150</v>
      </c>
      <c r="J140">
        <v>7500</v>
      </c>
      <c r="K140" t="str">
        <f>IFERROR(IF(B140&lt;&gt;"", TEXT(VLOOKUP(B140, 'Expected Date'!A:B, 2, FALSE) + DATE(RIGHT(C140,2),MID(C140,4,2),LEFT(C140,2)), "dd/mm/yy"), ""), "")</f>
        <v>06/06/23</v>
      </c>
      <c r="L140" t="s">
        <v>68</v>
      </c>
      <c r="M140" t="s">
        <v>48</v>
      </c>
      <c r="N140" t="s">
        <v>342</v>
      </c>
      <c r="O140" t="s">
        <v>324</v>
      </c>
      <c r="P140">
        <v>23390260</v>
      </c>
      <c r="Q140" t="s">
        <v>552</v>
      </c>
      <c r="R140" t="s">
        <v>553</v>
      </c>
      <c r="S140">
        <v>9.58</v>
      </c>
      <c r="T140">
        <v>150</v>
      </c>
      <c r="U140">
        <v>1437</v>
      </c>
      <c r="V140" t="str">
        <f t="shared" si="56"/>
        <v>Accepted</v>
      </c>
      <c r="W140">
        <f>IFERROR(VLOOKUP(N140, Payment_Terms!A:B, 2, FALSE), "Payment term not found!")</f>
        <v>30</v>
      </c>
      <c r="X140" t="str">
        <f>IFERROR(VLOOKUP(R140, Item_Category!A:B, 2, FALSE), "Uncategorized")</f>
        <v>HCL</v>
      </c>
      <c r="Y140" s="5">
        <f t="shared" si="39"/>
        <v>0.41700000000000004</v>
      </c>
      <c r="Z140">
        <f t="shared" si="44"/>
        <v>1</v>
      </c>
      <c r="AA140">
        <f t="shared" si="45"/>
        <v>14</v>
      </c>
      <c r="AB140">
        <f t="shared" si="46"/>
        <v>1</v>
      </c>
      <c r="AC140" s="10">
        <f t="shared" si="47"/>
        <v>19</v>
      </c>
      <c r="AD140" s="5">
        <f t="shared" si="40"/>
        <v>1</v>
      </c>
      <c r="AE140" s="5">
        <f t="shared" si="41"/>
        <v>1</v>
      </c>
      <c r="AF140" s="5">
        <f t="shared" si="48"/>
        <v>0</v>
      </c>
      <c r="AG140">
        <f>IF(B140&lt;&gt;"", COUNTIFS($B$2:B140, B140), "")</f>
        <v>8</v>
      </c>
      <c r="AH140">
        <f t="shared" si="49"/>
        <v>5</v>
      </c>
      <c r="AI140" t="str">
        <f>VLOOKUP(B140, Currency!A:B, 2, FALSE)</f>
        <v>INR</v>
      </c>
      <c r="AJ140">
        <f t="shared" si="42"/>
        <v>3</v>
      </c>
      <c r="AK140">
        <f t="shared" si="50"/>
        <v>6</v>
      </c>
      <c r="AL140" t="str">
        <f t="shared" si="51"/>
        <v>June</v>
      </c>
      <c r="AM140">
        <f t="shared" si="52"/>
        <v>2023</v>
      </c>
      <c r="AN140" t="str">
        <f t="shared" si="43"/>
        <v>30SHREE ACID AND CHEMICALS</v>
      </c>
      <c r="AO140">
        <f>IF(COUNTIF($AN$2:AN140, AN140)=1, 1, 0)</f>
        <v>0</v>
      </c>
      <c r="AP140" t="str">
        <f t="shared" si="53"/>
        <v>&gt;3</v>
      </c>
      <c r="AQ140" t="str">
        <f t="shared" si="54"/>
        <v>&lt;=3</v>
      </c>
      <c r="AR140" t="str">
        <f t="shared" si="55"/>
        <v>&lt;=3</v>
      </c>
    </row>
    <row r="141" spans="1:44" x14ac:dyDescent="0.3">
      <c r="A141" t="s">
        <v>33</v>
      </c>
      <c r="B141" t="s">
        <v>366</v>
      </c>
      <c r="C141" t="s">
        <v>269</v>
      </c>
      <c r="D141">
        <v>2005</v>
      </c>
      <c r="E141">
        <v>23310109</v>
      </c>
      <c r="F141" t="s">
        <v>569</v>
      </c>
      <c r="G141" t="s">
        <v>570</v>
      </c>
      <c r="H141">
        <v>100</v>
      </c>
      <c r="I141">
        <v>10857.14</v>
      </c>
      <c r="J141">
        <v>1085714</v>
      </c>
      <c r="K141" t="str">
        <f>IFERROR(IF(B141&lt;&gt;"", TEXT(VLOOKUP(B141, 'Expected Date'!A:B, 2, FALSE) + DATE(RIGHT(C141,2),MID(C141,4,2),LEFT(C141,2)), "dd/mm/yy"), ""), "")</f>
        <v>17/05/23</v>
      </c>
      <c r="L141" t="s">
        <v>68</v>
      </c>
      <c r="M141" t="s">
        <v>48</v>
      </c>
      <c r="N141" t="s">
        <v>574</v>
      </c>
      <c r="O141" t="s">
        <v>174</v>
      </c>
      <c r="P141">
        <v>23390163</v>
      </c>
      <c r="Q141" t="s">
        <v>569</v>
      </c>
      <c r="R141" t="s">
        <v>570</v>
      </c>
      <c r="S141">
        <v>30.7</v>
      </c>
      <c r="T141">
        <v>10857.14</v>
      </c>
      <c r="U141">
        <v>333314.2</v>
      </c>
      <c r="V141" t="str">
        <f t="shared" si="56"/>
        <v>Accepted</v>
      </c>
      <c r="W141">
        <f>IFERROR(VLOOKUP(N141, Payment_Terms!A:B, 2, FALSE), "Payment term not found!")</f>
        <v>0</v>
      </c>
      <c r="X141" t="str">
        <f>IFERROR(VLOOKUP(R141, Item_Category!A:B, 2, FALSE), "Uncategorized")</f>
        <v>Coal materials</v>
      </c>
      <c r="Y141" s="5">
        <f t="shared" si="39"/>
        <v>0.41389999999999999</v>
      </c>
      <c r="Z141">
        <f t="shared" si="44"/>
        <v>1</v>
      </c>
      <c r="AA141">
        <f t="shared" si="45"/>
        <v>-1</v>
      </c>
      <c r="AB141">
        <f t="shared" si="46"/>
        <v>5</v>
      </c>
      <c r="AC141" s="10">
        <f t="shared" si="47"/>
        <v>1</v>
      </c>
      <c r="AD141" s="5">
        <f t="shared" si="40"/>
        <v>1</v>
      </c>
      <c r="AE141" s="5">
        <f t="shared" si="41"/>
        <v>1</v>
      </c>
      <c r="AF141" s="5">
        <f t="shared" si="48"/>
        <v>0</v>
      </c>
      <c r="AG141">
        <f>IF(B141&lt;&gt;"", COUNTIFS($B$2:B141, B141), "")</f>
        <v>20</v>
      </c>
      <c r="AH141">
        <f t="shared" si="49"/>
        <v>5</v>
      </c>
      <c r="AI141" t="str">
        <f>VLOOKUP(B141, Currency!A:B, 2, FALSE)</f>
        <v>INR</v>
      </c>
      <c r="AJ141">
        <f t="shared" si="42"/>
        <v>4</v>
      </c>
      <c r="AK141">
        <f t="shared" si="50"/>
        <v>5</v>
      </c>
      <c r="AL141" t="str">
        <f t="shared" si="51"/>
        <v>May</v>
      </c>
      <c r="AM141">
        <f t="shared" si="52"/>
        <v>2023</v>
      </c>
      <c r="AN141" t="str">
        <f t="shared" si="43"/>
        <v>0SKYWIN ENTERPRISE</v>
      </c>
      <c r="AO141">
        <f>IF(COUNTIF($AN$2:AN141, AN141)=1, 1, 0)</f>
        <v>0</v>
      </c>
      <c r="AP141" t="str">
        <f t="shared" si="53"/>
        <v>&gt;3</v>
      </c>
      <c r="AQ141" t="str">
        <f t="shared" si="54"/>
        <v>&lt;=3</v>
      </c>
      <c r="AR141" t="str">
        <f t="shared" si="55"/>
        <v>&gt;3</v>
      </c>
    </row>
    <row r="142" spans="1:44" x14ac:dyDescent="0.3">
      <c r="A142" t="s">
        <v>33</v>
      </c>
      <c r="B142" t="s">
        <v>557</v>
      </c>
      <c r="C142" t="s">
        <v>57</v>
      </c>
      <c r="D142">
        <v>3523</v>
      </c>
      <c r="E142">
        <v>23310275</v>
      </c>
      <c r="F142" t="s">
        <v>558</v>
      </c>
      <c r="G142" t="s">
        <v>384</v>
      </c>
      <c r="H142">
        <v>400</v>
      </c>
      <c r="I142">
        <v>99</v>
      </c>
      <c r="J142">
        <v>39600</v>
      </c>
      <c r="K142" t="str">
        <f>IFERROR(IF(B142&lt;&gt;"", TEXT(VLOOKUP(B142, 'Expected Date'!A:B, 2, FALSE) + DATE(RIGHT(C142,2),MID(C142,4,2),LEFT(C142,2)), "dd/mm/yy"), ""), "")</f>
        <v>13/08/23</v>
      </c>
      <c r="L142" t="s">
        <v>38</v>
      </c>
      <c r="M142" t="s">
        <v>48</v>
      </c>
      <c r="N142" t="s">
        <v>364</v>
      </c>
      <c r="O142" t="s">
        <v>191</v>
      </c>
      <c r="P142">
        <v>23390486</v>
      </c>
      <c r="Q142" t="s">
        <v>558</v>
      </c>
      <c r="R142" t="s">
        <v>559</v>
      </c>
      <c r="S142">
        <v>100</v>
      </c>
      <c r="T142">
        <v>99</v>
      </c>
      <c r="U142">
        <v>9900</v>
      </c>
      <c r="V142" t="str">
        <f t="shared" si="56"/>
        <v>Accepted</v>
      </c>
      <c r="W142">
        <f>IFERROR(VLOOKUP(N142, Payment_Terms!A:B, 2, FALSE), "Payment term not found!")</f>
        <v>30</v>
      </c>
      <c r="X142" t="str">
        <f>IFERROR(VLOOKUP(R142, Item_Category!A:B, 2, FALSE), "Uncategorized")</f>
        <v>Anhydrous Ammonia</v>
      </c>
      <c r="Y142" s="5">
        <f t="shared" si="39"/>
        <v>0</v>
      </c>
      <c r="Z142">
        <f t="shared" si="44"/>
        <v>5</v>
      </c>
      <c r="AA142">
        <f t="shared" si="45"/>
        <v>15</v>
      </c>
      <c r="AB142">
        <f t="shared" si="46"/>
        <v>1</v>
      </c>
      <c r="AC142" s="10">
        <f t="shared" si="47"/>
        <v>25</v>
      </c>
      <c r="AD142" s="5">
        <f t="shared" si="40"/>
        <v>1</v>
      </c>
      <c r="AE142" s="5">
        <f t="shared" si="41"/>
        <v>1</v>
      </c>
      <c r="AF142" s="5">
        <f t="shared" si="48"/>
        <v>0</v>
      </c>
      <c r="AG142">
        <f>IF(B142&lt;&gt;"", COUNTIFS($B$2:B142, B142), "")</f>
        <v>15</v>
      </c>
      <c r="AH142">
        <f t="shared" si="49"/>
        <v>5</v>
      </c>
      <c r="AI142" t="str">
        <f>VLOOKUP(B142, Currency!A:B, 2, FALSE)</f>
        <v>INR</v>
      </c>
      <c r="AJ142">
        <f t="shared" si="42"/>
        <v>4</v>
      </c>
      <c r="AK142">
        <f t="shared" si="50"/>
        <v>8</v>
      </c>
      <c r="AL142" t="str">
        <f t="shared" si="51"/>
        <v>August</v>
      </c>
      <c r="AM142">
        <f t="shared" si="52"/>
        <v>2023</v>
      </c>
      <c r="AN142" t="str">
        <f t="shared" si="43"/>
        <v>30Jaysons Chemical Industries Vapi</v>
      </c>
      <c r="AO142">
        <f>IF(COUNTIF($AN$2:AN142, AN142)=1, 1, 0)</f>
        <v>0</v>
      </c>
      <c r="AP142" t="str">
        <f t="shared" si="53"/>
        <v>&gt;3</v>
      </c>
      <c r="AQ142" t="str">
        <f t="shared" si="54"/>
        <v>&gt;3</v>
      </c>
      <c r="AR142" t="str">
        <f t="shared" si="55"/>
        <v>&lt;=3</v>
      </c>
    </row>
    <row r="143" spans="1:44" x14ac:dyDescent="0.3">
      <c r="A143" t="str">
        <f>A90</f>
        <v>Woodpulp</v>
      </c>
      <c r="B143" t="s">
        <v>140</v>
      </c>
      <c r="C143" t="s">
        <v>70</v>
      </c>
      <c r="D143">
        <v>1465</v>
      </c>
      <c r="E143">
        <v>23320008</v>
      </c>
      <c r="F143" t="s">
        <v>571</v>
      </c>
      <c r="G143" t="s">
        <v>360</v>
      </c>
      <c r="H143">
        <v>75</v>
      </c>
      <c r="I143">
        <v>830</v>
      </c>
      <c r="J143">
        <v>5067150</v>
      </c>
      <c r="K143" t="str">
        <f>IFERROR(IF(B143&lt;&gt;"", TEXT(VLOOKUP(B143, 'Expected Date'!A:B, 2, FALSE) + DATE(RIGHT(C143,2),MID(C143,4,2),LEFT(C143,2)), "dd/mm/yy"), ""), "")</f>
        <v>08/06/23</v>
      </c>
      <c r="L143" t="s">
        <v>68</v>
      </c>
      <c r="M143" t="str">
        <f>M84</f>
        <v>MT</v>
      </c>
      <c r="N143" t="s">
        <v>144</v>
      </c>
      <c r="O143" t="s">
        <v>439</v>
      </c>
      <c r="P143">
        <v>23390068</v>
      </c>
      <c r="Q143" t="s">
        <v>571</v>
      </c>
      <c r="R143" t="s">
        <v>143</v>
      </c>
      <c r="S143">
        <v>74.682000000000002</v>
      </c>
      <c r="T143">
        <v>830</v>
      </c>
      <c r="U143">
        <v>5027069.47</v>
      </c>
      <c r="V143" t="str">
        <f t="shared" si="56"/>
        <v>Accepted</v>
      </c>
      <c r="W143">
        <f>IFERROR(VLOOKUP(N143, Payment_Terms!A:B, 2, FALSE), "Payment term not found!")</f>
        <v>30</v>
      </c>
      <c r="X143" t="str">
        <f>IFERROR(VLOOKUP(R143, Item_Category!A:B, 2, FALSE), "Uncategorized")</f>
        <v>Wood pulp</v>
      </c>
      <c r="Y143" s="5">
        <f t="shared" si="39"/>
        <v>4.2399999999999712E-3</v>
      </c>
      <c r="Z143">
        <f t="shared" si="44"/>
        <v>4</v>
      </c>
      <c r="AA143">
        <f t="shared" si="45"/>
        <v>-49</v>
      </c>
      <c r="AB143">
        <f t="shared" si="46"/>
        <v>5</v>
      </c>
      <c r="AC143" s="10">
        <f t="shared" si="47"/>
        <v>4</v>
      </c>
      <c r="AD143" s="5">
        <f t="shared" si="40"/>
        <v>1</v>
      </c>
      <c r="AE143" s="5">
        <f t="shared" si="41"/>
        <v>1</v>
      </c>
      <c r="AF143" s="5">
        <f t="shared" si="48"/>
        <v>0</v>
      </c>
      <c r="AG143">
        <f>IF(B143&lt;&gt;"", COUNTIFS($B$2:B143, B143), "")</f>
        <v>8</v>
      </c>
      <c r="AH143">
        <f t="shared" si="49"/>
        <v>5</v>
      </c>
      <c r="AI143" t="str">
        <f>VLOOKUP(B143, Currency!A:B, 2, FALSE)</f>
        <v>USD</v>
      </c>
      <c r="AJ143">
        <f t="shared" si="42"/>
        <v>5</v>
      </c>
      <c r="AK143">
        <f t="shared" si="50"/>
        <v>4</v>
      </c>
      <c r="AL143" t="str">
        <f t="shared" si="51"/>
        <v>April</v>
      </c>
      <c r="AM143">
        <f t="shared" si="52"/>
        <v>2023</v>
      </c>
      <c r="AN143" t="str">
        <f t="shared" si="43"/>
        <v>30Sappi Paper Holdings GMBH</v>
      </c>
      <c r="AO143">
        <f>IF(COUNTIF($AN$2:AN143, AN143)=1, 1, 0)</f>
        <v>0</v>
      </c>
      <c r="AP143" t="str">
        <f t="shared" si="53"/>
        <v>&gt;3</v>
      </c>
      <c r="AQ143" t="str">
        <f t="shared" si="54"/>
        <v>&gt;3</v>
      </c>
      <c r="AR143" t="str">
        <f t="shared" si="55"/>
        <v>&gt;3</v>
      </c>
    </row>
    <row r="144" spans="1:44" x14ac:dyDescent="0.3">
      <c r="A144" t="s">
        <v>33</v>
      </c>
      <c r="B144" t="s">
        <v>429</v>
      </c>
      <c r="C144" t="s">
        <v>178</v>
      </c>
      <c r="D144">
        <v>4150</v>
      </c>
      <c r="E144">
        <v>23310338</v>
      </c>
      <c r="F144" t="s">
        <v>581</v>
      </c>
      <c r="G144" t="s">
        <v>582</v>
      </c>
      <c r="H144">
        <v>6000</v>
      </c>
      <c r="I144">
        <v>8</v>
      </c>
      <c r="J144">
        <v>48000</v>
      </c>
      <c r="K144" t="str">
        <f>IFERROR(IF(B144&lt;&gt;"", TEXT(VLOOKUP(B144, 'Expected Date'!A:B, 2, FALSE) + DATE(RIGHT(C144,2),MID(C144,4,2),LEFT(C144,2)), "dd/mm/yy"), ""), "")</f>
        <v>06/09/23</v>
      </c>
      <c r="L144" t="s">
        <v>38</v>
      </c>
      <c r="M144" t="s">
        <v>48</v>
      </c>
      <c r="N144" t="s">
        <v>318</v>
      </c>
      <c r="O144" t="s">
        <v>331</v>
      </c>
      <c r="P144">
        <v>23390733</v>
      </c>
      <c r="Q144" t="s">
        <v>581</v>
      </c>
      <c r="R144" t="s">
        <v>582</v>
      </c>
      <c r="S144">
        <v>3320</v>
      </c>
      <c r="T144">
        <v>8</v>
      </c>
      <c r="U144">
        <v>26560</v>
      </c>
      <c r="V144" t="str">
        <f t="shared" si="56"/>
        <v>Accepted</v>
      </c>
      <c r="W144">
        <f>IFERROR(VLOOKUP(N144, Payment_Terms!A:B, 2, FALSE), "Payment term not found!")</f>
        <v>30</v>
      </c>
      <c r="X144" t="str">
        <f>IFERROR(VLOOKUP(R144, Item_Category!A:B, 2, FALSE), "Uncategorized")</f>
        <v>Lime</v>
      </c>
      <c r="Y144" s="5">
        <f t="shared" si="39"/>
        <v>0</v>
      </c>
      <c r="Z144">
        <f t="shared" si="44"/>
        <v>5</v>
      </c>
      <c r="AA144">
        <f t="shared" si="45"/>
        <v>41</v>
      </c>
      <c r="AB144">
        <f t="shared" si="46"/>
        <v>1</v>
      </c>
      <c r="AC144" s="10">
        <f t="shared" si="47"/>
        <v>46</v>
      </c>
      <c r="AD144" s="5">
        <f t="shared" si="40"/>
        <v>1</v>
      </c>
      <c r="AE144" s="5">
        <f t="shared" si="41"/>
        <v>1</v>
      </c>
      <c r="AF144" s="5">
        <f t="shared" si="48"/>
        <v>0</v>
      </c>
      <c r="AG144">
        <f>IF(B144&lt;&gt;"", COUNTIFS($B$2:B144, B144), "")</f>
        <v>3</v>
      </c>
      <c r="AH144">
        <f t="shared" si="49"/>
        <v>5</v>
      </c>
      <c r="AI144" t="str">
        <f>VLOOKUP(B144, Currency!A:B, 2, FALSE)</f>
        <v>INR</v>
      </c>
      <c r="AJ144">
        <f t="shared" si="42"/>
        <v>4</v>
      </c>
      <c r="AK144">
        <f t="shared" si="50"/>
        <v>9</v>
      </c>
      <c r="AL144" t="str">
        <f t="shared" si="51"/>
        <v>September</v>
      </c>
      <c r="AM144">
        <f t="shared" si="52"/>
        <v>2023</v>
      </c>
      <c r="AN144" t="str">
        <f t="shared" si="43"/>
        <v>30HELIK ENTERPRISE</v>
      </c>
      <c r="AO144">
        <f>IF(COUNTIF($AN$2:AN144, AN144)=1, 1, 0)</f>
        <v>0</v>
      </c>
      <c r="AP144" t="str">
        <f t="shared" si="53"/>
        <v>&gt;3</v>
      </c>
      <c r="AQ144" t="str">
        <f t="shared" si="54"/>
        <v>&gt;3</v>
      </c>
      <c r="AR144" t="str">
        <f t="shared" si="55"/>
        <v>&lt;=3</v>
      </c>
    </row>
    <row r="145" spans="1:44" x14ac:dyDescent="0.3">
      <c r="A145" t="s">
        <v>33</v>
      </c>
      <c r="B145" t="s">
        <v>386</v>
      </c>
      <c r="C145" t="s">
        <v>110</v>
      </c>
      <c r="D145">
        <v>2497</v>
      </c>
      <c r="E145">
        <v>23310177</v>
      </c>
      <c r="F145" t="s">
        <v>576</v>
      </c>
      <c r="G145" t="s">
        <v>577</v>
      </c>
      <c r="H145">
        <v>97.4</v>
      </c>
      <c r="I145">
        <v>62</v>
      </c>
      <c r="J145">
        <v>6038.8</v>
      </c>
      <c r="K145" t="str">
        <f>IFERROR(IF(B145&lt;&gt;"", TEXT(VLOOKUP(B145, 'Expected Date'!A:B, 2, FALSE) + DATE(RIGHT(C145,2),MID(C145,4,2),LEFT(C145,2)), "dd/mm/yy"), ""), "")</f>
        <v>05/06/23</v>
      </c>
      <c r="L145" t="s">
        <v>38</v>
      </c>
      <c r="M145" t="s">
        <v>39</v>
      </c>
      <c r="N145" t="s">
        <v>342</v>
      </c>
      <c r="O145" t="s">
        <v>195</v>
      </c>
      <c r="P145">
        <v>23390259</v>
      </c>
      <c r="Q145" t="s">
        <v>576</v>
      </c>
      <c r="R145" t="s">
        <v>577</v>
      </c>
      <c r="S145">
        <v>97.4</v>
      </c>
      <c r="T145">
        <v>62</v>
      </c>
      <c r="U145">
        <v>6038.8</v>
      </c>
      <c r="V145" t="str">
        <f t="shared" si="56"/>
        <v>Accepted</v>
      </c>
      <c r="W145">
        <f>IFERROR(VLOOKUP(N145, Payment_Terms!A:B, 2, FALSE), "Payment term not found!")</f>
        <v>30</v>
      </c>
      <c r="X145" t="str">
        <f>IFERROR(VLOOKUP(R145, Item_Category!A:B, 2, FALSE), "Uncategorized")</f>
        <v>Corrugated sheet</v>
      </c>
      <c r="Y145" s="5">
        <f t="shared" si="39"/>
        <v>0</v>
      </c>
      <c r="Z145">
        <f t="shared" si="44"/>
        <v>5</v>
      </c>
      <c r="AA145">
        <f t="shared" si="45"/>
        <v>10</v>
      </c>
      <c r="AB145">
        <f t="shared" si="46"/>
        <v>2</v>
      </c>
      <c r="AC145" s="10">
        <f t="shared" si="47"/>
        <v>15</v>
      </c>
      <c r="AD145" s="5">
        <f t="shared" si="40"/>
        <v>1</v>
      </c>
      <c r="AE145" s="5">
        <f t="shared" si="41"/>
        <v>1</v>
      </c>
      <c r="AF145" s="5">
        <f t="shared" si="48"/>
        <v>0</v>
      </c>
      <c r="AG145">
        <f>IF(B145&lt;&gt;"", COUNTIFS($B$2:B145, B145), "")</f>
        <v>16</v>
      </c>
      <c r="AH145">
        <f t="shared" si="49"/>
        <v>5</v>
      </c>
      <c r="AI145" t="str">
        <f>VLOOKUP(B145, Currency!A:B, 2, FALSE)</f>
        <v>INR</v>
      </c>
      <c r="AJ145">
        <f t="shared" si="42"/>
        <v>5</v>
      </c>
      <c r="AK145">
        <f t="shared" si="50"/>
        <v>5</v>
      </c>
      <c r="AL145" t="str">
        <f t="shared" si="51"/>
        <v>May</v>
      </c>
      <c r="AM145">
        <f t="shared" si="52"/>
        <v>2023</v>
      </c>
      <c r="AN145" t="str">
        <f t="shared" si="43"/>
        <v>30Shree Shyam Enterprises</v>
      </c>
      <c r="AO145">
        <f>IF(COUNTIF($AN$2:AN145, AN145)=1, 1, 0)</f>
        <v>0</v>
      </c>
      <c r="AP145" t="str">
        <f t="shared" si="53"/>
        <v>&gt;3</v>
      </c>
      <c r="AQ145" t="str">
        <f t="shared" si="54"/>
        <v>&gt;3</v>
      </c>
      <c r="AR145" t="str">
        <f t="shared" si="55"/>
        <v>&lt;=3</v>
      </c>
    </row>
    <row r="146" spans="1:44" x14ac:dyDescent="0.3">
      <c r="A146" t="s">
        <v>33</v>
      </c>
      <c r="B146" t="s">
        <v>513</v>
      </c>
      <c r="C146" t="s">
        <v>354</v>
      </c>
      <c r="D146">
        <v>2797</v>
      </c>
      <c r="E146">
        <v>23310216</v>
      </c>
      <c r="F146" t="s">
        <v>563</v>
      </c>
      <c r="G146" t="s">
        <v>515</v>
      </c>
      <c r="H146">
        <v>2500</v>
      </c>
      <c r="I146">
        <v>26</v>
      </c>
      <c r="J146">
        <v>65000</v>
      </c>
      <c r="K146" t="str">
        <f>IFERROR(IF(B146&lt;&gt;"", TEXT(VLOOKUP(B146, 'Expected Date'!A:B, 2, FALSE) + DATE(RIGHT(C146,2),MID(C146,4,2),LEFT(C146,2)), "dd/mm/yy"), ""), "")</f>
        <v>05/07/23</v>
      </c>
      <c r="L146" t="s">
        <v>38</v>
      </c>
      <c r="M146" t="s">
        <v>48</v>
      </c>
      <c r="N146" t="s">
        <v>342</v>
      </c>
      <c r="O146" t="s">
        <v>227</v>
      </c>
      <c r="P146">
        <v>23390356</v>
      </c>
      <c r="Q146" t="s">
        <v>563</v>
      </c>
      <c r="R146" t="s">
        <v>564</v>
      </c>
      <c r="S146">
        <v>1000</v>
      </c>
      <c r="T146">
        <v>26</v>
      </c>
      <c r="U146">
        <v>26000</v>
      </c>
      <c r="V146" t="str">
        <f t="shared" si="56"/>
        <v>Accepted</v>
      </c>
      <c r="W146">
        <f>IFERROR(VLOOKUP(N146, Payment_Terms!A:B, 2, FALSE), "Payment term not found!")</f>
        <v>30</v>
      </c>
      <c r="X146" t="str">
        <f>IFERROR(VLOOKUP(R146, Item_Category!A:B, 2, FALSE), "Uncategorized")</f>
        <v xml:space="preserve">Caustic Soda </v>
      </c>
      <c r="Y146" s="5">
        <f t="shared" si="39"/>
        <v>0</v>
      </c>
      <c r="Z146">
        <f t="shared" si="44"/>
        <v>5</v>
      </c>
      <c r="AA146">
        <f t="shared" si="45"/>
        <v>20</v>
      </c>
      <c r="AB146">
        <f t="shared" si="46"/>
        <v>1</v>
      </c>
      <c r="AC146" s="10">
        <f t="shared" si="47"/>
        <v>22</v>
      </c>
      <c r="AD146" s="5">
        <f t="shared" si="40"/>
        <v>1</v>
      </c>
      <c r="AE146" s="5">
        <f t="shared" si="41"/>
        <v>1</v>
      </c>
      <c r="AF146" s="5">
        <f t="shared" si="48"/>
        <v>0</v>
      </c>
      <c r="AG146">
        <f>IF(B146&lt;&gt;"", COUNTIFS($B$2:B146, B146), "")</f>
        <v>13</v>
      </c>
      <c r="AH146">
        <f t="shared" si="49"/>
        <v>5</v>
      </c>
      <c r="AI146" t="str">
        <f>VLOOKUP(B146, Currency!A:B, 2, FALSE)</f>
        <v>INR</v>
      </c>
      <c r="AJ146">
        <f t="shared" si="42"/>
        <v>4</v>
      </c>
      <c r="AK146">
        <f t="shared" si="50"/>
        <v>7</v>
      </c>
      <c r="AL146" t="str">
        <f t="shared" si="51"/>
        <v>July</v>
      </c>
      <c r="AM146">
        <f t="shared" si="52"/>
        <v>2023</v>
      </c>
      <c r="AN146" t="str">
        <f t="shared" si="43"/>
        <v>30J.K.Marketing</v>
      </c>
      <c r="AO146">
        <f>IF(COUNTIF($AN$2:AN146, AN146)=1, 1, 0)</f>
        <v>0</v>
      </c>
      <c r="AP146" t="str">
        <f t="shared" si="53"/>
        <v>&gt;3</v>
      </c>
      <c r="AQ146" t="str">
        <f t="shared" si="54"/>
        <v>&gt;3</v>
      </c>
      <c r="AR146" t="str">
        <f t="shared" si="55"/>
        <v>&lt;=3</v>
      </c>
    </row>
    <row r="147" spans="1:44" x14ac:dyDescent="0.3">
      <c r="A147" t="s">
        <v>33</v>
      </c>
      <c r="B147" t="s">
        <v>366</v>
      </c>
      <c r="C147" t="s">
        <v>439</v>
      </c>
      <c r="D147">
        <v>1489</v>
      </c>
      <c r="E147">
        <v>23310037</v>
      </c>
      <c r="F147" t="s">
        <v>569</v>
      </c>
      <c r="G147" t="s">
        <v>570</v>
      </c>
      <c r="H147">
        <v>70</v>
      </c>
      <c r="I147">
        <v>10857.14</v>
      </c>
      <c r="J147">
        <v>759999.8</v>
      </c>
      <c r="K147" t="str">
        <f>IFERROR(IF(B147&lt;&gt;"", TEXT(VLOOKUP(B147, 'Expected Date'!A:B, 2, FALSE) + DATE(RIGHT(C147,2),MID(C147,4,2),LEFT(C147,2)), "dd/mm/yy"), ""), "")</f>
        <v>22/04/23</v>
      </c>
      <c r="L147" t="s">
        <v>38</v>
      </c>
      <c r="M147" t="s">
        <v>48</v>
      </c>
      <c r="N147" t="s">
        <v>574</v>
      </c>
      <c r="O147" t="s">
        <v>398</v>
      </c>
      <c r="P147">
        <v>23390093</v>
      </c>
      <c r="Q147" t="s">
        <v>569</v>
      </c>
      <c r="R147" t="s">
        <v>570</v>
      </c>
      <c r="S147">
        <v>23.9</v>
      </c>
      <c r="T147">
        <v>10857.14</v>
      </c>
      <c r="U147">
        <v>259485.65</v>
      </c>
      <c r="V147" t="str">
        <f t="shared" si="56"/>
        <v>Accepted</v>
      </c>
      <c r="W147">
        <f>IFERROR(VLOOKUP(N147, Payment_Terms!A:B, 2, FALSE), "Payment term not found!")</f>
        <v>0</v>
      </c>
      <c r="X147" t="str">
        <f>IFERROR(VLOOKUP(R147, Item_Category!A:B, 2, FALSE), "Uncategorized")</f>
        <v>Coal materials</v>
      </c>
      <c r="Y147" s="5">
        <f t="shared" si="39"/>
        <v>0</v>
      </c>
      <c r="Z147">
        <f t="shared" si="44"/>
        <v>5</v>
      </c>
      <c r="AA147">
        <f t="shared" si="45"/>
        <v>9</v>
      </c>
      <c r="AB147">
        <f t="shared" si="46"/>
        <v>2</v>
      </c>
      <c r="AC147" s="10">
        <f t="shared" si="47"/>
        <v>11</v>
      </c>
      <c r="AD147" s="5">
        <f t="shared" si="40"/>
        <v>1</v>
      </c>
      <c r="AE147" s="5">
        <f t="shared" si="41"/>
        <v>1</v>
      </c>
      <c r="AF147" s="5">
        <f t="shared" si="48"/>
        <v>0</v>
      </c>
      <c r="AG147">
        <f>IF(B147&lt;&gt;"", COUNTIFS($B$2:B147, B147), "")</f>
        <v>21</v>
      </c>
      <c r="AH147">
        <f t="shared" si="49"/>
        <v>5</v>
      </c>
      <c r="AI147" t="str">
        <f>VLOOKUP(B147, Currency!A:B, 2, FALSE)</f>
        <v>INR</v>
      </c>
      <c r="AJ147">
        <f t="shared" si="42"/>
        <v>5</v>
      </c>
      <c r="AK147">
        <f t="shared" si="50"/>
        <v>4</v>
      </c>
      <c r="AL147" t="str">
        <f t="shared" si="51"/>
        <v>April</v>
      </c>
      <c r="AM147">
        <f t="shared" si="52"/>
        <v>2023</v>
      </c>
      <c r="AN147" t="str">
        <f t="shared" si="43"/>
        <v>0SKYWIN ENTERPRISE</v>
      </c>
      <c r="AO147">
        <f>IF(COUNTIF($AN$2:AN147, AN147)=1, 1, 0)</f>
        <v>0</v>
      </c>
      <c r="AP147" t="str">
        <f t="shared" si="53"/>
        <v>&gt;3</v>
      </c>
      <c r="AQ147" t="str">
        <f t="shared" si="54"/>
        <v>&gt;3</v>
      </c>
      <c r="AR147" t="str">
        <f t="shared" si="55"/>
        <v>&lt;=3</v>
      </c>
    </row>
    <row r="148" spans="1:44" x14ac:dyDescent="0.3">
      <c r="A148" t="s">
        <v>33</v>
      </c>
      <c r="B148" t="s">
        <v>366</v>
      </c>
      <c r="C148" t="s">
        <v>203</v>
      </c>
      <c r="D148">
        <v>3212</v>
      </c>
      <c r="E148">
        <v>23310240</v>
      </c>
      <c r="F148" t="s">
        <v>569</v>
      </c>
      <c r="G148" t="s">
        <v>570</v>
      </c>
      <c r="H148">
        <v>100</v>
      </c>
      <c r="I148">
        <v>9800</v>
      </c>
      <c r="J148">
        <v>980000</v>
      </c>
      <c r="K148" t="str">
        <f>IFERROR(IF(B148&lt;&gt;"", TEXT(VLOOKUP(B148, 'Expected Date'!A:B, 2, FALSE) + DATE(RIGHT(C148,2),MID(C148,4,2),LEFT(C148,2)), "dd/mm/yy"), ""), "")</f>
        <v>18/07/23</v>
      </c>
      <c r="L148" t="s">
        <v>38</v>
      </c>
      <c r="M148" t="s">
        <v>48</v>
      </c>
      <c r="N148" t="s">
        <v>574</v>
      </c>
      <c r="O148" t="s">
        <v>116</v>
      </c>
      <c r="P148">
        <v>23390341</v>
      </c>
      <c r="Q148" t="s">
        <v>569</v>
      </c>
      <c r="R148" t="s">
        <v>570</v>
      </c>
      <c r="S148">
        <v>30.22</v>
      </c>
      <c r="T148">
        <v>9800</v>
      </c>
      <c r="U148">
        <v>296156</v>
      </c>
      <c r="V148" t="str">
        <f t="shared" si="56"/>
        <v>Accepted</v>
      </c>
      <c r="W148">
        <f>IFERROR(VLOOKUP(N148, Payment_Terms!A:B, 2, FALSE), "Payment term not found!")</f>
        <v>0</v>
      </c>
      <c r="X148" t="str">
        <f>IFERROR(VLOOKUP(R148, Item_Category!A:B, 2, FALSE), "Uncategorized")</f>
        <v>Coal materials</v>
      </c>
      <c r="Y148" s="5">
        <f t="shared" si="39"/>
        <v>0</v>
      </c>
      <c r="Z148">
        <f t="shared" si="44"/>
        <v>5</v>
      </c>
      <c r="AA148">
        <f t="shared" si="45"/>
        <v>0</v>
      </c>
      <c r="AB148">
        <f t="shared" si="46"/>
        <v>5</v>
      </c>
      <c r="AC148" s="10">
        <f t="shared" si="47"/>
        <v>2</v>
      </c>
      <c r="AD148" s="5">
        <f t="shared" si="40"/>
        <v>1</v>
      </c>
      <c r="AE148" s="5">
        <f t="shared" si="41"/>
        <v>1</v>
      </c>
      <c r="AF148" s="5">
        <f t="shared" si="48"/>
        <v>0</v>
      </c>
      <c r="AG148">
        <f>IF(B148&lt;&gt;"", COUNTIFS($B$2:B148, B148), "")</f>
        <v>22</v>
      </c>
      <c r="AH148">
        <f t="shared" si="49"/>
        <v>5</v>
      </c>
      <c r="AI148" t="str">
        <f>VLOOKUP(B148, Currency!A:B, 2, FALSE)</f>
        <v>INR</v>
      </c>
      <c r="AJ148">
        <f t="shared" si="42"/>
        <v>5</v>
      </c>
      <c r="AK148">
        <f t="shared" si="50"/>
        <v>7</v>
      </c>
      <c r="AL148" t="str">
        <f t="shared" si="51"/>
        <v>July</v>
      </c>
      <c r="AM148">
        <f t="shared" si="52"/>
        <v>2023</v>
      </c>
      <c r="AN148" t="str">
        <f t="shared" si="43"/>
        <v>0SKYWIN ENTERPRISE</v>
      </c>
      <c r="AO148">
        <f>IF(COUNTIF($AN$2:AN148, AN148)=1, 1, 0)</f>
        <v>0</v>
      </c>
      <c r="AP148" t="str">
        <f t="shared" si="53"/>
        <v>&gt;3</v>
      </c>
      <c r="AQ148" t="str">
        <f t="shared" si="54"/>
        <v>&gt;3</v>
      </c>
      <c r="AR148" t="str">
        <f t="shared" si="55"/>
        <v>&gt;3</v>
      </c>
    </row>
    <row r="149" spans="1:44" x14ac:dyDescent="0.3">
      <c r="A149" t="s">
        <v>111</v>
      </c>
      <c r="B149" t="s">
        <v>296</v>
      </c>
      <c r="C149" t="s">
        <v>407</v>
      </c>
      <c r="D149">
        <v>3320</v>
      </c>
      <c r="E149">
        <v>23310261</v>
      </c>
      <c r="F149" t="s">
        <v>591</v>
      </c>
      <c r="G149" t="s">
        <v>311</v>
      </c>
      <c r="H149">
        <v>1500</v>
      </c>
      <c r="I149">
        <v>413</v>
      </c>
      <c r="J149">
        <v>619500</v>
      </c>
      <c r="K149" t="str">
        <f>IFERROR(IF(B149&lt;&gt;"", TEXT(VLOOKUP(B149, 'Expected Date'!A:B, 2, FALSE) + DATE(RIGHT(C149,2),MID(C149,4,2),LEFT(C149,2)), "dd/mm/yy"), ""), "")</f>
        <v>10/08/23</v>
      </c>
      <c r="L149" t="s">
        <v>38</v>
      </c>
      <c r="M149" t="s">
        <v>48</v>
      </c>
      <c r="N149" t="s">
        <v>470</v>
      </c>
      <c r="O149" t="s">
        <v>57</v>
      </c>
      <c r="P149">
        <v>23390371</v>
      </c>
      <c r="Q149" t="s">
        <v>591</v>
      </c>
      <c r="R149" t="s">
        <v>376</v>
      </c>
      <c r="S149">
        <v>1500</v>
      </c>
      <c r="T149">
        <v>413</v>
      </c>
      <c r="U149">
        <v>619500</v>
      </c>
      <c r="V149" t="str">
        <f t="shared" si="56"/>
        <v>Accepted</v>
      </c>
      <c r="W149">
        <f>IFERROR(VLOOKUP(N149, Payment_Terms!A:B, 2, FALSE), "Payment term not found!")</f>
        <v>30</v>
      </c>
      <c r="X149" t="str">
        <f>IFERROR(VLOOKUP(R149, Item_Category!A:B, 2, FALSE), "Uncategorized")</f>
        <v>CROSSCARMELLOSE SODIUM</v>
      </c>
      <c r="Y149" s="5">
        <f t="shared" si="39"/>
        <v>0</v>
      </c>
      <c r="Z149">
        <f t="shared" si="44"/>
        <v>5</v>
      </c>
      <c r="AA149">
        <f t="shared" si="45"/>
        <v>-7</v>
      </c>
      <c r="AB149">
        <f t="shared" si="46"/>
        <v>5</v>
      </c>
      <c r="AC149" s="10">
        <f t="shared" si="47"/>
        <v>8</v>
      </c>
      <c r="AD149" s="5">
        <f t="shared" si="40"/>
        <v>1</v>
      </c>
      <c r="AE149" s="5">
        <f t="shared" si="41"/>
        <v>1</v>
      </c>
      <c r="AF149" s="5">
        <f t="shared" si="48"/>
        <v>0</v>
      </c>
      <c r="AG149">
        <f>IF(B149&lt;&gt;"", COUNTIFS($B$2:B149, B149), "")</f>
        <v>5</v>
      </c>
      <c r="AH149">
        <f t="shared" si="49"/>
        <v>5</v>
      </c>
      <c r="AI149" t="str">
        <f>VLOOKUP(B149, Currency!A:B, 2, FALSE)</f>
        <v>INR</v>
      </c>
      <c r="AJ149">
        <f t="shared" si="42"/>
        <v>5</v>
      </c>
      <c r="AK149">
        <f t="shared" si="50"/>
        <v>7</v>
      </c>
      <c r="AL149" t="str">
        <f t="shared" si="51"/>
        <v>July</v>
      </c>
      <c r="AM149">
        <f t="shared" si="52"/>
        <v>2023</v>
      </c>
      <c r="AN149" t="str">
        <f t="shared" si="43"/>
        <v>30Ascot Pharmachem Pvt Ltd</v>
      </c>
      <c r="AO149">
        <f>IF(COUNTIF($AN$2:AN149, AN149)=1, 1, 0)</f>
        <v>0</v>
      </c>
      <c r="AP149" t="str">
        <f t="shared" si="53"/>
        <v>&gt;3</v>
      </c>
      <c r="AQ149" t="str">
        <f t="shared" si="54"/>
        <v>&gt;3</v>
      </c>
      <c r="AR149" t="str">
        <f t="shared" si="55"/>
        <v>&gt;3</v>
      </c>
    </row>
    <row r="150" spans="1:44" x14ac:dyDescent="0.3">
      <c r="A150" t="s">
        <v>33</v>
      </c>
      <c r="B150" t="s">
        <v>366</v>
      </c>
      <c r="C150" t="s">
        <v>58</v>
      </c>
      <c r="D150">
        <v>3581</v>
      </c>
      <c r="E150">
        <v>23310287</v>
      </c>
      <c r="F150" t="s">
        <v>569</v>
      </c>
      <c r="G150" t="s">
        <v>570</v>
      </c>
      <c r="H150">
        <v>100</v>
      </c>
      <c r="I150">
        <v>9800</v>
      </c>
      <c r="J150">
        <v>980000</v>
      </c>
      <c r="K150" t="str">
        <f>IFERROR(IF(B150&lt;&gt;"", TEXT(VLOOKUP(B150, 'Expected Date'!A:B, 2, FALSE) + DATE(RIGHT(C150,2),MID(C150,4,2),LEFT(C150,2)), "dd/mm/yy"), ""), "")</f>
        <v>03/08/23</v>
      </c>
      <c r="L150" t="s">
        <v>38</v>
      </c>
      <c r="M150" t="s">
        <v>48</v>
      </c>
      <c r="N150" t="s">
        <v>532</v>
      </c>
      <c r="O150" t="s">
        <v>59</v>
      </c>
      <c r="P150">
        <v>23390402</v>
      </c>
      <c r="Q150" t="s">
        <v>569</v>
      </c>
      <c r="R150" t="s">
        <v>570</v>
      </c>
      <c r="S150">
        <v>24.52</v>
      </c>
      <c r="T150">
        <v>9800</v>
      </c>
      <c r="U150">
        <v>240296</v>
      </c>
      <c r="V150" t="str">
        <f t="shared" si="56"/>
        <v>Accepted</v>
      </c>
      <c r="W150">
        <f>IFERROR(VLOOKUP(N150, Payment_Terms!A:B, 2, FALSE), "Payment term not found!")</f>
        <v>15</v>
      </c>
      <c r="X150" t="str">
        <f>IFERROR(VLOOKUP(R150, Item_Category!A:B, 2, FALSE), "Uncategorized")</f>
        <v>Coal materials</v>
      </c>
      <c r="Y150" s="5">
        <f>IFERROR(IF(AND(E150&lt;&gt;"", G150&lt;&gt;""), MAX(0, (H150-SUMIFS(S:S, E:E, E150, G:G, G150))/H150), ""), (H150-S150)/H150)</f>
        <v>0</v>
      </c>
      <c r="Z150">
        <f t="shared" si="44"/>
        <v>5</v>
      </c>
      <c r="AA150">
        <f t="shared" si="45"/>
        <v>2</v>
      </c>
      <c r="AB150">
        <f t="shared" si="46"/>
        <v>5</v>
      </c>
      <c r="AC150" s="10">
        <f t="shared" si="47"/>
        <v>4</v>
      </c>
      <c r="AD150" s="5">
        <f t="shared" si="40"/>
        <v>1</v>
      </c>
      <c r="AE150" s="5">
        <f t="shared" si="41"/>
        <v>1</v>
      </c>
      <c r="AF150" s="5">
        <f t="shared" si="48"/>
        <v>0</v>
      </c>
      <c r="AG150">
        <f>IF(B150&lt;&gt;"", COUNTIFS($B$2:B150, B150), "")</f>
        <v>23</v>
      </c>
      <c r="AH150">
        <f t="shared" si="49"/>
        <v>5</v>
      </c>
      <c r="AI150" t="str">
        <f>VLOOKUP(B150, Currency!A:B, 2, FALSE)</f>
        <v>INR</v>
      </c>
      <c r="AJ150">
        <f t="shared" si="42"/>
        <v>5</v>
      </c>
      <c r="AK150">
        <f t="shared" si="50"/>
        <v>8</v>
      </c>
      <c r="AL150" t="str">
        <f t="shared" si="51"/>
        <v>August</v>
      </c>
      <c r="AM150">
        <f t="shared" si="52"/>
        <v>2023</v>
      </c>
      <c r="AN150" t="str">
        <f t="shared" si="43"/>
        <v>15SKYWIN ENTERPRISE</v>
      </c>
      <c r="AO150">
        <f>IF(COUNTIF($AN$2:AN150, AN150)=1, 1, 0)</f>
        <v>0</v>
      </c>
      <c r="AP150" t="str">
        <f t="shared" si="53"/>
        <v>&gt;3</v>
      </c>
      <c r="AQ150" t="str">
        <f t="shared" si="54"/>
        <v>&gt;3</v>
      </c>
      <c r="AR150" t="str">
        <f t="shared" si="55"/>
        <v>&gt;3</v>
      </c>
    </row>
    <row r="151" spans="1:44" x14ac:dyDescent="0.3">
      <c r="A151" t="s">
        <v>33</v>
      </c>
      <c r="B151" t="s">
        <v>366</v>
      </c>
      <c r="C151" t="s">
        <v>58</v>
      </c>
      <c r="D151">
        <v>3581</v>
      </c>
      <c r="E151">
        <v>23310287</v>
      </c>
      <c r="F151" t="s">
        <v>569</v>
      </c>
      <c r="G151" t="s">
        <v>570</v>
      </c>
      <c r="H151">
        <v>100</v>
      </c>
      <c r="I151">
        <v>9800</v>
      </c>
      <c r="J151">
        <v>980000</v>
      </c>
      <c r="K151" t="str">
        <f>IFERROR(IF(B151&lt;&gt;"", TEXT(VLOOKUP(B151, 'Expected Date'!A:B, 2, FALSE) + DATE(RIGHT(C151,2),MID(C151,4,2),LEFT(C151,2)), "dd/mm/yy"), ""), "")</f>
        <v>03/08/23</v>
      </c>
      <c r="L151" t="s">
        <v>38</v>
      </c>
      <c r="M151" t="s">
        <v>48</v>
      </c>
      <c r="N151" t="s">
        <v>532</v>
      </c>
      <c r="O151" t="s">
        <v>202</v>
      </c>
      <c r="P151">
        <v>23390405</v>
      </c>
      <c r="Q151" t="s">
        <v>569</v>
      </c>
      <c r="R151" t="s">
        <v>570</v>
      </c>
      <c r="S151">
        <v>28.12</v>
      </c>
      <c r="T151">
        <v>9800</v>
      </c>
      <c r="U151">
        <v>275576</v>
      </c>
      <c r="V151" t="str">
        <f t="shared" si="56"/>
        <v>Accepted</v>
      </c>
      <c r="W151">
        <f>IFERROR(VLOOKUP(N151, Payment_Terms!A:B, 2, FALSE), "Payment term not found!")</f>
        <v>15</v>
      </c>
      <c r="X151" t="str">
        <f>IFERROR(VLOOKUP(R151, Item_Category!A:B, 2, FALSE), "Uncategorized")</f>
        <v>Coal materials</v>
      </c>
      <c r="Y151" s="5">
        <f t="shared" si="39"/>
        <v>0</v>
      </c>
      <c r="Z151">
        <f t="shared" si="44"/>
        <v>5</v>
      </c>
      <c r="AA151">
        <f t="shared" si="45"/>
        <v>6</v>
      </c>
      <c r="AB151">
        <f t="shared" si="46"/>
        <v>3</v>
      </c>
      <c r="AC151" s="10">
        <f t="shared" si="47"/>
        <v>8</v>
      </c>
      <c r="AD151" s="5">
        <f t="shared" si="40"/>
        <v>1</v>
      </c>
      <c r="AE151" s="5">
        <f t="shared" si="41"/>
        <v>1</v>
      </c>
      <c r="AF151" s="5">
        <f t="shared" si="48"/>
        <v>0</v>
      </c>
      <c r="AG151">
        <f>IF(B151&lt;&gt;"", COUNTIFS($B$2:B151, B151), "")</f>
        <v>24</v>
      </c>
      <c r="AH151">
        <f t="shared" si="49"/>
        <v>5</v>
      </c>
      <c r="AI151" t="str">
        <f>VLOOKUP(B151, Currency!A:B, 2, FALSE)</f>
        <v>INR</v>
      </c>
      <c r="AJ151">
        <f t="shared" si="42"/>
        <v>5</v>
      </c>
      <c r="AK151">
        <f t="shared" si="50"/>
        <v>8</v>
      </c>
      <c r="AL151" t="str">
        <f t="shared" si="51"/>
        <v>August</v>
      </c>
      <c r="AM151">
        <f t="shared" si="52"/>
        <v>2023</v>
      </c>
      <c r="AN151" t="str">
        <f t="shared" si="43"/>
        <v>15SKYWIN ENTERPRISE</v>
      </c>
      <c r="AO151">
        <f>IF(COUNTIF($AN$2:AN151, AN151)=1, 1, 0)</f>
        <v>0</v>
      </c>
      <c r="AP151" t="str">
        <f t="shared" si="53"/>
        <v>&gt;3</v>
      </c>
      <c r="AQ151" t="str">
        <f t="shared" si="54"/>
        <v>&gt;3</v>
      </c>
      <c r="AR151" t="str">
        <f t="shared" si="55"/>
        <v>&lt;=3</v>
      </c>
    </row>
    <row r="152" spans="1:44" x14ac:dyDescent="0.3">
      <c r="A152" t="s">
        <v>33</v>
      </c>
      <c r="B152" t="s">
        <v>386</v>
      </c>
      <c r="C152" t="s">
        <v>562</v>
      </c>
      <c r="D152">
        <v>1638</v>
      </c>
      <c r="E152">
        <v>23310060</v>
      </c>
      <c r="F152" t="s">
        <v>554</v>
      </c>
      <c r="G152" t="s">
        <v>555</v>
      </c>
      <c r="H152">
        <v>8000</v>
      </c>
      <c r="I152">
        <v>19.5</v>
      </c>
      <c r="J152">
        <v>156000</v>
      </c>
      <c r="K152" t="str">
        <f>IFERROR(IF(B152&lt;&gt;"", TEXT(VLOOKUP(B152, 'Expected Date'!A:B, 2, FALSE) + DATE(RIGHT(C152,2),MID(C152,4,2),LEFT(C152,2)), "dd/mm/yy"), ""), "")</f>
        <v>05/05/23</v>
      </c>
      <c r="L152" t="s">
        <v>38</v>
      </c>
      <c r="M152" t="s">
        <v>48</v>
      </c>
      <c r="N152" t="s">
        <v>556</v>
      </c>
      <c r="O152" t="s">
        <v>262</v>
      </c>
      <c r="P152">
        <v>23390094</v>
      </c>
      <c r="Q152" t="s">
        <v>554</v>
      </c>
      <c r="R152" t="s">
        <v>555</v>
      </c>
      <c r="S152">
        <v>2530</v>
      </c>
      <c r="T152">
        <v>19.5</v>
      </c>
      <c r="U152">
        <v>49335</v>
      </c>
      <c r="V152" t="str">
        <f t="shared" si="56"/>
        <v>Accepted</v>
      </c>
      <c r="W152">
        <f>IFERROR(VLOOKUP(N152, Payment_Terms!A:B, 2, FALSE), "Payment term not found!")</f>
        <v>30</v>
      </c>
      <c r="X152" t="str">
        <f>IFERROR(VLOOKUP(R152, Item_Category!A:B, 2, FALSE), "Uncategorized")</f>
        <v>HDPE bag acecel</v>
      </c>
      <c r="Y152" s="5">
        <f t="shared" si="39"/>
        <v>0</v>
      </c>
      <c r="Z152">
        <f t="shared" si="44"/>
        <v>5</v>
      </c>
      <c r="AA152">
        <f t="shared" si="45"/>
        <v>-3</v>
      </c>
      <c r="AB152">
        <f t="shared" si="46"/>
        <v>5</v>
      </c>
      <c r="AC152" s="10">
        <f t="shared" si="47"/>
        <v>2</v>
      </c>
      <c r="AD152" s="5">
        <f t="shared" si="40"/>
        <v>1</v>
      </c>
      <c r="AE152" s="5">
        <f t="shared" si="41"/>
        <v>1</v>
      </c>
      <c r="AF152" s="5">
        <f t="shared" si="48"/>
        <v>0</v>
      </c>
      <c r="AG152">
        <f>IF(B152&lt;&gt;"", COUNTIFS($B$2:B152, B152), "")</f>
        <v>17</v>
      </c>
      <c r="AH152">
        <f t="shared" si="49"/>
        <v>5</v>
      </c>
      <c r="AI152" t="str">
        <f>VLOOKUP(B152, Currency!A:B, 2, FALSE)</f>
        <v>INR</v>
      </c>
      <c r="AJ152">
        <f t="shared" si="42"/>
        <v>5</v>
      </c>
      <c r="AK152">
        <f t="shared" si="50"/>
        <v>4</v>
      </c>
      <c r="AL152" t="str">
        <f t="shared" si="51"/>
        <v>April</v>
      </c>
      <c r="AM152">
        <f t="shared" si="52"/>
        <v>2023</v>
      </c>
      <c r="AN152" t="str">
        <f t="shared" si="43"/>
        <v>30Shree Shyam Enterprises</v>
      </c>
      <c r="AO152">
        <f>IF(COUNTIF($AN$2:AN152, AN152)=1, 1, 0)</f>
        <v>0</v>
      </c>
      <c r="AP152" t="str">
        <f t="shared" si="53"/>
        <v>&gt;3</v>
      </c>
      <c r="AQ152" t="str">
        <f t="shared" si="54"/>
        <v>&gt;3</v>
      </c>
      <c r="AR152" t="str">
        <f t="shared" si="55"/>
        <v>&gt;3</v>
      </c>
    </row>
    <row r="153" spans="1:44" x14ac:dyDescent="0.3">
      <c r="A153" t="s">
        <v>33</v>
      </c>
      <c r="B153" t="s">
        <v>386</v>
      </c>
      <c r="C153" t="s">
        <v>562</v>
      </c>
      <c r="D153">
        <v>1638</v>
      </c>
      <c r="E153">
        <v>23310060</v>
      </c>
      <c r="F153" t="s">
        <v>554</v>
      </c>
      <c r="G153" t="s">
        <v>555</v>
      </c>
      <c r="H153">
        <v>8000</v>
      </c>
      <c r="I153">
        <v>19.5</v>
      </c>
      <c r="J153">
        <v>156000</v>
      </c>
      <c r="K153" t="str">
        <f>IFERROR(IF(B153&lt;&gt;"", TEXT(VLOOKUP(B153, 'Expected Date'!A:B, 2, FALSE) + DATE(RIGHT(C153,2),MID(C153,4,2),LEFT(C153,2)), "dd/mm/yy"), ""), "")</f>
        <v>05/05/23</v>
      </c>
      <c r="L153" t="s">
        <v>38</v>
      </c>
      <c r="M153" t="s">
        <v>48</v>
      </c>
      <c r="N153" t="s">
        <v>556</v>
      </c>
      <c r="O153" t="s">
        <v>222</v>
      </c>
      <c r="P153">
        <v>23390169</v>
      </c>
      <c r="Q153" t="s">
        <v>554</v>
      </c>
      <c r="R153" t="s">
        <v>555</v>
      </c>
      <c r="S153">
        <v>5637</v>
      </c>
      <c r="T153">
        <v>19.5</v>
      </c>
      <c r="U153">
        <v>109921.5</v>
      </c>
      <c r="V153" t="str">
        <f t="shared" si="56"/>
        <v>Accepted</v>
      </c>
      <c r="W153">
        <f>IFERROR(VLOOKUP(N153, Payment_Terms!A:B, 2, FALSE), "Payment term not found!")</f>
        <v>30</v>
      </c>
      <c r="X153" t="str">
        <f>IFERROR(VLOOKUP(R153, Item_Category!A:B, 2, FALSE), "Uncategorized")</f>
        <v>HDPE bag acecel</v>
      </c>
      <c r="Y153" s="5">
        <f t="shared" si="39"/>
        <v>0</v>
      </c>
      <c r="Z153">
        <f t="shared" si="44"/>
        <v>5</v>
      </c>
      <c r="AA153">
        <f t="shared" si="45"/>
        <v>14</v>
      </c>
      <c r="AB153">
        <f t="shared" si="46"/>
        <v>1</v>
      </c>
      <c r="AC153" s="10">
        <f t="shared" si="47"/>
        <v>19</v>
      </c>
      <c r="AD153" s="5">
        <f t="shared" si="40"/>
        <v>1</v>
      </c>
      <c r="AE153" s="5">
        <f t="shared" si="41"/>
        <v>1</v>
      </c>
      <c r="AF153" s="5">
        <f t="shared" si="48"/>
        <v>0</v>
      </c>
      <c r="AG153">
        <f>IF(B153&lt;&gt;"", COUNTIFS($B$2:B153, B153), "")</f>
        <v>18</v>
      </c>
      <c r="AH153">
        <f t="shared" si="49"/>
        <v>5</v>
      </c>
      <c r="AI153" t="str">
        <f>VLOOKUP(B153, Currency!A:B, 2, FALSE)</f>
        <v>INR</v>
      </c>
      <c r="AJ153">
        <f t="shared" si="42"/>
        <v>4</v>
      </c>
      <c r="AK153">
        <f t="shared" si="50"/>
        <v>4</v>
      </c>
      <c r="AL153" t="str">
        <f t="shared" si="51"/>
        <v>April</v>
      </c>
      <c r="AM153">
        <f t="shared" si="52"/>
        <v>2023</v>
      </c>
      <c r="AN153" t="str">
        <f t="shared" si="43"/>
        <v>30Shree Shyam Enterprises</v>
      </c>
      <c r="AO153">
        <f>IF(COUNTIF($AN$2:AN153, AN153)=1, 1, 0)</f>
        <v>0</v>
      </c>
      <c r="AP153" t="str">
        <f t="shared" si="53"/>
        <v>&gt;3</v>
      </c>
      <c r="AQ153" t="str">
        <f t="shared" si="54"/>
        <v>&gt;3</v>
      </c>
      <c r="AR153" t="str">
        <f t="shared" si="55"/>
        <v>&lt;=3</v>
      </c>
    </row>
    <row r="154" spans="1:44" x14ac:dyDescent="0.3">
      <c r="A154" t="str">
        <f>A90</f>
        <v>Woodpulp</v>
      </c>
      <c r="B154" t="s">
        <v>140</v>
      </c>
      <c r="C154" t="s">
        <v>108</v>
      </c>
      <c r="D154">
        <v>1806</v>
      </c>
      <c r="E154">
        <v>23320012</v>
      </c>
      <c r="F154" t="s">
        <v>571</v>
      </c>
      <c r="G154" t="s">
        <v>360</v>
      </c>
      <c r="H154">
        <v>100</v>
      </c>
      <c r="I154">
        <v>830</v>
      </c>
      <c r="J154">
        <v>6710550</v>
      </c>
      <c r="K154" t="str">
        <f>IFERROR(IF(B154&lt;&gt;"", TEXT(VLOOKUP(B154, 'Expected Date'!A:B, 2, FALSE) + DATE(RIGHT(C154,2),MID(C154,4,2),LEFT(C154,2)), "dd/mm/yy"), ""), "")</f>
        <v>24/06/23</v>
      </c>
      <c r="L154" t="s">
        <v>38</v>
      </c>
      <c r="M154" t="str">
        <f>M84</f>
        <v>MT</v>
      </c>
      <c r="N154" t="s">
        <v>144</v>
      </c>
      <c r="O154" t="s">
        <v>415</v>
      </c>
      <c r="P154">
        <v>23390173</v>
      </c>
      <c r="Q154" t="s">
        <v>571</v>
      </c>
      <c r="R154" t="s">
        <v>143</v>
      </c>
      <c r="S154">
        <v>98.537999999999997</v>
      </c>
      <c r="T154">
        <v>830</v>
      </c>
      <c r="U154">
        <v>6612441.7599999998</v>
      </c>
      <c r="V154" t="str">
        <f t="shared" si="56"/>
        <v>Accepted</v>
      </c>
      <c r="W154">
        <f>IFERROR(VLOOKUP(N154, Payment_Terms!A:B, 2, FALSE), "Payment term not found!")</f>
        <v>30</v>
      </c>
      <c r="X154" t="str">
        <f>IFERROR(VLOOKUP(R154, Item_Category!A:B, 2, FALSE), "Uncategorized")</f>
        <v>Wood pulp</v>
      </c>
      <c r="Y154" s="5">
        <f>IFERROR(IF(AND(E154&lt;&gt;"", G154&lt;&gt;""), MAX(0, (H154-SUMIFS(S:S, E:E, E154, G:G, G154))/H154), ""), (H154-S154)/H154)</f>
        <v>0</v>
      </c>
      <c r="Z154">
        <f t="shared" si="44"/>
        <v>5</v>
      </c>
      <c r="AA154">
        <f t="shared" si="45"/>
        <v>-34</v>
      </c>
      <c r="AB154">
        <f t="shared" si="46"/>
        <v>5</v>
      </c>
      <c r="AC154" s="10">
        <f t="shared" si="47"/>
        <v>11</v>
      </c>
      <c r="AD154" s="5">
        <f t="shared" si="40"/>
        <v>1</v>
      </c>
      <c r="AE154" s="5">
        <f t="shared" si="41"/>
        <v>1</v>
      </c>
      <c r="AF154" s="5">
        <f t="shared" si="48"/>
        <v>0</v>
      </c>
      <c r="AG154">
        <f>IF(B154&lt;&gt;"", COUNTIFS($B$2:B154, B154), "")</f>
        <v>9</v>
      </c>
      <c r="AH154">
        <f t="shared" si="49"/>
        <v>5</v>
      </c>
      <c r="AI154" t="str">
        <f>VLOOKUP(B154, Currency!A:B, 2, FALSE)</f>
        <v>USD</v>
      </c>
      <c r="AJ154">
        <f t="shared" si="42"/>
        <v>5</v>
      </c>
      <c r="AK154">
        <f t="shared" si="50"/>
        <v>5</v>
      </c>
      <c r="AL154" t="str">
        <f t="shared" si="51"/>
        <v>May</v>
      </c>
      <c r="AM154">
        <f t="shared" si="52"/>
        <v>2023</v>
      </c>
      <c r="AN154" t="str">
        <f t="shared" si="43"/>
        <v>30Sappi Paper Holdings GMBH</v>
      </c>
      <c r="AO154">
        <f>IF(COUNTIF($AN$2:AN154, AN154)=1, 1, 0)</f>
        <v>0</v>
      </c>
      <c r="AP154" t="str">
        <f t="shared" si="53"/>
        <v>&gt;3</v>
      </c>
      <c r="AQ154" t="str">
        <f t="shared" si="54"/>
        <v>&gt;3</v>
      </c>
      <c r="AR154" t="str">
        <f t="shared" si="55"/>
        <v>&gt;3</v>
      </c>
    </row>
    <row r="155" spans="1:44" x14ac:dyDescent="0.3">
      <c r="A155" t="str">
        <f>A10</f>
        <v>Woodpulp</v>
      </c>
      <c r="B155" t="s">
        <v>289</v>
      </c>
      <c r="C155" t="s">
        <v>133</v>
      </c>
      <c r="D155">
        <v>2299</v>
      </c>
      <c r="E155">
        <v>23320014</v>
      </c>
      <c r="F155" t="s">
        <v>575</v>
      </c>
      <c r="G155" t="s">
        <v>291</v>
      </c>
      <c r="H155">
        <v>100</v>
      </c>
      <c r="I155">
        <v>56000</v>
      </c>
      <c r="J155">
        <v>5600000</v>
      </c>
      <c r="K155" t="str">
        <f>IFERROR(IF(B155&lt;&gt;"", TEXT(VLOOKUP(B155, 'Expected Date'!A:B, 2, FALSE) + DATE(RIGHT(C155,2),MID(C155,4,2),LEFT(C155,2)), "dd/mm/yy"), ""), "")</f>
        <v>06/07/23</v>
      </c>
      <c r="L155" t="s">
        <v>68</v>
      </c>
      <c r="M155" t="str">
        <f>M108</f>
        <v>MT</v>
      </c>
      <c r="N155" t="s">
        <v>292</v>
      </c>
      <c r="O155" t="s">
        <v>328</v>
      </c>
      <c r="P155">
        <v>23390244</v>
      </c>
      <c r="Q155" t="s">
        <v>575</v>
      </c>
      <c r="R155" t="s">
        <v>291</v>
      </c>
      <c r="S155">
        <v>28.251999999999999</v>
      </c>
      <c r="T155">
        <v>56000</v>
      </c>
      <c r="U155">
        <v>1582112</v>
      </c>
      <c r="V155" t="str">
        <f t="shared" si="56"/>
        <v>Accepted</v>
      </c>
      <c r="W155">
        <f>IFERROR(VLOOKUP(N155, Payment_Terms!A:B, 2, FALSE), "Payment term not found!")</f>
        <v>0</v>
      </c>
      <c r="X155" t="str">
        <f>IFERROR(VLOOKUP(R155, Item_Category!A:B, 2, FALSE), "Uncategorized")</f>
        <v>Wood pulp</v>
      </c>
      <c r="Y155" s="5">
        <f t="shared" ref="Y155:Y219" si="57">IFERROR(IF(AND(E155&lt;&gt;"", G155&lt;&gt;""), MAX(0, (H155-SUMIFS(S:S, E:E, E155, G:G, G155))/H155), ""), (H155-S155)/H155)</f>
        <v>0.17262</v>
      </c>
      <c r="Z155">
        <f t="shared" si="44"/>
        <v>1</v>
      </c>
      <c r="AA155">
        <f t="shared" si="45"/>
        <v>-22</v>
      </c>
      <c r="AB155">
        <f t="shared" si="46"/>
        <v>5</v>
      </c>
      <c r="AC155" s="10">
        <f t="shared" si="47"/>
        <v>8</v>
      </c>
      <c r="AD155" s="5">
        <f t="shared" si="40"/>
        <v>1</v>
      </c>
      <c r="AE155" s="5">
        <f t="shared" si="41"/>
        <v>1</v>
      </c>
      <c r="AF155" s="5">
        <f t="shared" si="48"/>
        <v>0</v>
      </c>
      <c r="AG155">
        <f>IF(B155&lt;&gt;"", COUNTIFS($B$2:B155, B155), "")</f>
        <v>14</v>
      </c>
      <c r="AH155">
        <f t="shared" si="49"/>
        <v>5</v>
      </c>
      <c r="AI155" t="str">
        <f>VLOOKUP(B155, Currency!A:B, 2, FALSE)</f>
        <v>INR</v>
      </c>
      <c r="AJ155">
        <f t="shared" si="42"/>
        <v>4</v>
      </c>
      <c r="AK155">
        <f t="shared" si="50"/>
        <v>6</v>
      </c>
      <c r="AL155" t="str">
        <f t="shared" si="51"/>
        <v>June</v>
      </c>
      <c r="AM155">
        <f t="shared" si="52"/>
        <v>2023</v>
      </c>
      <c r="AN155" t="str">
        <f t="shared" si="43"/>
        <v>0N.E. IMPEX PRIVATE LIMITED</v>
      </c>
      <c r="AO155">
        <f>IF(COUNTIF($AN$2:AN155, AN155)=1, 1, 0)</f>
        <v>0</v>
      </c>
      <c r="AP155" t="str">
        <f t="shared" si="53"/>
        <v>&gt;3</v>
      </c>
      <c r="AQ155" t="str">
        <f t="shared" si="54"/>
        <v>&lt;=3</v>
      </c>
      <c r="AR155" t="str">
        <f t="shared" si="55"/>
        <v>&gt;3</v>
      </c>
    </row>
    <row r="156" spans="1:44" x14ac:dyDescent="0.3">
      <c r="A156" t="s">
        <v>33</v>
      </c>
      <c r="B156" t="s">
        <v>513</v>
      </c>
      <c r="C156" t="s">
        <v>172</v>
      </c>
      <c r="D156">
        <v>1186</v>
      </c>
      <c r="E156">
        <v>23310008</v>
      </c>
      <c r="F156" t="s">
        <v>563</v>
      </c>
      <c r="G156" t="s">
        <v>515</v>
      </c>
      <c r="H156">
        <v>2500</v>
      </c>
      <c r="I156">
        <v>26</v>
      </c>
      <c r="J156">
        <v>65000</v>
      </c>
      <c r="K156" t="str">
        <f>IFERROR(IF(B156&lt;&gt;"", TEXT(VLOOKUP(B156, 'Expected Date'!A:B, 2, FALSE) + DATE(RIGHT(C156,2),MID(C156,4,2),LEFT(C156,2)), "dd/mm/yy"), ""), "")</f>
        <v>08/04/23</v>
      </c>
      <c r="L156" t="s">
        <v>38</v>
      </c>
      <c r="M156" t="s">
        <v>48</v>
      </c>
      <c r="N156" t="s">
        <v>342</v>
      </c>
      <c r="O156" t="s">
        <v>172</v>
      </c>
      <c r="P156">
        <v>23390008</v>
      </c>
      <c r="Q156" t="s">
        <v>563</v>
      </c>
      <c r="R156" t="s">
        <v>564</v>
      </c>
      <c r="S156">
        <v>500</v>
      </c>
      <c r="T156">
        <v>26</v>
      </c>
      <c r="U156">
        <v>13000</v>
      </c>
      <c r="V156" t="str">
        <f t="shared" si="56"/>
        <v>Accepted</v>
      </c>
      <c r="W156">
        <f>IFERROR(VLOOKUP(N156, Payment_Terms!A:B, 2, FALSE), "Payment term not found!")</f>
        <v>30</v>
      </c>
      <c r="X156" t="str">
        <f>IFERROR(VLOOKUP(R156, Item_Category!A:B, 2, FALSE), "Uncategorized")</f>
        <v xml:space="preserve">Caustic Soda </v>
      </c>
      <c r="Y156" s="5">
        <f t="shared" si="57"/>
        <v>0</v>
      </c>
      <c r="Z156">
        <f t="shared" si="44"/>
        <v>5</v>
      </c>
      <c r="AA156">
        <f t="shared" si="45"/>
        <v>-2</v>
      </c>
      <c r="AB156">
        <f t="shared" si="46"/>
        <v>5</v>
      </c>
      <c r="AC156" s="10">
        <f t="shared" si="47"/>
        <v>0</v>
      </c>
      <c r="AD156" s="5">
        <f t="shared" si="40"/>
        <v>1</v>
      </c>
      <c r="AE156" s="5">
        <f t="shared" si="41"/>
        <v>1</v>
      </c>
      <c r="AF156" s="5">
        <f t="shared" si="48"/>
        <v>0</v>
      </c>
      <c r="AG156">
        <f>IF(B156&lt;&gt;"", COUNTIFS($B$2:B156, B156), "")</f>
        <v>14</v>
      </c>
      <c r="AH156">
        <f t="shared" si="49"/>
        <v>5</v>
      </c>
      <c r="AI156" t="str">
        <f>VLOOKUP(B156, Currency!A:B, 2, FALSE)</f>
        <v>INR</v>
      </c>
      <c r="AJ156">
        <f t="shared" si="42"/>
        <v>5</v>
      </c>
      <c r="AK156">
        <f t="shared" si="50"/>
        <v>4</v>
      </c>
      <c r="AL156" t="str">
        <f t="shared" si="51"/>
        <v>April</v>
      </c>
      <c r="AM156">
        <f t="shared" si="52"/>
        <v>2023</v>
      </c>
      <c r="AN156" t="str">
        <f t="shared" si="43"/>
        <v>30J.K.Marketing</v>
      </c>
      <c r="AO156">
        <f>IF(COUNTIF($AN$2:AN156, AN156)=1, 1, 0)</f>
        <v>0</v>
      </c>
      <c r="AP156" t="str">
        <f t="shared" si="53"/>
        <v>&gt;3</v>
      </c>
      <c r="AQ156" t="str">
        <f t="shared" si="54"/>
        <v>&gt;3</v>
      </c>
      <c r="AR156" t="str">
        <f t="shared" si="55"/>
        <v>&gt;3</v>
      </c>
    </row>
    <row r="157" spans="1:44" x14ac:dyDescent="0.3">
      <c r="A157" t="s">
        <v>33</v>
      </c>
      <c r="B157" t="s">
        <v>513</v>
      </c>
      <c r="C157" t="s">
        <v>103</v>
      </c>
      <c r="D157">
        <v>4198</v>
      </c>
      <c r="E157">
        <v>23310340</v>
      </c>
      <c r="F157" t="s">
        <v>563</v>
      </c>
      <c r="G157" t="s">
        <v>515</v>
      </c>
      <c r="H157">
        <v>2500</v>
      </c>
      <c r="I157">
        <v>24</v>
      </c>
      <c r="J157">
        <v>60000</v>
      </c>
      <c r="K157" t="str">
        <f>IFERROR(IF(B157&lt;&gt;"", TEXT(VLOOKUP(B157, 'Expected Date'!A:B, 2, FALSE) + DATE(RIGHT(C157,2),MID(C157,4,2),LEFT(C157,2)), "dd/mm/yy"), ""), "")</f>
        <v>08/09/23</v>
      </c>
      <c r="L157" t="s">
        <v>38</v>
      </c>
      <c r="M157" t="s">
        <v>48</v>
      </c>
      <c r="N157" t="s">
        <v>342</v>
      </c>
      <c r="O157" t="s">
        <v>272</v>
      </c>
      <c r="P157">
        <v>23390617</v>
      </c>
      <c r="Q157" t="s">
        <v>563</v>
      </c>
      <c r="R157" t="s">
        <v>564</v>
      </c>
      <c r="S157">
        <v>1000</v>
      </c>
      <c r="T157">
        <v>24</v>
      </c>
      <c r="U157">
        <v>24000</v>
      </c>
      <c r="V157" t="str">
        <f t="shared" si="56"/>
        <v>Accepted</v>
      </c>
      <c r="W157">
        <f>IFERROR(VLOOKUP(N157, Payment_Terms!A:B, 2, FALSE), "Payment term not found!")</f>
        <v>30</v>
      </c>
      <c r="X157" t="str">
        <f>IFERROR(VLOOKUP(R157, Item_Category!A:B, 2, FALSE), "Uncategorized")</f>
        <v xml:space="preserve">Caustic Soda </v>
      </c>
      <c r="Y157" s="5">
        <f t="shared" si="57"/>
        <v>0</v>
      </c>
      <c r="Z157">
        <f t="shared" si="44"/>
        <v>5</v>
      </c>
      <c r="AA157">
        <f t="shared" si="45"/>
        <v>17</v>
      </c>
      <c r="AB157">
        <f t="shared" si="46"/>
        <v>1</v>
      </c>
      <c r="AC157" s="10">
        <f t="shared" si="47"/>
        <v>19</v>
      </c>
      <c r="AD157" s="5">
        <f t="shared" si="40"/>
        <v>1</v>
      </c>
      <c r="AE157" s="5">
        <f t="shared" si="41"/>
        <v>1</v>
      </c>
      <c r="AF157" s="5">
        <f t="shared" si="48"/>
        <v>0</v>
      </c>
      <c r="AG157">
        <f>IF(B157&lt;&gt;"", COUNTIFS($B$2:B157, B157), "")</f>
        <v>15</v>
      </c>
      <c r="AH157">
        <f t="shared" si="49"/>
        <v>5</v>
      </c>
      <c r="AI157" t="str">
        <f>VLOOKUP(B157, Currency!A:B, 2, FALSE)</f>
        <v>INR</v>
      </c>
      <c r="AJ157">
        <f t="shared" si="42"/>
        <v>4</v>
      </c>
      <c r="AK157">
        <f t="shared" si="50"/>
        <v>9</v>
      </c>
      <c r="AL157" t="str">
        <f t="shared" si="51"/>
        <v>September</v>
      </c>
      <c r="AM157">
        <f t="shared" si="52"/>
        <v>2023</v>
      </c>
      <c r="AN157" t="str">
        <f t="shared" si="43"/>
        <v>30J.K.Marketing</v>
      </c>
      <c r="AO157">
        <f>IF(COUNTIF($AN$2:AN157, AN157)=1, 1, 0)</f>
        <v>0</v>
      </c>
      <c r="AP157" t="str">
        <f t="shared" si="53"/>
        <v>&gt;3</v>
      </c>
      <c r="AQ157" t="str">
        <f t="shared" si="54"/>
        <v>&gt;3</v>
      </c>
      <c r="AR157" t="str">
        <f t="shared" si="55"/>
        <v>&lt;=3</v>
      </c>
    </row>
    <row r="158" spans="1:44" x14ac:dyDescent="0.3">
      <c r="A158" t="s">
        <v>33</v>
      </c>
      <c r="B158" t="s">
        <v>366</v>
      </c>
      <c r="C158" t="s">
        <v>272</v>
      </c>
      <c r="D158">
        <v>4656</v>
      </c>
      <c r="E158">
        <v>23310387</v>
      </c>
      <c r="F158" t="s">
        <v>569</v>
      </c>
      <c r="G158" t="s">
        <v>570</v>
      </c>
      <c r="H158">
        <v>100</v>
      </c>
      <c r="I158">
        <v>9800</v>
      </c>
      <c r="J158">
        <v>980000</v>
      </c>
      <c r="K158" t="str">
        <f>IFERROR(IF(B158&lt;&gt;"", TEXT(VLOOKUP(B158, 'Expected Date'!A:B, 2, FALSE) + DATE(RIGHT(C158,2),MID(C158,4,2),LEFT(C158,2)), "dd/mm/yy"), ""), "")</f>
        <v>27/09/23</v>
      </c>
      <c r="L158" t="s">
        <v>38</v>
      </c>
      <c r="M158" t="s">
        <v>48</v>
      </c>
      <c r="N158" t="s">
        <v>574</v>
      </c>
      <c r="O158" t="s">
        <v>194</v>
      </c>
      <c r="P158">
        <v>23390619</v>
      </c>
      <c r="Q158" t="s">
        <v>569</v>
      </c>
      <c r="R158" t="s">
        <v>570</v>
      </c>
      <c r="S158">
        <v>29.31</v>
      </c>
      <c r="T158">
        <v>9800</v>
      </c>
      <c r="U158">
        <v>287238</v>
      </c>
      <c r="V158" t="str">
        <f t="shared" si="56"/>
        <v>Accepted</v>
      </c>
      <c r="W158">
        <f>IFERROR(VLOOKUP(N158, Payment_Terms!A:B, 2, FALSE), "Payment term not found!")</f>
        <v>0</v>
      </c>
      <c r="X158" t="str">
        <f>IFERROR(VLOOKUP(R158, Item_Category!A:B, 2, FALSE), "Uncategorized")</f>
        <v>Coal materials</v>
      </c>
      <c r="Y158" s="5">
        <f t="shared" si="57"/>
        <v>0</v>
      </c>
      <c r="Z158">
        <f t="shared" si="44"/>
        <v>5</v>
      </c>
      <c r="AA158">
        <f t="shared" si="45"/>
        <v>-1</v>
      </c>
      <c r="AB158">
        <f t="shared" si="46"/>
        <v>5</v>
      </c>
      <c r="AC158" s="10">
        <f t="shared" si="47"/>
        <v>1</v>
      </c>
      <c r="AD158" s="5">
        <f t="shared" si="40"/>
        <v>1</v>
      </c>
      <c r="AE158" s="5">
        <f t="shared" si="41"/>
        <v>1</v>
      </c>
      <c r="AF158" s="5">
        <f t="shared" si="48"/>
        <v>0</v>
      </c>
      <c r="AG158">
        <f>IF(B158&lt;&gt;"", COUNTIFS($B$2:B158, B158), "")</f>
        <v>25</v>
      </c>
      <c r="AH158">
        <f t="shared" si="49"/>
        <v>5</v>
      </c>
      <c r="AI158" t="str">
        <f>VLOOKUP(B158, Currency!A:B, 2, FALSE)</f>
        <v>INR</v>
      </c>
      <c r="AJ158">
        <f t="shared" si="42"/>
        <v>5</v>
      </c>
      <c r="AK158">
        <f t="shared" si="50"/>
        <v>9</v>
      </c>
      <c r="AL158" t="str">
        <f t="shared" si="51"/>
        <v>September</v>
      </c>
      <c r="AM158">
        <f t="shared" si="52"/>
        <v>2023</v>
      </c>
      <c r="AN158" t="str">
        <f t="shared" si="43"/>
        <v>0SKYWIN ENTERPRISE</v>
      </c>
      <c r="AO158">
        <f>IF(COUNTIF($AN$2:AN158, AN158)=1, 1, 0)</f>
        <v>0</v>
      </c>
      <c r="AP158" t="str">
        <f t="shared" si="53"/>
        <v>&gt;3</v>
      </c>
      <c r="AQ158" t="str">
        <f t="shared" si="54"/>
        <v>&gt;3</v>
      </c>
      <c r="AR158" t="str">
        <f t="shared" si="55"/>
        <v>&gt;3</v>
      </c>
    </row>
    <row r="159" spans="1:44" x14ac:dyDescent="0.3">
      <c r="A159" t="s">
        <v>33</v>
      </c>
      <c r="B159" t="s">
        <v>557</v>
      </c>
      <c r="C159" t="s">
        <v>397</v>
      </c>
      <c r="D159">
        <v>1188</v>
      </c>
      <c r="E159">
        <v>23310010</v>
      </c>
      <c r="F159" t="s">
        <v>558</v>
      </c>
      <c r="G159" t="s">
        <v>384</v>
      </c>
      <c r="H159">
        <v>400</v>
      </c>
      <c r="I159">
        <v>99</v>
      </c>
      <c r="J159">
        <v>39600</v>
      </c>
      <c r="K159" t="str">
        <f>IFERROR(IF(B159&lt;&gt;"", TEXT(VLOOKUP(B159, 'Expected Date'!A:B, 2, FALSE) + DATE(RIGHT(C159,2),MID(C159,4,2),LEFT(C159,2)), "dd/mm/yy"), ""), "")</f>
        <v>15/04/23</v>
      </c>
      <c r="L159" t="s">
        <v>68</v>
      </c>
      <c r="M159" t="s">
        <v>48</v>
      </c>
      <c r="N159" t="s">
        <v>364</v>
      </c>
      <c r="O159" t="s">
        <v>396</v>
      </c>
      <c r="P159">
        <v>23390009</v>
      </c>
      <c r="Q159" t="s">
        <v>558</v>
      </c>
      <c r="R159" t="s">
        <v>559</v>
      </c>
      <c r="S159">
        <v>100</v>
      </c>
      <c r="T159">
        <v>99</v>
      </c>
      <c r="U159">
        <v>9900</v>
      </c>
      <c r="V159" t="str">
        <f t="shared" si="56"/>
        <v>Accepted</v>
      </c>
      <c r="W159">
        <f>IFERROR(VLOOKUP(N159, Payment_Terms!A:B, 2, FALSE), "Payment term not found!")</f>
        <v>30</v>
      </c>
      <c r="X159" t="str">
        <f>IFERROR(VLOOKUP(R159, Item_Category!A:B, 2, FALSE), "Uncategorized")</f>
        <v>Anhydrous Ammonia</v>
      </c>
      <c r="Y159" s="5">
        <f t="shared" si="57"/>
        <v>0.25</v>
      </c>
      <c r="Z159">
        <f t="shared" si="44"/>
        <v>1</v>
      </c>
      <c r="AA159">
        <f t="shared" si="45"/>
        <v>-8</v>
      </c>
      <c r="AB159">
        <f t="shared" si="46"/>
        <v>5</v>
      </c>
      <c r="AC159" s="10">
        <f t="shared" si="47"/>
        <v>2</v>
      </c>
      <c r="AD159" s="5">
        <f t="shared" si="40"/>
        <v>1</v>
      </c>
      <c r="AE159" s="5">
        <f t="shared" si="41"/>
        <v>1</v>
      </c>
      <c r="AF159" s="5">
        <f t="shared" si="48"/>
        <v>0</v>
      </c>
      <c r="AG159">
        <f>IF(B159&lt;&gt;"", COUNTIFS($B$2:B159, B159), "")</f>
        <v>16</v>
      </c>
      <c r="AH159">
        <f t="shared" si="49"/>
        <v>5</v>
      </c>
      <c r="AI159" t="str">
        <f>VLOOKUP(B159, Currency!A:B, 2, FALSE)</f>
        <v>INR</v>
      </c>
      <c r="AJ159">
        <f t="shared" si="42"/>
        <v>4</v>
      </c>
      <c r="AK159">
        <f t="shared" si="50"/>
        <v>4</v>
      </c>
      <c r="AL159" t="str">
        <f t="shared" si="51"/>
        <v>April</v>
      </c>
      <c r="AM159">
        <f t="shared" si="52"/>
        <v>2023</v>
      </c>
      <c r="AN159" t="str">
        <f t="shared" si="43"/>
        <v>30Jaysons Chemical Industries Vapi</v>
      </c>
      <c r="AO159">
        <f>IF(COUNTIF($AN$2:AN159, AN159)=1, 1, 0)</f>
        <v>0</v>
      </c>
      <c r="AP159" t="str">
        <f t="shared" si="53"/>
        <v>&gt;3</v>
      </c>
      <c r="AQ159" t="str">
        <f t="shared" si="54"/>
        <v>&lt;=3</v>
      </c>
      <c r="AR159" t="str">
        <f t="shared" si="55"/>
        <v>&gt;3</v>
      </c>
    </row>
    <row r="160" spans="1:44" x14ac:dyDescent="0.3">
      <c r="A160" t="s">
        <v>33</v>
      </c>
      <c r="B160" t="s">
        <v>429</v>
      </c>
      <c r="C160" t="s">
        <v>178</v>
      </c>
      <c r="D160">
        <v>4150</v>
      </c>
      <c r="E160">
        <v>23310338</v>
      </c>
      <c r="F160" t="s">
        <v>581</v>
      </c>
      <c r="G160" t="s">
        <v>582</v>
      </c>
      <c r="H160">
        <v>6000</v>
      </c>
      <c r="I160">
        <v>8</v>
      </c>
      <c r="J160">
        <v>48000</v>
      </c>
      <c r="K160" t="str">
        <f>IFERROR(IF(B160&lt;&gt;"", TEXT(VLOOKUP(B160, 'Expected Date'!A:B, 2, FALSE) + DATE(RIGHT(C160,2),MID(C160,4,2),LEFT(C160,2)), "dd/mm/yy"), ""), "")</f>
        <v>06/09/23</v>
      </c>
      <c r="L160" t="s">
        <v>38</v>
      </c>
      <c r="M160" t="s">
        <v>48</v>
      </c>
      <c r="N160" t="s">
        <v>318</v>
      </c>
      <c r="O160" t="s">
        <v>284</v>
      </c>
      <c r="P160">
        <v>23390502</v>
      </c>
      <c r="Q160" t="s">
        <v>581</v>
      </c>
      <c r="R160" t="s">
        <v>582</v>
      </c>
      <c r="S160">
        <v>3155</v>
      </c>
      <c r="T160">
        <v>8</v>
      </c>
      <c r="U160">
        <v>25240</v>
      </c>
      <c r="V160" t="str">
        <f t="shared" si="56"/>
        <v>Accepted</v>
      </c>
      <c r="W160">
        <f>IFERROR(VLOOKUP(N160, Payment_Terms!A:B, 2, FALSE), "Payment term not found!")</f>
        <v>30</v>
      </c>
      <c r="X160" t="str">
        <f>IFERROR(VLOOKUP(R160, Item_Category!A:B, 2, FALSE), "Uncategorized")</f>
        <v>Lime</v>
      </c>
      <c r="Y160" s="5">
        <f t="shared" si="57"/>
        <v>0</v>
      </c>
      <c r="Z160">
        <f t="shared" si="44"/>
        <v>5</v>
      </c>
      <c r="AA160">
        <f t="shared" si="45"/>
        <v>-2</v>
      </c>
      <c r="AB160">
        <f t="shared" si="46"/>
        <v>5</v>
      </c>
      <c r="AC160" s="10">
        <f t="shared" si="47"/>
        <v>3</v>
      </c>
      <c r="AD160" s="5">
        <f t="shared" si="40"/>
        <v>1</v>
      </c>
      <c r="AE160" s="5">
        <f t="shared" si="41"/>
        <v>1</v>
      </c>
      <c r="AF160" s="5">
        <f t="shared" si="48"/>
        <v>0</v>
      </c>
      <c r="AG160">
        <f>IF(B160&lt;&gt;"", COUNTIFS($B$2:B160, B160), "")</f>
        <v>4</v>
      </c>
      <c r="AH160">
        <f t="shared" si="49"/>
        <v>5</v>
      </c>
      <c r="AI160" t="str">
        <f>VLOOKUP(B160, Currency!A:B, 2, FALSE)</f>
        <v>INR</v>
      </c>
      <c r="AJ160">
        <f t="shared" si="42"/>
        <v>5</v>
      </c>
      <c r="AK160">
        <f t="shared" si="50"/>
        <v>9</v>
      </c>
      <c r="AL160" t="str">
        <f t="shared" si="51"/>
        <v>September</v>
      </c>
      <c r="AM160">
        <f t="shared" si="52"/>
        <v>2023</v>
      </c>
      <c r="AN160" t="str">
        <f t="shared" si="43"/>
        <v>30HELIK ENTERPRISE</v>
      </c>
      <c r="AO160">
        <f>IF(COUNTIF($AN$2:AN160, AN160)=1, 1, 0)</f>
        <v>0</v>
      </c>
      <c r="AP160" t="str">
        <f t="shared" si="53"/>
        <v>&gt;3</v>
      </c>
      <c r="AQ160" t="str">
        <f t="shared" si="54"/>
        <v>&gt;3</v>
      </c>
      <c r="AR160" t="str">
        <f t="shared" si="55"/>
        <v>&gt;3</v>
      </c>
    </row>
    <row r="161" spans="1:44" x14ac:dyDescent="0.3">
      <c r="A161" t="s">
        <v>33</v>
      </c>
      <c r="B161" t="s">
        <v>122</v>
      </c>
      <c r="C161" t="s">
        <v>103</v>
      </c>
      <c r="D161">
        <v>4202</v>
      </c>
      <c r="E161">
        <v>23310344</v>
      </c>
      <c r="F161" t="s">
        <v>565</v>
      </c>
      <c r="G161" t="s">
        <v>566</v>
      </c>
      <c r="H161">
        <v>140</v>
      </c>
      <c r="I161">
        <v>930</v>
      </c>
      <c r="J161">
        <v>130200</v>
      </c>
      <c r="K161" t="str">
        <f>IFERROR(IF(B161&lt;&gt;"", TEXT(VLOOKUP(B161, 'Expected Date'!A:B, 2, FALSE) + DATE(RIGHT(C161,2),MID(C161,4,2),LEFT(C161,2)), "dd/mm/yy"), ""), "")</f>
        <v>21/09/23</v>
      </c>
      <c r="L161" t="s">
        <v>68</v>
      </c>
      <c r="M161" t="s">
        <v>39</v>
      </c>
      <c r="N161" t="s">
        <v>318</v>
      </c>
      <c r="O161" t="s">
        <v>229</v>
      </c>
      <c r="P161">
        <v>23390633</v>
      </c>
      <c r="Q161" t="s">
        <v>565</v>
      </c>
      <c r="R161" t="s">
        <v>566</v>
      </c>
      <c r="S161">
        <v>50</v>
      </c>
      <c r="T161">
        <v>930</v>
      </c>
      <c r="U161">
        <v>46500</v>
      </c>
      <c r="V161" t="str">
        <f t="shared" si="56"/>
        <v>Accepted</v>
      </c>
      <c r="W161">
        <f>IFERROR(VLOOKUP(N161, Payment_Terms!A:B, 2, FALSE), "Payment term not found!")</f>
        <v>30</v>
      </c>
      <c r="X161" t="str">
        <f>IFERROR(VLOOKUP(R161, Item_Category!A:B, 2, FALSE), "Uncategorized")</f>
        <v>Pallets</v>
      </c>
      <c r="Y161" s="5">
        <f t="shared" si="57"/>
        <v>0.2857142857142857</v>
      </c>
      <c r="Z161">
        <f t="shared" si="44"/>
        <v>1</v>
      </c>
      <c r="AA161">
        <f t="shared" si="45"/>
        <v>9</v>
      </c>
      <c r="AB161">
        <f t="shared" si="46"/>
        <v>2</v>
      </c>
      <c r="AC161" s="10">
        <f t="shared" si="47"/>
        <v>24</v>
      </c>
      <c r="AD161" s="5">
        <f t="shared" si="40"/>
        <v>1</v>
      </c>
      <c r="AE161" s="5">
        <f t="shared" si="41"/>
        <v>1</v>
      </c>
      <c r="AF161" s="5">
        <f t="shared" si="48"/>
        <v>0</v>
      </c>
      <c r="AG161">
        <f>IF(B161&lt;&gt;"", COUNTIFS($B$2:B161, B161), "")</f>
        <v>7</v>
      </c>
      <c r="AH161">
        <f t="shared" si="49"/>
        <v>5</v>
      </c>
      <c r="AI161" t="str">
        <f>VLOOKUP(B161, Currency!A:B, 2, FALSE)</f>
        <v>INR</v>
      </c>
      <c r="AJ161">
        <f t="shared" si="42"/>
        <v>3</v>
      </c>
      <c r="AK161">
        <f t="shared" si="50"/>
        <v>9</v>
      </c>
      <c r="AL161" t="str">
        <f t="shared" si="51"/>
        <v>September</v>
      </c>
      <c r="AM161">
        <f t="shared" si="52"/>
        <v>2023</v>
      </c>
      <c r="AN161" t="str">
        <f t="shared" si="43"/>
        <v>30Plastocon Industries Pvt Ltd</v>
      </c>
      <c r="AO161">
        <f>IF(COUNTIF($AN$2:AN161, AN161)=1, 1, 0)</f>
        <v>0</v>
      </c>
      <c r="AP161" t="str">
        <f t="shared" si="53"/>
        <v>&gt;3</v>
      </c>
      <c r="AQ161" t="str">
        <f t="shared" si="54"/>
        <v>&lt;=3</v>
      </c>
      <c r="AR161" t="str">
        <f t="shared" si="55"/>
        <v>&lt;=3</v>
      </c>
    </row>
    <row r="162" spans="1:44" x14ac:dyDescent="0.3">
      <c r="A162" t="s">
        <v>111</v>
      </c>
      <c r="B162" t="s">
        <v>296</v>
      </c>
      <c r="C162" t="s">
        <v>396</v>
      </c>
      <c r="D162">
        <v>1447</v>
      </c>
      <c r="E162">
        <v>23310028</v>
      </c>
      <c r="F162" t="s">
        <v>591</v>
      </c>
      <c r="G162" t="s">
        <v>311</v>
      </c>
      <c r="H162">
        <v>1000</v>
      </c>
      <c r="I162">
        <v>413</v>
      </c>
      <c r="J162">
        <v>413000</v>
      </c>
      <c r="K162" t="str">
        <f>IFERROR(IF(B162&lt;&gt;"", TEXT(VLOOKUP(B162, 'Expected Date'!A:B, 2, FALSE) + DATE(RIGHT(C162,2),MID(C162,4,2),LEFT(C162,2)), "dd/mm/yy"), ""), "")</f>
        <v>22/04/23</v>
      </c>
      <c r="L162" t="s">
        <v>38</v>
      </c>
      <c r="M162" t="s">
        <v>48</v>
      </c>
      <c r="N162" t="s">
        <v>342</v>
      </c>
      <c r="O162" t="s">
        <v>223</v>
      </c>
      <c r="P162">
        <v>23390162</v>
      </c>
      <c r="Q162" t="s">
        <v>591</v>
      </c>
      <c r="R162" t="s">
        <v>376</v>
      </c>
      <c r="S162">
        <v>1000</v>
      </c>
      <c r="T162">
        <v>413</v>
      </c>
      <c r="U162">
        <v>413000</v>
      </c>
      <c r="V162" t="str">
        <f t="shared" si="56"/>
        <v>Accepted</v>
      </c>
      <c r="W162">
        <f>IFERROR(VLOOKUP(N162, Payment_Terms!A:B, 2, FALSE), "Payment term not found!")</f>
        <v>30</v>
      </c>
      <c r="X162" t="str">
        <f>IFERROR(VLOOKUP(R162, Item_Category!A:B, 2, FALSE), "Uncategorized")</f>
        <v>CROSSCARMELLOSE SODIUM</v>
      </c>
      <c r="Y162" s="5">
        <f t="shared" si="57"/>
        <v>0</v>
      </c>
      <c r="Z162">
        <f t="shared" si="44"/>
        <v>5</v>
      </c>
      <c r="AA162">
        <f t="shared" si="45"/>
        <v>25</v>
      </c>
      <c r="AB162">
        <f t="shared" si="46"/>
        <v>1</v>
      </c>
      <c r="AC162" s="10">
        <f t="shared" si="47"/>
        <v>40</v>
      </c>
      <c r="AD162" s="5">
        <f t="shared" si="40"/>
        <v>1</v>
      </c>
      <c r="AE162" s="5">
        <f t="shared" si="41"/>
        <v>1</v>
      </c>
      <c r="AF162" s="5">
        <f t="shared" si="48"/>
        <v>0</v>
      </c>
      <c r="AG162">
        <f>IF(B162&lt;&gt;"", COUNTIFS($B$2:B162, B162), "")</f>
        <v>6</v>
      </c>
      <c r="AH162">
        <f t="shared" si="49"/>
        <v>5</v>
      </c>
      <c r="AI162" t="str">
        <f>VLOOKUP(B162, Currency!A:B, 2, FALSE)</f>
        <v>INR</v>
      </c>
      <c r="AJ162">
        <f t="shared" si="42"/>
        <v>4</v>
      </c>
      <c r="AK162">
        <f t="shared" si="50"/>
        <v>4</v>
      </c>
      <c r="AL162" t="str">
        <f t="shared" si="51"/>
        <v>April</v>
      </c>
      <c r="AM162">
        <f t="shared" si="52"/>
        <v>2023</v>
      </c>
      <c r="AN162" t="str">
        <f t="shared" ref="AN162:AN194" si="58">W162&amp;B162</f>
        <v>30Ascot Pharmachem Pvt Ltd</v>
      </c>
      <c r="AO162">
        <f>IF(COUNTIF($AN$2:AN162, AN162)=1, 1, 0)</f>
        <v>0</v>
      </c>
      <c r="AP162" t="str">
        <f t="shared" si="53"/>
        <v>&gt;3</v>
      </c>
      <c r="AQ162" t="str">
        <f t="shared" si="54"/>
        <v>&gt;3</v>
      </c>
      <c r="AR162" t="str">
        <f t="shared" si="55"/>
        <v>&lt;=3</v>
      </c>
    </row>
    <row r="163" spans="1:44" x14ac:dyDescent="0.3">
      <c r="A163" t="s">
        <v>33</v>
      </c>
      <c r="B163" t="s">
        <v>395</v>
      </c>
      <c r="C163" t="s">
        <v>416</v>
      </c>
      <c r="D163">
        <v>2024</v>
      </c>
      <c r="E163">
        <v>23310112</v>
      </c>
      <c r="F163" t="s">
        <v>569</v>
      </c>
      <c r="G163" t="s">
        <v>570</v>
      </c>
      <c r="H163">
        <v>100</v>
      </c>
      <c r="I163">
        <v>11523.81</v>
      </c>
      <c r="J163">
        <v>1152381</v>
      </c>
      <c r="K163" t="str">
        <f>IFERROR(IF(B163&lt;&gt;"", TEXT(VLOOKUP(B163, 'Expected Date'!A:B, 2, FALSE) + DATE(RIGHT(C163,2),MID(C163,4,2),LEFT(C163,2)), "dd/mm/yy"), ""), "")</f>
        <v>25/05/23</v>
      </c>
      <c r="L163" t="s">
        <v>38</v>
      </c>
      <c r="M163" t="s">
        <v>48</v>
      </c>
      <c r="N163" t="s">
        <v>342</v>
      </c>
      <c r="O163" t="s">
        <v>415</v>
      </c>
      <c r="P163">
        <v>23390174</v>
      </c>
      <c r="Q163" t="s">
        <v>569</v>
      </c>
      <c r="R163" t="s">
        <v>570</v>
      </c>
      <c r="S163">
        <v>30.98</v>
      </c>
      <c r="T163">
        <v>11523.81</v>
      </c>
      <c r="U163">
        <v>357007.63</v>
      </c>
      <c r="V163" t="str">
        <f t="shared" si="56"/>
        <v>Accepted</v>
      </c>
      <c r="W163">
        <f>IFERROR(VLOOKUP(N163, Payment_Terms!A:B, 2, FALSE), "Payment term not found!")</f>
        <v>30</v>
      </c>
      <c r="X163" t="str">
        <f>IFERROR(VLOOKUP(R163, Item_Category!A:B, 2, FALSE), "Uncategorized")</f>
        <v>Coal materials</v>
      </c>
      <c r="Y163" s="5">
        <f t="shared" si="57"/>
        <v>0</v>
      </c>
      <c r="Z163">
        <f t="shared" si="44"/>
        <v>5</v>
      </c>
      <c r="AA163">
        <f t="shared" si="45"/>
        <v>-4</v>
      </c>
      <c r="AB163">
        <f t="shared" si="46"/>
        <v>5</v>
      </c>
      <c r="AC163" s="10">
        <f t="shared" si="47"/>
        <v>1</v>
      </c>
      <c r="AD163" s="5">
        <f t="shared" si="40"/>
        <v>1</v>
      </c>
      <c r="AE163" s="5">
        <f t="shared" si="41"/>
        <v>1</v>
      </c>
      <c r="AF163" s="5">
        <f t="shared" si="48"/>
        <v>0</v>
      </c>
      <c r="AG163">
        <f>IF(B163&lt;&gt;"", COUNTIFS($B$2:B163, B163), "")</f>
        <v>6</v>
      </c>
      <c r="AH163">
        <f t="shared" si="49"/>
        <v>5</v>
      </c>
      <c r="AI163" t="str">
        <f>VLOOKUP(B163, Currency!A:B, 2, FALSE)</f>
        <v>INR</v>
      </c>
      <c r="AJ163">
        <f t="shared" si="42"/>
        <v>5</v>
      </c>
      <c r="AK163">
        <f t="shared" si="50"/>
        <v>5</v>
      </c>
      <c r="AL163" t="str">
        <f t="shared" si="51"/>
        <v>May</v>
      </c>
      <c r="AM163">
        <f t="shared" si="52"/>
        <v>2023</v>
      </c>
      <c r="AN163" t="str">
        <f t="shared" si="58"/>
        <v>30Crystal coal corporation</v>
      </c>
      <c r="AO163">
        <f>IF(COUNTIF($AN$2:AN163, AN163)=1, 1, 0)</f>
        <v>0</v>
      </c>
      <c r="AP163" t="str">
        <f t="shared" si="53"/>
        <v>&gt;3</v>
      </c>
      <c r="AQ163" t="str">
        <f t="shared" si="54"/>
        <v>&gt;3</v>
      </c>
      <c r="AR163" t="str">
        <f t="shared" si="55"/>
        <v>&gt;3</v>
      </c>
    </row>
    <row r="164" spans="1:44" x14ac:dyDescent="0.3">
      <c r="A164" t="s">
        <v>33</v>
      </c>
      <c r="B164" t="s">
        <v>513</v>
      </c>
      <c r="C164" t="s">
        <v>414</v>
      </c>
      <c r="D164">
        <v>2295</v>
      </c>
      <c r="E164">
        <v>23310157</v>
      </c>
      <c r="F164" t="s">
        <v>563</v>
      </c>
      <c r="G164" t="s">
        <v>515</v>
      </c>
      <c r="H164">
        <v>2500</v>
      </c>
      <c r="I164">
        <v>26</v>
      </c>
      <c r="J164">
        <v>65000</v>
      </c>
      <c r="K164" t="str">
        <f>IFERROR(IF(B164&lt;&gt;"", TEXT(VLOOKUP(B164, 'Expected Date'!A:B, 2, FALSE) + DATE(RIGHT(C164,2),MID(C164,4,2),LEFT(C164,2)), "dd/mm/yy"), ""), "")</f>
        <v>03/06/23</v>
      </c>
      <c r="L164" t="s">
        <v>38</v>
      </c>
      <c r="M164" t="s">
        <v>48</v>
      </c>
      <c r="N164" t="s">
        <v>342</v>
      </c>
      <c r="O164" t="s">
        <v>319</v>
      </c>
      <c r="P164">
        <v>23390262</v>
      </c>
      <c r="Q164" t="s">
        <v>563</v>
      </c>
      <c r="R164" t="s">
        <v>564</v>
      </c>
      <c r="S164">
        <v>1000</v>
      </c>
      <c r="T164">
        <v>26</v>
      </c>
      <c r="U164">
        <v>26000</v>
      </c>
      <c r="V164" t="str">
        <f t="shared" si="56"/>
        <v>Accepted</v>
      </c>
      <c r="W164">
        <f>IFERROR(VLOOKUP(N164, Payment_Terms!A:B, 2, FALSE), "Payment term not found!")</f>
        <v>30</v>
      </c>
      <c r="X164" t="str">
        <f>IFERROR(VLOOKUP(R164, Item_Category!A:B, 2, FALSE), "Uncategorized")</f>
        <v xml:space="preserve">Caustic Soda </v>
      </c>
      <c r="Y164" s="5">
        <f t="shared" si="57"/>
        <v>0</v>
      </c>
      <c r="Z164">
        <f t="shared" si="44"/>
        <v>5</v>
      </c>
      <c r="AA164">
        <f t="shared" si="45"/>
        <v>16</v>
      </c>
      <c r="AB164">
        <f t="shared" si="46"/>
        <v>1</v>
      </c>
      <c r="AC164" s="10">
        <f t="shared" si="47"/>
        <v>18</v>
      </c>
      <c r="AD164" s="5">
        <f t="shared" si="40"/>
        <v>1</v>
      </c>
      <c r="AE164" s="5">
        <f t="shared" si="41"/>
        <v>1</v>
      </c>
      <c r="AF164" s="5">
        <f t="shared" si="48"/>
        <v>0</v>
      </c>
      <c r="AG164">
        <f>IF(B164&lt;&gt;"", COUNTIFS($B$2:B164, B164), "")</f>
        <v>16</v>
      </c>
      <c r="AH164">
        <f t="shared" si="49"/>
        <v>5</v>
      </c>
      <c r="AI164" t="str">
        <f>VLOOKUP(B164, Currency!A:B, 2, FALSE)</f>
        <v>INR</v>
      </c>
      <c r="AJ164">
        <f t="shared" si="42"/>
        <v>4</v>
      </c>
      <c r="AK164">
        <f t="shared" si="50"/>
        <v>6</v>
      </c>
      <c r="AL164" t="str">
        <f t="shared" si="51"/>
        <v>June</v>
      </c>
      <c r="AM164">
        <f t="shared" si="52"/>
        <v>2023</v>
      </c>
      <c r="AN164" t="str">
        <f t="shared" si="58"/>
        <v>30J.K.Marketing</v>
      </c>
      <c r="AO164">
        <f>IF(COUNTIF($AN$2:AN164, AN164)=1, 1, 0)</f>
        <v>0</v>
      </c>
      <c r="AP164" t="str">
        <f t="shared" si="53"/>
        <v>&gt;3</v>
      </c>
      <c r="AQ164" t="str">
        <f t="shared" si="54"/>
        <v>&gt;3</v>
      </c>
      <c r="AR164" t="str">
        <f t="shared" si="55"/>
        <v>&lt;=3</v>
      </c>
    </row>
    <row r="165" spans="1:44" x14ac:dyDescent="0.3">
      <c r="A165" t="s">
        <v>33</v>
      </c>
      <c r="B165" t="s">
        <v>366</v>
      </c>
      <c r="C165" t="s">
        <v>203</v>
      </c>
      <c r="D165">
        <v>3212</v>
      </c>
      <c r="E165">
        <v>23310240</v>
      </c>
      <c r="F165" t="s">
        <v>569</v>
      </c>
      <c r="G165" t="s">
        <v>570</v>
      </c>
      <c r="H165">
        <v>100</v>
      </c>
      <c r="I165">
        <v>9800</v>
      </c>
      <c r="J165">
        <v>980000</v>
      </c>
      <c r="K165" t="str">
        <f>IFERROR(IF(B165&lt;&gt;"", TEXT(VLOOKUP(B165, 'Expected Date'!A:B, 2, FALSE) + DATE(RIGHT(C165,2),MID(C165,4,2),LEFT(C165,2)), "dd/mm/yy"), ""), "")</f>
        <v>18/07/23</v>
      </c>
      <c r="L165" t="s">
        <v>38</v>
      </c>
      <c r="M165" t="s">
        <v>48</v>
      </c>
      <c r="N165" t="s">
        <v>574</v>
      </c>
      <c r="O165" t="s">
        <v>478</v>
      </c>
      <c r="P165">
        <v>23390344</v>
      </c>
      <c r="Q165" t="s">
        <v>569</v>
      </c>
      <c r="R165" t="s">
        <v>570</v>
      </c>
      <c r="S165">
        <v>30.76</v>
      </c>
      <c r="T165">
        <v>9800</v>
      </c>
      <c r="U165">
        <v>301448</v>
      </c>
      <c r="V165" t="str">
        <f t="shared" si="56"/>
        <v>Accepted</v>
      </c>
      <c r="W165">
        <f>IFERROR(VLOOKUP(N165, Payment_Terms!A:B, 2, FALSE), "Payment term not found!")</f>
        <v>0</v>
      </c>
      <c r="X165" t="str">
        <f>IFERROR(VLOOKUP(R165, Item_Category!A:B, 2, FALSE), "Uncategorized")</f>
        <v>Coal materials</v>
      </c>
      <c r="Y165" s="5">
        <f t="shared" si="57"/>
        <v>0</v>
      </c>
      <c r="Z165">
        <f t="shared" si="44"/>
        <v>5</v>
      </c>
      <c r="AA165">
        <f t="shared" si="45"/>
        <v>3</v>
      </c>
      <c r="AB165">
        <f t="shared" si="46"/>
        <v>4</v>
      </c>
      <c r="AC165" s="10">
        <f t="shared" si="47"/>
        <v>5</v>
      </c>
      <c r="AD165" s="5">
        <f t="shared" si="40"/>
        <v>1</v>
      </c>
      <c r="AE165" s="5">
        <f t="shared" si="41"/>
        <v>1</v>
      </c>
      <c r="AF165" s="5">
        <f t="shared" si="48"/>
        <v>0</v>
      </c>
      <c r="AG165">
        <f>IF(B165&lt;&gt;"", COUNTIFS($B$2:B165, B165), "")</f>
        <v>26</v>
      </c>
      <c r="AH165">
        <f t="shared" si="49"/>
        <v>5</v>
      </c>
      <c r="AI165" t="str">
        <f>VLOOKUP(B165, Currency!A:B, 2, FALSE)</f>
        <v>INR</v>
      </c>
      <c r="AJ165">
        <f t="shared" si="42"/>
        <v>5</v>
      </c>
      <c r="AK165">
        <f t="shared" si="50"/>
        <v>7</v>
      </c>
      <c r="AL165" t="str">
        <f t="shared" si="51"/>
        <v>July</v>
      </c>
      <c r="AM165">
        <f t="shared" si="52"/>
        <v>2023</v>
      </c>
      <c r="AN165" t="str">
        <f t="shared" si="58"/>
        <v>0SKYWIN ENTERPRISE</v>
      </c>
      <c r="AO165">
        <f>IF(COUNTIF($AN$2:AN165, AN165)=1, 1, 0)</f>
        <v>0</v>
      </c>
      <c r="AP165" t="str">
        <f t="shared" si="53"/>
        <v>&gt;3</v>
      </c>
      <c r="AQ165" t="str">
        <f t="shared" si="54"/>
        <v>&gt;3</v>
      </c>
      <c r="AR165" t="str">
        <f t="shared" si="55"/>
        <v>&gt;3</v>
      </c>
    </row>
    <row r="166" spans="1:44" x14ac:dyDescent="0.3">
      <c r="A166" t="s">
        <v>33</v>
      </c>
      <c r="B166" t="s">
        <v>386</v>
      </c>
      <c r="C166" t="s">
        <v>57</v>
      </c>
      <c r="D166">
        <v>3521</v>
      </c>
      <c r="E166">
        <v>23310273</v>
      </c>
      <c r="F166" t="s">
        <v>597</v>
      </c>
      <c r="G166" t="s">
        <v>598</v>
      </c>
      <c r="H166">
        <v>500</v>
      </c>
      <c r="I166">
        <v>19.5</v>
      </c>
      <c r="J166">
        <v>9750</v>
      </c>
      <c r="K166" t="str">
        <f>IFERROR(IF(B166&lt;&gt;"", TEXT(VLOOKUP(B166, 'Expected Date'!A:B, 2, FALSE) + DATE(RIGHT(C166,2),MID(C166,4,2),LEFT(C166,2)), "dd/mm/yy"), ""), "")</f>
        <v>08/08/23</v>
      </c>
      <c r="L166" t="s">
        <v>38</v>
      </c>
      <c r="M166" t="s">
        <v>39</v>
      </c>
      <c r="N166" t="s">
        <v>318</v>
      </c>
      <c r="O166" t="s">
        <v>163</v>
      </c>
      <c r="P166">
        <v>23390492</v>
      </c>
      <c r="Q166" t="s">
        <v>597</v>
      </c>
      <c r="R166" t="s">
        <v>598</v>
      </c>
      <c r="S166">
        <v>500</v>
      </c>
      <c r="T166">
        <v>19.5</v>
      </c>
      <c r="U166">
        <v>9750</v>
      </c>
      <c r="V166" t="str">
        <f t="shared" si="56"/>
        <v>Accepted</v>
      </c>
      <c r="W166">
        <f>IFERROR(VLOOKUP(N166, Payment_Terms!A:B, 2, FALSE), "Payment term not found!")</f>
        <v>30</v>
      </c>
      <c r="X166" t="str">
        <f>IFERROR(VLOOKUP(R166, Item_Category!A:B, 2, FALSE), "Uncategorized")</f>
        <v>HDPE plain bag</v>
      </c>
      <c r="Y166" s="5">
        <f t="shared" si="57"/>
        <v>0</v>
      </c>
      <c r="Z166">
        <f t="shared" si="44"/>
        <v>5</v>
      </c>
      <c r="AA166">
        <f t="shared" si="45"/>
        <v>22</v>
      </c>
      <c r="AB166">
        <f t="shared" si="46"/>
        <v>1</v>
      </c>
      <c r="AC166" s="10">
        <f t="shared" si="47"/>
        <v>27</v>
      </c>
      <c r="AD166" s="5">
        <f t="shared" si="40"/>
        <v>1</v>
      </c>
      <c r="AE166" s="5">
        <f t="shared" si="41"/>
        <v>1</v>
      </c>
      <c r="AF166" s="5">
        <f t="shared" si="48"/>
        <v>0</v>
      </c>
      <c r="AG166">
        <f>IF(B166&lt;&gt;"", COUNTIFS($B$2:B166, B166), "")</f>
        <v>19</v>
      </c>
      <c r="AH166">
        <f t="shared" si="49"/>
        <v>5</v>
      </c>
      <c r="AI166" t="str">
        <f>VLOOKUP(B166, Currency!A:B, 2, FALSE)</f>
        <v>INR</v>
      </c>
      <c r="AJ166">
        <f t="shared" si="42"/>
        <v>4</v>
      </c>
      <c r="AK166">
        <f t="shared" si="50"/>
        <v>8</v>
      </c>
      <c r="AL166" t="str">
        <f t="shared" si="51"/>
        <v>August</v>
      </c>
      <c r="AM166">
        <f t="shared" si="52"/>
        <v>2023</v>
      </c>
      <c r="AN166" t="str">
        <f t="shared" si="58"/>
        <v>30Shree Shyam Enterprises</v>
      </c>
      <c r="AO166">
        <f>IF(COUNTIF($AN$2:AN166, AN166)=1, 1, 0)</f>
        <v>0</v>
      </c>
      <c r="AP166" t="str">
        <f t="shared" si="53"/>
        <v>&gt;3</v>
      </c>
      <c r="AQ166" t="str">
        <f t="shared" si="54"/>
        <v>&gt;3</v>
      </c>
      <c r="AR166" t="str">
        <f t="shared" si="55"/>
        <v>&lt;=3</v>
      </c>
    </row>
    <row r="167" spans="1:44" x14ac:dyDescent="0.3">
      <c r="A167" t="str">
        <f>A49</f>
        <v>Woodpulp</v>
      </c>
      <c r="B167" t="s">
        <v>96</v>
      </c>
      <c r="C167" t="s">
        <v>97</v>
      </c>
      <c r="D167">
        <v>1229</v>
      </c>
      <c r="E167">
        <v>23320004</v>
      </c>
      <c r="F167" t="s">
        <v>585</v>
      </c>
      <c r="G167" t="s">
        <v>99</v>
      </c>
      <c r="H167">
        <v>78</v>
      </c>
      <c r="I167">
        <v>820</v>
      </c>
      <c r="J167">
        <v>5187156</v>
      </c>
      <c r="K167" t="str">
        <f>IFERROR(IF(B167&lt;&gt;"", TEXT(VLOOKUP(B167, 'Expected Date'!A:B, 2, FALSE) + DATE(RIGHT(C167,2),MID(C167,4,2),LEFT(C167,2)), "dd/mm/yy"), ""), "")</f>
        <v>10/06/23</v>
      </c>
      <c r="L167" t="s">
        <v>38</v>
      </c>
      <c r="M167" t="str">
        <f>M108</f>
        <v>MT</v>
      </c>
      <c r="N167" t="s">
        <v>102</v>
      </c>
      <c r="O167" t="s">
        <v>286</v>
      </c>
      <c r="P167">
        <v>23390494</v>
      </c>
      <c r="Q167" t="s">
        <v>585</v>
      </c>
      <c r="R167" t="s">
        <v>586</v>
      </c>
      <c r="S167">
        <v>26.311</v>
      </c>
      <c r="T167">
        <v>820</v>
      </c>
      <c r="U167">
        <v>1773466.64</v>
      </c>
      <c r="V167" t="str">
        <f t="shared" si="56"/>
        <v>Accepted</v>
      </c>
      <c r="W167">
        <f>IFERROR(VLOOKUP(N167, Payment_Terms!A:B, 2, FALSE), "Payment term not found!")</f>
        <v>60</v>
      </c>
      <c r="X167" t="str">
        <f>IFERROR(VLOOKUP(R167, Item_Category!A:B, 2, FALSE), "Uncategorized")</f>
        <v>Wood pulp</v>
      </c>
      <c r="Y167" s="5">
        <f t="shared" si="57"/>
        <v>0</v>
      </c>
      <c r="Z167">
        <f t="shared" si="44"/>
        <v>5</v>
      </c>
      <c r="AA167">
        <f t="shared" si="45"/>
        <v>82</v>
      </c>
      <c r="AB167">
        <f t="shared" si="46"/>
        <v>1</v>
      </c>
      <c r="AC167" s="10">
        <f t="shared" si="47"/>
        <v>142</v>
      </c>
      <c r="AD167" s="5">
        <f t="shared" si="40"/>
        <v>1</v>
      </c>
      <c r="AE167" s="5">
        <f t="shared" si="41"/>
        <v>1</v>
      </c>
      <c r="AF167" s="5">
        <f t="shared" si="48"/>
        <v>0</v>
      </c>
      <c r="AG167">
        <f>IF(B167&lt;&gt;"", COUNTIFS($B$2:B167, B167), "")</f>
        <v>6</v>
      </c>
      <c r="AH167">
        <f t="shared" si="49"/>
        <v>5</v>
      </c>
      <c r="AI167" t="str">
        <f>VLOOKUP(B167, Currency!A:B, 2, FALSE)</f>
        <v>USD</v>
      </c>
      <c r="AJ167">
        <f t="shared" si="42"/>
        <v>4</v>
      </c>
      <c r="AK167">
        <f t="shared" si="50"/>
        <v>4</v>
      </c>
      <c r="AL167" t="str">
        <f t="shared" si="51"/>
        <v>April</v>
      </c>
      <c r="AM167">
        <f t="shared" si="52"/>
        <v>2023</v>
      </c>
      <c r="AN167" t="str">
        <f t="shared" si="58"/>
        <v>60G P Cellulose GMBH</v>
      </c>
      <c r="AO167">
        <f>IF(COUNTIF($AN$2:AN167, AN167)=1, 1, 0)</f>
        <v>0</v>
      </c>
      <c r="AP167" t="str">
        <f t="shared" si="53"/>
        <v>&gt;3</v>
      </c>
      <c r="AQ167" t="str">
        <f t="shared" si="54"/>
        <v>&gt;3</v>
      </c>
      <c r="AR167" t="str">
        <f t="shared" si="55"/>
        <v>&lt;=3</v>
      </c>
    </row>
    <row r="168" spans="1:44" x14ac:dyDescent="0.3">
      <c r="A168" t="s">
        <v>33</v>
      </c>
      <c r="B168" t="s">
        <v>557</v>
      </c>
      <c r="C168" t="s">
        <v>354</v>
      </c>
      <c r="D168">
        <v>2796</v>
      </c>
      <c r="E168">
        <v>23310215</v>
      </c>
      <c r="F168" t="s">
        <v>558</v>
      </c>
      <c r="G168" t="s">
        <v>384</v>
      </c>
      <c r="H168">
        <v>400</v>
      </c>
      <c r="I168">
        <v>99</v>
      </c>
      <c r="J168">
        <v>39600</v>
      </c>
      <c r="K168" t="str">
        <f>IFERROR(IF(B168&lt;&gt;"", TEXT(VLOOKUP(B168, 'Expected Date'!A:B, 2, FALSE) + DATE(RIGHT(C168,2),MID(C168,4,2),LEFT(C168,2)), "dd/mm/yy"), ""), "")</f>
        <v>13/07/23</v>
      </c>
      <c r="L168" t="s">
        <v>68</v>
      </c>
      <c r="M168" t="s">
        <v>48</v>
      </c>
      <c r="N168" t="s">
        <v>364</v>
      </c>
      <c r="O168" t="s">
        <v>599</v>
      </c>
      <c r="P168">
        <v>23390348</v>
      </c>
      <c r="Q168" t="s">
        <v>558</v>
      </c>
      <c r="R168" t="s">
        <v>559</v>
      </c>
      <c r="S168">
        <v>100</v>
      </c>
      <c r="T168">
        <v>99</v>
      </c>
      <c r="U168">
        <v>9900</v>
      </c>
      <c r="V168" t="str">
        <f t="shared" si="56"/>
        <v>Accepted</v>
      </c>
      <c r="W168">
        <f>IFERROR(VLOOKUP(N168, Payment_Terms!A:B, 2, FALSE), "Payment term not found!")</f>
        <v>30</v>
      </c>
      <c r="X168" t="str">
        <f>IFERROR(VLOOKUP(R168, Item_Category!A:B, 2, FALSE), "Uncategorized")</f>
        <v>Anhydrous Ammonia</v>
      </c>
      <c r="Y168" s="5">
        <f t="shared" si="57"/>
        <v>0.25</v>
      </c>
      <c r="Z168">
        <f t="shared" si="44"/>
        <v>1</v>
      </c>
      <c r="AA168">
        <f t="shared" si="45"/>
        <v>10</v>
      </c>
      <c r="AB168">
        <f t="shared" si="46"/>
        <v>2</v>
      </c>
      <c r="AC168" s="10">
        <f t="shared" si="47"/>
        <v>20</v>
      </c>
      <c r="AD168" s="5">
        <f t="shared" si="40"/>
        <v>1</v>
      </c>
      <c r="AE168" s="5">
        <f t="shared" si="41"/>
        <v>1</v>
      </c>
      <c r="AF168" s="5">
        <f t="shared" si="48"/>
        <v>0</v>
      </c>
      <c r="AG168">
        <f>IF(B168&lt;&gt;"", COUNTIFS($B$2:B168, B168), "")</f>
        <v>17</v>
      </c>
      <c r="AH168">
        <f t="shared" si="49"/>
        <v>5</v>
      </c>
      <c r="AI168" t="str">
        <f>VLOOKUP(B168, Currency!A:B, 2, FALSE)</f>
        <v>INR</v>
      </c>
      <c r="AJ168">
        <f t="shared" si="42"/>
        <v>3</v>
      </c>
      <c r="AK168">
        <f t="shared" si="50"/>
        <v>7</v>
      </c>
      <c r="AL168" t="str">
        <f t="shared" si="51"/>
        <v>July</v>
      </c>
      <c r="AM168">
        <f t="shared" si="52"/>
        <v>2023</v>
      </c>
      <c r="AN168" t="str">
        <f t="shared" si="58"/>
        <v>30Jaysons Chemical Industries Vapi</v>
      </c>
      <c r="AO168">
        <f>IF(COUNTIF($AN$2:AN168, AN168)=1, 1, 0)</f>
        <v>0</v>
      </c>
      <c r="AP168" t="str">
        <f t="shared" si="53"/>
        <v>&gt;3</v>
      </c>
      <c r="AQ168" t="str">
        <f t="shared" si="54"/>
        <v>&lt;=3</v>
      </c>
      <c r="AR168" t="str">
        <f t="shared" si="55"/>
        <v>&lt;=3</v>
      </c>
    </row>
    <row r="169" spans="1:44" x14ac:dyDescent="0.3">
      <c r="A169" t="s">
        <v>33</v>
      </c>
      <c r="B169" t="s">
        <v>366</v>
      </c>
      <c r="C169" t="s">
        <v>203</v>
      </c>
      <c r="D169">
        <v>3212</v>
      </c>
      <c r="E169">
        <v>23310240</v>
      </c>
      <c r="F169" t="s">
        <v>569</v>
      </c>
      <c r="G169" t="s">
        <v>570</v>
      </c>
      <c r="H169">
        <v>100</v>
      </c>
      <c r="I169">
        <v>9800</v>
      </c>
      <c r="J169">
        <v>980000</v>
      </c>
      <c r="K169" t="str">
        <f>IFERROR(IF(B169&lt;&gt;"", TEXT(VLOOKUP(B169, 'Expected Date'!A:B, 2, FALSE) + DATE(RIGHT(C169,2),MID(C169,4,2),LEFT(C169,2)), "dd/mm/yy"), ""), "")</f>
        <v>18/07/23</v>
      </c>
      <c r="L169" t="s">
        <v>38</v>
      </c>
      <c r="M169" t="s">
        <v>48</v>
      </c>
      <c r="N169" t="s">
        <v>574</v>
      </c>
      <c r="O169" t="s">
        <v>131</v>
      </c>
      <c r="P169">
        <v>23390357</v>
      </c>
      <c r="Q169" t="s">
        <v>569</v>
      </c>
      <c r="R169" t="s">
        <v>570</v>
      </c>
      <c r="S169">
        <v>29.09</v>
      </c>
      <c r="T169">
        <v>9800</v>
      </c>
      <c r="U169">
        <v>285082</v>
      </c>
      <c r="V169" t="str">
        <f t="shared" si="56"/>
        <v>Accepted</v>
      </c>
      <c r="W169">
        <f>IFERROR(VLOOKUP(N169, Payment_Terms!A:B, 2, FALSE), "Payment term not found!")</f>
        <v>0</v>
      </c>
      <c r="X169" t="str">
        <f>IFERROR(VLOOKUP(R169, Item_Category!A:B, 2, FALSE), "Uncategorized")</f>
        <v>Coal materials</v>
      </c>
      <c r="Y169" s="5">
        <f t="shared" si="57"/>
        <v>0</v>
      </c>
      <c r="Z169">
        <f t="shared" si="44"/>
        <v>5</v>
      </c>
      <c r="AA169">
        <f t="shared" si="45"/>
        <v>6</v>
      </c>
      <c r="AB169">
        <f t="shared" si="46"/>
        <v>3</v>
      </c>
      <c r="AC169" s="10">
        <f t="shared" si="47"/>
        <v>8</v>
      </c>
      <c r="AD169" s="5">
        <f t="shared" si="40"/>
        <v>1</v>
      </c>
      <c r="AE169" s="5">
        <f t="shared" si="41"/>
        <v>1</v>
      </c>
      <c r="AF169" s="5">
        <f t="shared" si="48"/>
        <v>0</v>
      </c>
      <c r="AG169">
        <f>IF(B169&lt;&gt;"", COUNTIFS($B$2:B169, B169), "")</f>
        <v>27</v>
      </c>
      <c r="AH169">
        <f t="shared" si="49"/>
        <v>5</v>
      </c>
      <c r="AI169" t="str">
        <f>VLOOKUP(B169, Currency!A:B, 2, FALSE)</f>
        <v>INR</v>
      </c>
      <c r="AJ169">
        <f t="shared" si="42"/>
        <v>5</v>
      </c>
      <c r="AK169">
        <f t="shared" si="50"/>
        <v>7</v>
      </c>
      <c r="AL169" t="str">
        <f t="shared" si="51"/>
        <v>July</v>
      </c>
      <c r="AM169">
        <f t="shared" si="52"/>
        <v>2023</v>
      </c>
      <c r="AN169" t="str">
        <f t="shared" si="58"/>
        <v>0SKYWIN ENTERPRISE</v>
      </c>
      <c r="AO169">
        <f>IF(COUNTIF($AN$2:AN169, AN169)=1, 1, 0)</f>
        <v>0</v>
      </c>
      <c r="AP169" t="str">
        <f t="shared" si="53"/>
        <v>&gt;3</v>
      </c>
      <c r="AQ169" t="str">
        <f t="shared" si="54"/>
        <v>&gt;3</v>
      </c>
      <c r="AR169" t="str">
        <f t="shared" si="55"/>
        <v>&lt;=3</v>
      </c>
    </row>
    <row r="170" spans="1:44" x14ac:dyDescent="0.3">
      <c r="A170" t="s">
        <v>33</v>
      </c>
      <c r="B170" t="s">
        <v>122</v>
      </c>
      <c r="C170" t="s">
        <v>352</v>
      </c>
      <c r="D170">
        <v>2379</v>
      </c>
      <c r="E170">
        <v>23310162</v>
      </c>
      <c r="F170" t="s">
        <v>565</v>
      </c>
      <c r="G170" t="s">
        <v>566</v>
      </c>
      <c r="H170">
        <v>200</v>
      </c>
      <c r="I170">
        <v>930</v>
      </c>
      <c r="J170">
        <v>186000</v>
      </c>
      <c r="K170" t="str">
        <f>IFERROR(IF(B170&lt;&gt;"", TEXT(VLOOKUP(B170, 'Expected Date'!A:B, 2, FALSE) + DATE(RIGHT(C170,2),MID(C170,4,2),LEFT(C170,2)), "dd/mm/yy"), ""), "")</f>
        <v>17/06/23</v>
      </c>
      <c r="L170" t="s">
        <v>38</v>
      </c>
      <c r="M170" t="s">
        <v>39</v>
      </c>
      <c r="N170" t="s">
        <v>318</v>
      </c>
      <c r="O170" t="s">
        <v>195</v>
      </c>
      <c r="P170">
        <v>23390246</v>
      </c>
      <c r="Q170" t="s">
        <v>565</v>
      </c>
      <c r="R170" t="s">
        <v>566</v>
      </c>
      <c r="S170">
        <v>100</v>
      </c>
      <c r="T170">
        <v>930</v>
      </c>
      <c r="U170">
        <v>93000</v>
      </c>
      <c r="V170" t="str">
        <f t="shared" si="56"/>
        <v>Accepted</v>
      </c>
      <c r="W170">
        <f>IFERROR(VLOOKUP(N170, Payment_Terms!A:B, 2, FALSE), "Payment term not found!")</f>
        <v>30</v>
      </c>
      <c r="X170" t="str">
        <f>IFERROR(VLOOKUP(R170, Item_Category!A:B, 2, FALSE), "Uncategorized")</f>
        <v>Pallets</v>
      </c>
      <c r="Y170" s="5">
        <f t="shared" si="57"/>
        <v>0</v>
      </c>
      <c r="Z170">
        <f t="shared" si="44"/>
        <v>5</v>
      </c>
      <c r="AA170">
        <f t="shared" si="45"/>
        <v>-2</v>
      </c>
      <c r="AB170">
        <f t="shared" si="46"/>
        <v>5</v>
      </c>
      <c r="AC170" s="10">
        <f t="shared" si="47"/>
        <v>13</v>
      </c>
      <c r="AD170" s="5">
        <f t="shared" si="40"/>
        <v>1</v>
      </c>
      <c r="AE170" s="5">
        <f t="shared" si="41"/>
        <v>1</v>
      </c>
      <c r="AF170" s="5">
        <f t="shared" si="48"/>
        <v>0</v>
      </c>
      <c r="AG170">
        <f>IF(B170&lt;&gt;"", COUNTIFS($B$2:B170, B170), "")</f>
        <v>8</v>
      </c>
      <c r="AH170">
        <f t="shared" si="49"/>
        <v>5</v>
      </c>
      <c r="AI170" t="str">
        <f>VLOOKUP(B170, Currency!A:B, 2, FALSE)</f>
        <v>INR</v>
      </c>
      <c r="AJ170">
        <f t="shared" si="42"/>
        <v>5</v>
      </c>
      <c r="AK170">
        <f t="shared" si="50"/>
        <v>6</v>
      </c>
      <c r="AL170" t="str">
        <f t="shared" si="51"/>
        <v>June</v>
      </c>
      <c r="AM170">
        <f t="shared" si="52"/>
        <v>2023</v>
      </c>
      <c r="AN170" t="str">
        <f t="shared" si="58"/>
        <v>30Plastocon Industries Pvt Ltd</v>
      </c>
      <c r="AO170">
        <f>IF(COUNTIF($AN$2:AN170, AN170)=1, 1, 0)</f>
        <v>0</v>
      </c>
      <c r="AP170" t="str">
        <f t="shared" si="53"/>
        <v>&gt;3</v>
      </c>
      <c r="AQ170" t="str">
        <f t="shared" si="54"/>
        <v>&gt;3</v>
      </c>
      <c r="AR170" t="str">
        <f t="shared" si="55"/>
        <v>&gt;3</v>
      </c>
    </row>
    <row r="171" spans="1:44" x14ac:dyDescent="0.3">
      <c r="A171" t="s">
        <v>33</v>
      </c>
      <c r="B171" t="s">
        <v>366</v>
      </c>
      <c r="C171" t="s">
        <v>172</v>
      </c>
      <c r="D171">
        <v>1180</v>
      </c>
      <c r="E171">
        <v>23310003</v>
      </c>
      <c r="F171" t="s">
        <v>569</v>
      </c>
      <c r="G171" t="s">
        <v>570</v>
      </c>
      <c r="H171">
        <v>60</v>
      </c>
      <c r="I171">
        <v>10857.14</v>
      </c>
      <c r="J171">
        <v>651428.4</v>
      </c>
      <c r="K171" t="str">
        <f>IFERROR(IF(B171&lt;&gt;"", TEXT(VLOOKUP(B171, 'Expected Date'!A:B, 2, FALSE) + DATE(RIGHT(C171,2),MID(C171,4,2),LEFT(C171,2)), "dd/mm/yy"), ""), "")</f>
        <v>08/04/23</v>
      </c>
      <c r="L171" t="s">
        <v>68</v>
      </c>
      <c r="M171" t="s">
        <v>48</v>
      </c>
      <c r="N171" t="s">
        <v>574</v>
      </c>
      <c r="O171" t="s">
        <v>396</v>
      </c>
      <c r="P171">
        <v>23390010</v>
      </c>
      <c r="Q171" t="s">
        <v>569</v>
      </c>
      <c r="R171" t="s">
        <v>570</v>
      </c>
      <c r="S171">
        <v>27.7</v>
      </c>
      <c r="T171">
        <v>10857.14</v>
      </c>
      <c r="U171">
        <v>300742.78000000003</v>
      </c>
      <c r="V171" t="str">
        <f t="shared" si="56"/>
        <v>Accepted</v>
      </c>
      <c r="W171">
        <f>IFERROR(VLOOKUP(N171, Payment_Terms!A:B, 2, FALSE), "Payment term not found!")</f>
        <v>0</v>
      </c>
      <c r="X171" t="str">
        <f>IFERROR(VLOOKUP(R171, Item_Category!A:B, 2, FALSE), "Uncategorized")</f>
        <v>Coal materials</v>
      </c>
      <c r="Y171" s="5">
        <f t="shared" si="57"/>
        <v>0.16166666666666671</v>
      </c>
      <c r="Z171">
        <f t="shared" si="44"/>
        <v>1</v>
      </c>
      <c r="AA171">
        <f t="shared" si="45"/>
        <v>-1</v>
      </c>
      <c r="AB171">
        <f t="shared" si="46"/>
        <v>5</v>
      </c>
      <c r="AC171" s="10">
        <f t="shared" si="47"/>
        <v>1</v>
      </c>
      <c r="AD171" s="5">
        <f t="shared" si="40"/>
        <v>1</v>
      </c>
      <c r="AE171" s="5">
        <f t="shared" si="41"/>
        <v>1</v>
      </c>
      <c r="AF171" s="5">
        <f t="shared" si="48"/>
        <v>0</v>
      </c>
      <c r="AG171">
        <f>IF(B171&lt;&gt;"", COUNTIFS($B$2:B171, B171), "")</f>
        <v>28</v>
      </c>
      <c r="AH171">
        <f t="shared" si="49"/>
        <v>5</v>
      </c>
      <c r="AI171" t="str">
        <f>VLOOKUP(B171, Currency!A:B, 2, FALSE)</f>
        <v>INR</v>
      </c>
      <c r="AJ171">
        <f t="shared" si="42"/>
        <v>4</v>
      </c>
      <c r="AK171">
        <f t="shared" si="50"/>
        <v>4</v>
      </c>
      <c r="AL171" t="str">
        <f t="shared" si="51"/>
        <v>April</v>
      </c>
      <c r="AM171">
        <f t="shared" si="52"/>
        <v>2023</v>
      </c>
      <c r="AN171" t="str">
        <f t="shared" si="58"/>
        <v>0SKYWIN ENTERPRISE</v>
      </c>
      <c r="AO171">
        <f>IF(COUNTIF($AN$2:AN171, AN171)=1, 1, 0)</f>
        <v>0</v>
      </c>
      <c r="AP171" t="str">
        <f t="shared" si="53"/>
        <v>&gt;3</v>
      </c>
      <c r="AQ171" t="str">
        <f t="shared" si="54"/>
        <v>&lt;=3</v>
      </c>
      <c r="AR171" t="str">
        <f t="shared" si="55"/>
        <v>&gt;3</v>
      </c>
    </row>
    <row r="172" spans="1:44" x14ac:dyDescent="0.3">
      <c r="A172" t="s">
        <v>33</v>
      </c>
      <c r="B172" t="s">
        <v>366</v>
      </c>
      <c r="C172" t="s">
        <v>178</v>
      </c>
      <c r="D172">
        <v>4155</v>
      </c>
      <c r="E172">
        <v>23310339</v>
      </c>
      <c r="F172" t="s">
        <v>569</v>
      </c>
      <c r="G172" t="s">
        <v>570</v>
      </c>
      <c r="H172">
        <v>150</v>
      </c>
      <c r="I172">
        <v>9800</v>
      </c>
      <c r="J172">
        <v>1470000</v>
      </c>
      <c r="K172" t="str">
        <f>IFERROR(IF(B172&lt;&gt;"", TEXT(VLOOKUP(B172, 'Expected Date'!A:B, 2, FALSE) + DATE(RIGHT(C172,2),MID(C172,4,2),LEFT(C172,2)), "dd/mm/yy"), ""), "")</f>
        <v>03/09/23</v>
      </c>
      <c r="L172" t="s">
        <v>38</v>
      </c>
      <c r="M172" t="s">
        <v>48</v>
      </c>
      <c r="N172" t="s">
        <v>532</v>
      </c>
      <c r="O172" t="s">
        <v>496</v>
      </c>
      <c r="P172">
        <v>23390500</v>
      </c>
      <c r="Q172" t="s">
        <v>569</v>
      </c>
      <c r="R172" t="s">
        <v>570</v>
      </c>
      <c r="S172">
        <v>29.38</v>
      </c>
      <c r="T172">
        <v>9800</v>
      </c>
      <c r="U172">
        <v>287924</v>
      </c>
      <c r="V172" t="str">
        <f t="shared" si="56"/>
        <v>Accepted</v>
      </c>
      <c r="W172">
        <f>IFERROR(VLOOKUP(N172, Payment_Terms!A:B, 2, FALSE), "Payment term not found!")</f>
        <v>15</v>
      </c>
      <c r="X172" t="str">
        <f>IFERROR(VLOOKUP(R172, Item_Category!A:B, 2, FALSE), "Uncategorized")</f>
        <v>Coal materials</v>
      </c>
      <c r="Y172" s="5">
        <f t="shared" si="57"/>
        <v>0</v>
      </c>
      <c r="Z172">
        <f t="shared" si="44"/>
        <v>5</v>
      </c>
      <c r="AA172">
        <f t="shared" si="45"/>
        <v>-1</v>
      </c>
      <c r="AB172">
        <f t="shared" si="46"/>
        <v>5</v>
      </c>
      <c r="AC172" s="10">
        <f t="shared" si="47"/>
        <v>1</v>
      </c>
      <c r="AD172" s="5">
        <f t="shared" si="40"/>
        <v>1</v>
      </c>
      <c r="AE172" s="5">
        <f t="shared" si="41"/>
        <v>1</v>
      </c>
      <c r="AF172" s="5">
        <f t="shared" si="48"/>
        <v>0</v>
      </c>
      <c r="AG172">
        <f>IF(B172&lt;&gt;"", COUNTIFS($B$2:B172, B172), "")</f>
        <v>29</v>
      </c>
      <c r="AH172">
        <f t="shared" si="49"/>
        <v>5</v>
      </c>
      <c r="AI172" t="str">
        <f>VLOOKUP(B172, Currency!A:B, 2, FALSE)</f>
        <v>INR</v>
      </c>
      <c r="AJ172">
        <f t="shared" si="42"/>
        <v>5</v>
      </c>
      <c r="AK172">
        <f t="shared" si="50"/>
        <v>9</v>
      </c>
      <c r="AL172" t="str">
        <f t="shared" si="51"/>
        <v>September</v>
      </c>
      <c r="AM172">
        <f t="shared" si="52"/>
        <v>2023</v>
      </c>
      <c r="AN172" t="str">
        <f t="shared" si="58"/>
        <v>15SKYWIN ENTERPRISE</v>
      </c>
      <c r="AO172">
        <f>IF(COUNTIF($AN$2:AN172, AN172)=1, 1, 0)</f>
        <v>0</v>
      </c>
      <c r="AP172" t="str">
        <f t="shared" si="53"/>
        <v>&gt;3</v>
      </c>
      <c r="AQ172" t="str">
        <f t="shared" si="54"/>
        <v>&gt;3</v>
      </c>
      <c r="AR172" t="str">
        <f t="shared" si="55"/>
        <v>&gt;3</v>
      </c>
    </row>
    <row r="173" spans="1:44" x14ac:dyDescent="0.3">
      <c r="A173" t="s">
        <v>33</v>
      </c>
      <c r="B173" t="s">
        <v>366</v>
      </c>
      <c r="C173" t="s">
        <v>178</v>
      </c>
      <c r="D173">
        <v>4155</v>
      </c>
      <c r="E173">
        <v>23310339</v>
      </c>
      <c r="F173" t="s">
        <v>569</v>
      </c>
      <c r="G173" t="s">
        <v>570</v>
      </c>
      <c r="H173">
        <v>150</v>
      </c>
      <c r="I173">
        <v>9800</v>
      </c>
      <c r="J173">
        <v>1470000</v>
      </c>
      <c r="K173" t="str">
        <f>IFERROR(IF(B173&lt;&gt;"", TEXT(VLOOKUP(B173, 'Expected Date'!A:B, 2, FALSE) + DATE(RIGHT(C173,2),MID(C173,4,2),LEFT(C173,2)), "dd/mm/yy"), ""), "")</f>
        <v>03/09/23</v>
      </c>
      <c r="L173" t="s">
        <v>38</v>
      </c>
      <c r="M173" t="s">
        <v>48</v>
      </c>
      <c r="N173" t="s">
        <v>532</v>
      </c>
      <c r="O173" t="s">
        <v>281</v>
      </c>
      <c r="P173">
        <v>23390505</v>
      </c>
      <c r="Q173" t="s">
        <v>569</v>
      </c>
      <c r="R173" t="s">
        <v>570</v>
      </c>
      <c r="S173">
        <v>29.51</v>
      </c>
      <c r="T173">
        <v>9800</v>
      </c>
      <c r="U173">
        <v>289198</v>
      </c>
      <c r="V173" t="str">
        <f t="shared" si="56"/>
        <v>Accepted</v>
      </c>
      <c r="W173">
        <f>IFERROR(VLOOKUP(N173, Payment_Terms!A:B, 2, FALSE), "Payment term not found!")</f>
        <v>15</v>
      </c>
      <c r="X173" t="str">
        <f>IFERROR(VLOOKUP(R173, Item_Category!A:B, 2, FALSE), "Uncategorized")</f>
        <v>Coal materials</v>
      </c>
      <c r="Y173" s="5">
        <f t="shared" si="57"/>
        <v>0</v>
      </c>
      <c r="Z173">
        <f t="shared" si="44"/>
        <v>5</v>
      </c>
      <c r="AA173">
        <f t="shared" si="45"/>
        <v>2</v>
      </c>
      <c r="AB173">
        <f t="shared" si="46"/>
        <v>5</v>
      </c>
      <c r="AC173" s="10">
        <f t="shared" si="47"/>
        <v>4</v>
      </c>
      <c r="AD173" s="5">
        <f t="shared" si="40"/>
        <v>1</v>
      </c>
      <c r="AE173" s="5">
        <f t="shared" si="41"/>
        <v>1</v>
      </c>
      <c r="AF173" s="5">
        <f t="shared" si="48"/>
        <v>0</v>
      </c>
      <c r="AG173">
        <f>IF(B173&lt;&gt;"", COUNTIFS($B$2:B173, B173), "")</f>
        <v>30</v>
      </c>
      <c r="AH173">
        <f t="shared" si="49"/>
        <v>5</v>
      </c>
      <c r="AI173" t="str">
        <f>VLOOKUP(B173, Currency!A:B, 2, FALSE)</f>
        <v>INR</v>
      </c>
      <c r="AJ173">
        <f t="shared" si="42"/>
        <v>5</v>
      </c>
      <c r="AK173">
        <f t="shared" si="50"/>
        <v>9</v>
      </c>
      <c r="AL173" t="str">
        <f t="shared" si="51"/>
        <v>September</v>
      </c>
      <c r="AM173">
        <f t="shared" si="52"/>
        <v>2023</v>
      </c>
      <c r="AN173" t="str">
        <f t="shared" si="58"/>
        <v>15SKYWIN ENTERPRISE</v>
      </c>
      <c r="AO173">
        <f>IF(COUNTIF($AN$2:AN173, AN173)=1, 1, 0)</f>
        <v>0</v>
      </c>
      <c r="AP173" t="str">
        <f t="shared" si="53"/>
        <v>&gt;3</v>
      </c>
      <c r="AQ173" t="str">
        <f t="shared" si="54"/>
        <v>&gt;3</v>
      </c>
      <c r="AR173" t="str">
        <f t="shared" si="55"/>
        <v>&gt;3</v>
      </c>
    </row>
    <row r="174" spans="1:44" x14ac:dyDescent="0.3">
      <c r="A174" t="s">
        <v>33</v>
      </c>
      <c r="B174" t="s">
        <v>366</v>
      </c>
      <c r="C174" t="s">
        <v>58</v>
      </c>
      <c r="D174">
        <v>3581</v>
      </c>
      <c r="E174">
        <v>23310287</v>
      </c>
      <c r="F174" t="s">
        <v>569</v>
      </c>
      <c r="G174" t="s">
        <v>570</v>
      </c>
      <c r="H174">
        <v>100</v>
      </c>
      <c r="I174">
        <v>9800</v>
      </c>
      <c r="J174">
        <v>980000</v>
      </c>
      <c r="K174" t="str">
        <f>IFERROR(IF(B174&lt;&gt;"", TEXT(VLOOKUP(B174, 'Expected Date'!A:B, 2, FALSE) + DATE(RIGHT(C174,2),MID(C174,4,2),LEFT(C174,2)), "dd/mm/yy"), ""), "")</f>
        <v>03/08/23</v>
      </c>
      <c r="L174" t="s">
        <v>38</v>
      </c>
      <c r="M174" t="s">
        <v>48</v>
      </c>
      <c r="N174" t="s">
        <v>532</v>
      </c>
      <c r="O174" t="s">
        <v>208</v>
      </c>
      <c r="P174">
        <v>23390417</v>
      </c>
      <c r="Q174" t="s">
        <v>569</v>
      </c>
      <c r="R174" t="s">
        <v>570</v>
      </c>
      <c r="S174">
        <v>28.85</v>
      </c>
      <c r="T174">
        <v>9800</v>
      </c>
      <c r="U174">
        <v>282730</v>
      </c>
      <c r="V174" t="str">
        <f t="shared" si="56"/>
        <v>Accepted</v>
      </c>
      <c r="W174">
        <f>IFERROR(VLOOKUP(N174, Payment_Terms!A:B, 2, FALSE), "Payment term not found!")</f>
        <v>15</v>
      </c>
      <c r="X174" t="str">
        <f>IFERROR(VLOOKUP(R174, Item_Category!A:B, 2, FALSE), "Uncategorized")</f>
        <v>Coal materials</v>
      </c>
      <c r="Y174" s="5">
        <f t="shared" si="57"/>
        <v>0</v>
      </c>
      <c r="Z174">
        <f t="shared" si="44"/>
        <v>5</v>
      </c>
      <c r="AA174">
        <f t="shared" si="45"/>
        <v>9</v>
      </c>
      <c r="AB174">
        <f t="shared" si="46"/>
        <v>2</v>
      </c>
      <c r="AC174" s="10">
        <f t="shared" si="47"/>
        <v>11</v>
      </c>
      <c r="AD174" s="5">
        <f t="shared" si="40"/>
        <v>1</v>
      </c>
      <c r="AE174" s="5">
        <f t="shared" si="41"/>
        <v>1</v>
      </c>
      <c r="AF174" s="5">
        <f t="shared" si="48"/>
        <v>0</v>
      </c>
      <c r="AG174">
        <f>IF(B174&lt;&gt;"", COUNTIFS($B$2:B174, B174), "")</f>
        <v>31</v>
      </c>
      <c r="AH174">
        <f t="shared" si="49"/>
        <v>5</v>
      </c>
      <c r="AI174" t="str">
        <f>VLOOKUP(B174, Currency!A:B, 2, FALSE)</f>
        <v>INR</v>
      </c>
      <c r="AJ174">
        <f t="shared" si="42"/>
        <v>5</v>
      </c>
      <c r="AK174">
        <f t="shared" si="50"/>
        <v>8</v>
      </c>
      <c r="AL174" t="str">
        <f t="shared" si="51"/>
        <v>August</v>
      </c>
      <c r="AM174">
        <f t="shared" si="52"/>
        <v>2023</v>
      </c>
      <c r="AN174" t="str">
        <f t="shared" si="58"/>
        <v>15SKYWIN ENTERPRISE</v>
      </c>
      <c r="AO174">
        <f>IF(COUNTIF($AN$2:AN174, AN174)=1, 1, 0)</f>
        <v>0</v>
      </c>
      <c r="AP174" t="str">
        <f t="shared" si="53"/>
        <v>&gt;3</v>
      </c>
      <c r="AQ174" t="str">
        <f t="shared" si="54"/>
        <v>&gt;3</v>
      </c>
      <c r="AR174" t="str">
        <f t="shared" si="55"/>
        <v>&lt;=3</v>
      </c>
    </row>
    <row r="175" spans="1:44" x14ac:dyDescent="0.3">
      <c r="A175" t="s">
        <v>33</v>
      </c>
      <c r="B175" t="s">
        <v>386</v>
      </c>
      <c r="C175" t="s">
        <v>496</v>
      </c>
      <c r="D175">
        <v>4201</v>
      </c>
      <c r="E175">
        <v>23310343</v>
      </c>
      <c r="F175" t="s">
        <v>554</v>
      </c>
      <c r="G175" t="s">
        <v>555</v>
      </c>
      <c r="H175">
        <v>8000</v>
      </c>
      <c r="I175">
        <v>19.5</v>
      </c>
      <c r="J175">
        <v>156000</v>
      </c>
      <c r="K175" t="str">
        <f>IFERROR(IF(B175&lt;&gt;"", TEXT(VLOOKUP(B175, 'Expected Date'!A:B, 2, FALSE) + DATE(RIGHT(C175,2),MID(C175,4,2),LEFT(C175,2)), "dd/mm/yy"), ""), "")</f>
        <v>07/09/23</v>
      </c>
      <c r="L175" t="s">
        <v>38</v>
      </c>
      <c r="M175" t="s">
        <v>39</v>
      </c>
      <c r="N175" t="s">
        <v>318</v>
      </c>
      <c r="O175" t="s">
        <v>284</v>
      </c>
      <c r="P175">
        <v>23390504</v>
      </c>
      <c r="Q175" t="s">
        <v>554</v>
      </c>
      <c r="R175" t="s">
        <v>555</v>
      </c>
      <c r="S175">
        <v>4700</v>
      </c>
      <c r="T175">
        <v>19.5</v>
      </c>
      <c r="U175">
        <v>91650</v>
      </c>
      <c r="V175" t="str">
        <f t="shared" si="56"/>
        <v>Accepted</v>
      </c>
      <c r="W175">
        <f>IFERROR(VLOOKUP(N175, Payment_Terms!A:B, 2, FALSE), "Payment term not found!")</f>
        <v>30</v>
      </c>
      <c r="X175" t="str">
        <f>IFERROR(VLOOKUP(R175, Item_Category!A:B, 2, FALSE), "Uncategorized")</f>
        <v>HDPE bag acecel</v>
      </c>
      <c r="Y175" s="5">
        <f t="shared" si="57"/>
        <v>0</v>
      </c>
      <c r="Z175">
        <f t="shared" si="44"/>
        <v>5</v>
      </c>
      <c r="AA175">
        <f t="shared" si="45"/>
        <v>-3</v>
      </c>
      <c r="AB175">
        <f t="shared" si="46"/>
        <v>5</v>
      </c>
      <c r="AC175" s="10">
        <f t="shared" si="47"/>
        <v>2</v>
      </c>
      <c r="AD175" s="5">
        <f t="shared" si="40"/>
        <v>1</v>
      </c>
      <c r="AE175" s="5">
        <f t="shared" si="41"/>
        <v>1</v>
      </c>
      <c r="AF175" s="5">
        <f t="shared" si="48"/>
        <v>0</v>
      </c>
      <c r="AG175">
        <f>IF(B175&lt;&gt;"", COUNTIFS($B$2:B175, B175), "")</f>
        <v>20</v>
      </c>
      <c r="AH175">
        <f t="shared" si="49"/>
        <v>5</v>
      </c>
      <c r="AI175" t="str">
        <f>VLOOKUP(B175, Currency!A:B, 2, FALSE)</f>
        <v>INR</v>
      </c>
      <c r="AJ175">
        <f t="shared" si="42"/>
        <v>5</v>
      </c>
      <c r="AK175">
        <f t="shared" si="50"/>
        <v>9</v>
      </c>
      <c r="AL175" t="str">
        <f t="shared" si="51"/>
        <v>September</v>
      </c>
      <c r="AM175">
        <f t="shared" si="52"/>
        <v>2023</v>
      </c>
      <c r="AN175" t="str">
        <f t="shared" si="58"/>
        <v>30Shree Shyam Enterprises</v>
      </c>
      <c r="AO175">
        <f>IF(COUNTIF($AN$2:AN175, AN175)=1, 1, 0)</f>
        <v>0</v>
      </c>
      <c r="AP175" t="str">
        <f t="shared" si="53"/>
        <v>&gt;3</v>
      </c>
      <c r="AQ175" t="str">
        <f t="shared" si="54"/>
        <v>&gt;3</v>
      </c>
      <c r="AR175" t="str">
        <f t="shared" si="55"/>
        <v>&gt;3</v>
      </c>
    </row>
    <row r="176" spans="1:44" x14ac:dyDescent="0.3">
      <c r="A176" t="s">
        <v>33</v>
      </c>
      <c r="B176" t="s">
        <v>386</v>
      </c>
      <c r="C176" t="s">
        <v>57</v>
      </c>
      <c r="D176">
        <v>3521</v>
      </c>
      <c r="E176">
        <v>23310273</v>
      </c>
      <c r="F176" t="s">
        <v>567</v>
      </c>
      <c r="G176" t="s">
        <v>568</v>
      </c>
      <c r="H176">
        <v>500</v>
      </c>
      <c r="I176">
        <v>133</v>
      </c>
      <c r="J176">
        <v>66500</v>
      </c>
      <c r="K176" t="str">
        <f>IFERROR(IF(B176&lt;&gt;"", TEXT(VLOOKUP(B176, 'Expected Date'!A:B, 2, FALSE) + DATE(RIGHT(C176,2),MID(C176,4,2),LEFT(C176,2)), "dd/mm/yy"), ""), "")</f>
        <v>08/08/23</v>
      </c>
      <c r="L176" t="s">
        <v>38</v>
      </c>
      <c r="M176" t="s">
        <v>39</v>
      </c>
      <c r="N176" t="s">
        <v>318</v>
      </c>
      <c r="O176" t="s">
        <v>121</v>
      </c>
      <c r="P176">
        <v>23390416</v>
      </c>
      <c r="Q176" t="s">
        <v>567</v>
      </c>
      <c r="R176" t="s">
        <v>568</v>
      </c>
      <c r="S176">
        <v>815.6</v>
      </c>
      <c r="T176">
        <v>133</v>
      </c>
      <c r="U176">
        <v>108474.8</v>
      </c>
      <c r="V176" t="str">
        <f t="shared" si="56"/>
        <v>Accepted</v>
      </c>
      <c r="W176">
        <f>IFERROR(VLOOKUP(N176, Payment_Terms!A:B, 2, FALSE), "Payment term not found!")</f>
        <v>30</v>
      </c>
      <c r="X176" t="str">
        <f>IFERROR(VLOOKUP(R176, Item_Category!A:B, 2, FALSE), "Uncategorized")</f>
        <v>Liner</v>
      </c>
      <c r="Y176" s="5">
        <f t="shared" si="57"/>
        <v>0</v>
      </c>
      <c r="Z176">
        <f t="shared" si="44"/>
        <v>5</v>
      </c>
      <c r="AA176">
        <f t="shared" si="45"/>
        <v>2</v>
      </c>
      <c r="AB176">
        <f t="shared" si="46"/>
        <v>5</v>
      </c>
      <c r="AC176" s="10">
        <f t="shared" si="47"/>
        <v>7</v>
      </c>
      <c r="AD176" s="5">
        <f t="shared" si="40"/>
        <v>1</v>
      </c>
      <c r="AE176" s="5">
        <f t="shared" si="41"/>
        <v>1</v>
      </c>
      <c r="AF176" s="5">
        <f t="shared" si="48"/>
        <v>0</v>
      </c>
      <c r="AG176">
        <f>IF(B176&lt;&gt;"", COUNTIFS($B$2:B176, B176), "")</f>
        <v>21</v>
      </c>
      <c r="AH176">
        <f t="shared" si="49"/>
        <v>5</v>
      </c>
      <c r="AI176" t="str">
        <f>VLOOKUP(B176, Currency!A:B, 2, FALSE)</f>
        <v>INR</v>
      </c>
      <c r="AJ176">
        <f t="shared" si="42"/>
        <v>5</v>
      </c>
      <c r="AK176">
        <f t="shared" si="50"/>
        <v>8</v>
      </c>
      <c r="AL176" t="str">
        <f t="shared" si="51"/>
        <v>August</v>
      </c>
      <c r="AM176">
        <f t="shared" si="52"/>
        <v>2023</v>
      </c>
      <c r="AN176" t="str">
        <f t="shared" si="58"/>
        <v>30Shree Shyam Enterprises</v>
      </c>
      <c r="AO176">
        <f>IF(COUNTIF($AN$2:AN176, AN176)=1, 1, 0)</f>
        <v>0</v>
      </c>
      <c r="AP176" t="str">
        <f t="shared" si="53"/>
        <v>&gt;3</v>
      </c>
      <c r="AQ176" t="str">
        <f t="shared" si="54"/>
        <v>&gt;3</v>
      </c>
      <c r="AR176" t="str">
        <f t="shared" si="55"/>
        <v>&gt;3</v>
      </c>
    </row>
    <row r="177" spans="1:44" x14ac:dyDescent="0.3">
      <c r="A177" t="s">
        <v>33</v>
      </c>
      <c r="B177" t="s">
        <v>366</v>
      </c>
      <c r="C177" t="s">
        <v>269</v>
      </c>
      <c r="D177">
        <v>2005</v>
      </c>
      <c r="E177">
        <v>23310109</v>
      </c>
      <c r="F177" t="s">
        <v>569</v>
      </c>
      <c r="G177" t="s">
        <v>570</v>
      </c>
      <c r="H177">
        <v>100</v>
      </c>
      <c r="I177">
        <v>10857.14</v>
      </c>
      <c r="J177">
        <v>1085714</v>
      </c>
      <c r="K177" t="str">
        <f>IFERROR(IF(B177&lt;&gt;"", TEXT(VLOOKUP(B177, 'Expected Date'!A:B, 2, FALSE) + DATE(RIGHT(C177,2),MID(C177,4,2),LEFT(C177,2)), "dd/mm/yy"), ""), "")</f>
        <v>17/05/23</v>
      </c>
      <c r="L177" t="s">
        <v>68</v>
      </c>
      <c r="M177" t="s">
        <v>48</v>
      </c>
      <c r="N177" t="s">
        <v>574</v>
      </c>
      <c r="O177" t="s">
        <v>416</v>
      </c>
      <c r="P177">
        <v>23390171</v>
      </c>
      <c r="Q177" t="s">
        <v>569</v>
      </c>
      <c r="R177" t="s">
        <v>570</v>
      </c>
      <c r="S177">
        <v>27.91</v>
      </c>
      <c r="T177">
        <v>10857.14</v>
      </c>
      <c r="U177">
        <v>303022.78000000003</v>
      </c>
      <c r="V177" t="str">
        <f t="shared" si="56"/>
        <v>Accepted</v>
      </c>
      <c r="W177">
        <f>IFERROR(VLOOKUP(N177, Payment_Terms!A:B, 2, FALSE), "Payment term not found!")</f>
        <v>0</v>
      </c>
      <c r="X177" t="str">
        <f>IFERROR(VLOOKUP(R177, Item_Category!A:B, 2, FALSE), "Uncategorized")</f>
        <v>Coal materials</v>
      </c>
      <c r="Y177" s="5">
        <f t="shared" si="57"/>
        <v>0.41389999999999999</v>
      </c>
      <c r="Z177">
        <f t="shared" si="44"/>
        <v>1</v>
      </c>
      <c r="AA177">
        <f t="shared" si="45"/>
        <v>3</v>
      </c>
      <c r="AB177">
        <f t="shared" si="46"/>
        <v>4</v>
      </c>
      <c r="AC177" s="10">
        <f t="shared" si="47"/>
        <v>5</v>
      </c>
      <c r="AD177" s="5">
        <f t="shared" si="40"/>
        <v>1</v>
      </c>
      <c r="AE177" s="5">
        <f t="shared" si="41"/>
        <v>1</v>
      </c>
      <c r="AF177" s="5">
        <f t="shared" si="48"/>
        <v>0</v>
      </c>
      <c r="AG177">
        <f>IF(B177&lt;&gt;"", COUNTIFS($B$2:B177, B177), "")</f>
        <v>32</v>
      </c>
      <c r="AH177">
        <f t="shared" si="49"/>
        <v>5</v>
      </c>
      <c r="AI177" t="str">
        <f>VLOOKUP(B177, Currency!A:B, 2, FALSE)</f>
        <v>INR</v>
      </c>
      <c r="AJ177">
        <f t="shared" si="42"/>
        <v>4</v>
      </c>
      <c r="AK177">
        <f t="shared" si="50"/>
        <v>5</v>
      </c>
      <c r="AL177" t="str">
        <f t="shared" si="51"/>
        <v>May</v>
      </c>
      <c r="AM177">
        <f t="shared" si="52"/>
        <v>2023</v>
      </c>
      <c r="AN177" t="str">
        <f t="shared" si="58"/>
        <v>0SKYWIN ENTERPRISE</v>
      </c>
      <c r="AO177">
        <f>IF(COUNTIF($AN$2:AN177, AN177)=1, 1, 0)</f>
        <v>0</v>
      </c>
      <c r="AP177" t="str">
        <f t="shared" si="53"/>
        <v>&gt;3</v>
      </c>
      <c r="AQ177" t="str">
        <f t="shared" si="54"/>
        <v>&lt;=3</v>
      </c>
      <c r="AR177" t="str">
        <f t="shared" si="55"/>
        <v>&gt;3</v>
      </c>
    </row>
    <row r="178" spans="1:44" x14ac:dyDescent="0.3">
      <c r="A178" t="s">
        <v>33</v>
      </c>
      <c r="B178" t="s">
        <v>386</v>
      </c>
      <c r="C178" t="s">
        <v>165</v>
      </c>
      <c r="D178">
        <v>2309</v>
      </c>
      <c r="E178">
        <v>23310159</v>
      </c>
      <c r="F178" t="s">
        <v>567</v>
      </c>
      <c r="G178" t="s">
        <v>568</v>
      </c>
      <c r="H178">
        <v>800</v>
      </c>
      <c r="I178">
        <v>133</v>
      </c>
      <c r="J178">
        <v>106400</v>
      </c>
      <c r="K178" t="str">
        <f>IFERROR(IF(B178&lt;&gt;"", TEXT(VLOOKUP(B178, 'Expected Date'!A:B, 2, FALSE) + DATE(RIGHT(C178,2),MID(C178,4,2),LEFT(C178,2)), "dd/mm/yy"), ""), "")</f>
        <v>12/06/23</v>
      </c>
      <c r="L178" t="s">
        <v>38</v>
      </c>
      <c r="M178" t="s">
        <v>39</v>
      </c>
      <c r="N178" t="s">
        <v>318</v>
      </c>
      <c r="O178" t="s">
        <v>71</v>
      </c>
      <c r="P178">
        <v>23390267</v>
      </c>
      <c r="Q178" t="s">
        <v>567</v>
      </c>
      <c r="R178" t="s">
        <v>568</v>
      </c>
      <c r="S178">
        <v>806</v>
      </c>
      <c r="T178">
        <v>133</v>
      </c>
      <c r="U178">
        <v>107198</v>
      </c>
      <c r="V178" t="str">
        <f t="shared" si="56"/>
        <v>Accepted</v>
      </c>
      <c r="W178">
        <f>IFERROR(VLOOKUP(N178, Payment_Terms!A:B, 2, FALSE), "Payment term not found!")</f>
        <v>30</v>
      </c>
      <c r="X178" t="str">
        <f>IFERROR(VLOOKUP(R178, Item_Category!A:B, 2, FALSE), "Uncategorized")</f>
        <v>Liner</v>
      </c>
      <c r="Y178" s="5">
        <f t="shared" si="57"/>
        <v>0</v>
      </c>
      <c r="Z178">
        <f t="shared" si="44"/>
        <v>5</v>
      </c>
      <c r="AA178">
        <f t="shared" si="45"/>
        <v>10</v>
      </c>
      <c r="AB178">
        <f t="shared" si="46"/>
        <v>2</v>
      </c>
      <c r="AC178" s="10">
        <f t="shared" si="47"/>
        <v>15</v>
      </c>
      <c r="AD178" s="5">
        <f t="shared" si="40"/>
        <v>1</v>
      </c>
      <c r="AE178" s="5">
        <f t="shared" si="41"/>
        <v>1</v>
      </c>
      <c r="AF178" s="5">
        <f t="shared" si="48"/>
        <v>0</v>
      </c>
      <c r="AG178">
        <f>IF(B178&lt;&gt;"", COUNTIFS($B$2:B178, B178), "")</f>
        <v>22</v>
      </c>
      <c r="AH178">
        <f t="shared" si="49"/>
        <v>5</v>
      </c>
      <c r="AI178" t="str">
        <f>VLOOKUP(B178, Currency!A:B, 2, FALSE)</f>
        <v>INR</v>
      </c>
      <c r="AJ178">
        <f t="shared" si="42"/>
        <v>5</v>
      </c>
      <c r="AK178">
        <f t="shared" si="50"/>
        <v>6</v>
      </c>
      <c r="AL178" t="str">
        <f t="shared" si="51"/>
        <v>June</v>
      </c>
      <c r="AM178">
        <f t="shared" si="52"/>
        <v>2023</v>
      </c>
      <c r="AN178" t="str">
        <f t="shared" si="58"/>
        <v>30Shree Shyam Enterprises</v>
      </c>
      <c r="AO178">
        <f>IF(COUNTIF($AN$2:AN178, AN178)=1, 1, 0)</f>
        <v>0</v>
      </c>
      <c r="AP178" t="str">
        <f t="shared" si="53"/>
        <v>&gt;3</v>
      </c>
      <c r="AQ178" t="str">
        <f t="shared" si="54"/>
        <v>&gt;3</v>
      </c>
      <c r="AR178" t="str">
        <f t="shared" si="55"/>
        <v>&lt;=3</v>
      </c>
    </row>
    <row r="179" spans="1:44" x14ac:dyDescent="0.3">
      <c r="A179" t="s">
        <v>33</v>
      </c>
      <c r="B179" t="s">
        <v>386</v>
      </c>
      <c r="C179" t="s">
        <v>428</v>
      </c>
      <c r="D179">
        <v>1184</v>
      </c>
      <c r="E179">
        <v>23310006</v>
      </c>
      <c r="F179" t="s">
        <v>554</v>
      </c>
      <c r="G179" t="s">
        <v>555</v>
      </c>
      <c r="H179">
        <v>8000</v>
      </c>
      <c r="I179">
        <v>19.5</v>
      </c>
      <c r="J179">
        <v>156000</v>
      </c>
      <c r="K179" t="str">
        <f>IFERROR(IF(B179&lt;&gt;"", TEXT(VLOOKUP(B179, 'Expected Date'!A:B, 2, FALSE) + DATE(RIGHT(C179,2),MID(C179,4,2),LEFT(C179,2)), "dd/mm/yy"), ""), "")</f>
        <v>08/04/23</v>
      </c>
      <c r="L179" t="s">
        <v>68</v>
      </c>
      <c r="M179" t="s">
        <v>39</v>
      </c>
      <c r="N179" t="s">
        <v>556</v>
      </c>
      <c r="O179" t="s">
        <v>397</v>
      </c>
      <c r="P179">
        <v>23390007</v>
      </c>
      <c r="Q179" t="s">
        <v>554</v>
      </c>
      <c r="R179" t="s">
        <v>555</v>
      </c>
      <c r="S179">
        <v>5806</v>
      </c>
      <c r="T179">
        <v>19.5</v>
      </c>
      <c r="U179">
        <v>113217</v>
      </c>
      <c r="V179" t="str">
        <f t="shared" si="56"/>
        <v>Accepted</v>
      </c>
      <c r="W179">
        <f>IFERROR(VLOOKUP(N179, Payment_Terms!A:B, 2, FALSE), "Payment term not found!")</f>
        <v>30</v>
      </c>
      <c r="X179" t="str">
        <f>IFERROR(VLOOKUP(R179, Item_Category!A:B, 2, FALSE), "Uncategorized")</f>
        <v>HDPE bag acecel</v>
      </c>
      <c r="Y179" s="5">
        <f t="shared" si="57"/>
        <v>6.0000000000000001E-3</v>
      </c>
      <c r="Z179">
        <f t="shared" si="44"/>
        <v>4</v>
      </c>
      <c r="AA179">
        <f t="shared" si="45"/>
        <v>-3</v>
      </c>
      <c r="AB179">
        <f t="shared" si="46"/>
        <v>5</v>
      </c>
      <c r="AC179" s="10">
        <f t="shared" si="47"/>
        <v>2</v>
      </c>
      <c r="AD179" s="5">
        <f t="shared" si="40"/>
        <v>1</v>
      </c>
      <c r="AE179" s="5">
        <f t="shared" si="41"/>
        <v>1</v>
      </c>
      <c r="AF179" s="5">
        <f t="shared" si="48"/>
        <v>0</v>
      </c>
      <c r="AG179">
        <f>IF(B179&lt;&gt;"", COUNTIFS($B$2:B179, B179), "")</f>
        <v>23</v>
      </c>
      <c r="AH179">
        <f t="shared" si="49"/>
        <v>5</v>
      </c>
      <c r="AI179" t="str">
        <f>VLOOKUP(B179, Currency!A:B, 2, FALSE)</f>
        <v>INR</v>
      </c>
      <c r="AJ179">
        <f t="shared" si="42"/>
        <v>5</v>
      </c>
      <c r="AK179">
        <f t="shared" si="50"/>
        <v>4</v>
      </c>
      <c r="AL179" t="str">
        <f t="shared" si="51"/>
        <v>April</v>
      </c>
      <c r="AM179">
        <f t="shared" si="52"/>
        <v>2023</v>
      </c>
      <c r="AN179" t="str">
        <f t="shared" si="58"/>
        <v>30Shree Shyam Enterprises</v>
      </c>
      <c r="AO179">
        <f>IF(COUNTIF($AN$2:AN179, AN179)=1, 1, 0)</f>
        <v>0</v>
      </c>
      <c r="AP179" t="str">
        <f t="shared" si="53"/>
        <v>&gt;3</v>
      </c>
      <c r="AQ179" t="str">
        <f t="shared" si="54"/>
        <v>&gt;3</v>
      </c>
      <c r="AR179" t="str">
        <f t="shared" si="55"/>
        <v>&gt;3</v>
      </c>
    </row>
    <row r="180" spans="1:44" x14ac:dyDescent="0.3">
      <c r="A180" t="s">
        <v>33</v>
      </c>
      <c r="B180" t="s">
        <v>366</v>
      </c>
      <c r="C180" t="s">
        <v>398</v>
      </c>
      <c r="D180">
        <v>1699</v>
      </c>
      <c r="E180">
        <v>23310072</v>
      </c>
      <c r="F180" t="s">
        <v>569</v>
      </c>
      <c r="G180" t="s">
        <v>570</v>
      </c>
      <c r="H180">
        <v>70</v>
      </c>
      <c r="I180">
        <v>10857.14</v>
      </c>
      <c r="J180">
        <v>759999.8</v>
      </c>
      <c r="K180" t="str">
        <f>IFERROR(IF(B180&lt;&gt;"", TEXT(VLOOKUP(B180, 'Expected Date'!A:B, 2, FALSE) + DATE(RIGHT(C180,2),MID(C180,4,2),LEFT(C180,2)), "dd/mm/yy"), ""), "")</f>
        <v>03/05/23</v>
      </c>
      <c r="L180" t="s">
        <v>38</v>
      </c>
      <c r="M180" t="s">
        <v>48</v>
      </c>
      <c r="N180" t="s">
        <v>574</v>
      </c>
      <c r="O180" t="s">
        <v>238</v>
      </c>
      <c r="P180">
        <v>23390097</v>
      </c>
      <c r="Q180" t="s">
        <v>569</v>
      </c>
      <c r="R180" t="s">
        <v>570</v>
      </c>
      <c r="S180">
        <v>29.54</v>
      </c>
      <c r="T180">
        <v>10857.14</v>
      </c>
      <c r="U180">
        <v>320719.92</v>
      </c>
      <c r="V180" t="str">
        <f t="shared" si="56"/>
        <v>Accepted</v>
      </c>
      <c r="W180">
        <f>IFERROR(VLOOKUP(N180, Payment_Terms!A:B, 2, FALSE), "Payment term not found!")</f>
        <v>0</v>
      </c>
      <c r="X180" t="str">
        <f>IFERROR(VLOOKUP(R180, Item_Category!A:B, 2, FALSE), "Uncategorized")</f>
        <v>Coal materials</v>
      </c>
      <c r="Y180" s="5">
        <f>IFERROR(IF(AND(E180&lt;&gt;"", G180&lt;&gt;""), MAX(0, (H180-SUMIFS(S:S, E:E, E180, G:G, G180))/H180), ""), (H180-S180)/H180)</f>
        <v>0</v>
      </c>
      <c r="Z180">
        <f t="shared" si="44"/>
        <v>5</v>
      </c>
      <c r="AA180">
        <f t="shared" si="45"/>
        <v>1</v>
      </c>
      <c r="AB180">
        <f t="shared" si="46"/>
        <v>5</v>
      </c>
      <c r="AC180" s="10">
        <f t="shared" si="47"/>
        <v>3</v>
      </c>
      <c r="AD180" s="5">
        <f t="shared" si="40"/>
        <v>1</v>
      </c>
      <c r="AE180" s="5">
        <f t="shared" si="41"/>
        <v>1</v>
      </c>
      <c r="AF180" s="5">
        <f t="shared" si="48"/>
        <v>0</v>
      </c>
      <c r="AG180">
        <f>IF(B180&lt;&gt;"", COUNTIFS($B$2:B180, B180), "")</f>
        <v>33</v>
      </c>
      <c r="AH180">
        <f t="shared" si="49"/>
        <v>5</v>
      </c>
      <c r="AI180" t="str">
        <f>VLOOKUP(B180, Currency!A:B, 2, FALSE)</f>
        <v>INR</v>
      </c>
      <c r="AJ180">
        <f t="shared" si="42"/>
        <v>5</v>
      </c>
      <c r="AK180">
        <f t="shared" si="50"/>
        <v>5</v>
      </c>
      <c r="AL180" t="str">
        <f t="shared" si="51"/>
        <v>May</v>
      </c>
      <c r="AM180">
        <f t="shared" si="52"/>
        <v>2023</v>
      </c>
      <c r="AN180" t="str">
        <f t="shared" si="58"/>
        <v>0SKYWIN ENTERPRISE</v>
      </c>
      <c r="AO180">
        <f>IF(COUNTIF($AN$2:AN180, AN180)=1, 1, 0)</f>
        <v>0</v>
      </c>
      <c r="AP180" t="str">
        <f t="shared" si="53"/>
        <v>&gt;3</v>
      </c>
      <c r="AQ180" t="str">
        <f t="shared" si="54"/>
        <v>&gt;3</v>
      </c>
      <c r="AR180" t="str">
        <f t="shared" si="55"/>
        <v>&gt;3</v>
      </c>
    </row>
    <row r="181" spans="1:44" x14ac:dyDescent="0.3">
      <c r="A181" t="s">
        <v>33</v>
      </c>
      <c r="B181" t="s">
        <v>513</v>
      </c>
      <c r="C181" t="s">
        <v>354</v>
      </c>
      <c r="D181">
        <v>2797</v>
      </c>
      <c r="E181">
        <v>23310216</v>
      </c>
      <c r="F181" t="s">
        <v>563</v>
      </c>
      <c r="G181" t="s">
        <v>515</v>
      </c>
      <c r="H181">
        <v>2500</v>
      </c>
      <c r="I181">
        <v>26</v>
      </c>
      <c r="J181">
        <v>65000</v>
      </c>
      <c r="K181" t="str">
        <f>IFERROR(IF(B181&lt;&gt;"", TEXT(VLOOKUP(B181, 'Expected Date'!A:B, 2, FALSE) + DATE(RIGHT(C181,2),MID(C181,4,2),LEFT(C181,2)), "dd/mm/yy"), ""), "")</f>
        <v>05/07/23</v>
      </c>
      <c r="L181" t="s">
        <v>38</v>
      </c>
      <c r="M181" t="s">
        <v>48</v>
      </c>
      <c r="N181" t="s">
        <v>342</v>
      </c>
      <c r="O181" t="s">
        <v>203</v>
      </c>
      <c r="P181">
        <v>23390331</v>
      </c>
      <c r="Q181" t="s">
        <v>563</v>
      </c>
      <c r="R181" t="s">
        <v>564</v>
      </c>
      <c r="S181">
        <v>1000</v>
      </c>
      <c r="T181">
        <v>26</v>
      </c>
      <c r="U181">
        <v>26000</v>
      </c>
      <c r="V181" t="str">
        <f t="shared" si="56"/>
        <v>Accepted</v>
      </c>
      <c r="W181">
        <f>IFERROR(VLOOKUP(N181, Payment_Terms!A:B, 2, FALSE), "Payment term not found!")</f>
        <v>30</v>
      </c>
      <c r="X181" t="str">
        <f>IFERROR(VLOOKUP(R181, Item_Category!A:B, 2, FALSE), "Uncategorized")</f>
        <v xml:space="preserve">Caustic Soda </v>
      </c>
      <c r="Y181" s="5">
        <f t="shared" si="57"/>
        <v>0</v>
      </c>
      <c r="Z181">
        <f t="shared" si="44"/>
        <v>5</v>
      </c>
      <c r="AA181">
        <f t="shared" si="45"/>
        <v>11</v>
      </c>
      <c r="AB181">
        <f t="shared" si="46"/>
        <v>1</v>
      </c>
      <c r="AC181" s="10">
        <f t="shared" si="47"/>
        <v>13</v>
      </c>
      <c r="AD181" s="5">
        <f t="shared" si="40"/>
        <v>1</v>
      </c>
      <c r="AE181" s="5">
        <f t="shared" si="41"/>
        <v>1</v>
      </c>
      <c r="AF181" s="5">
        <f t="shared" si="48"/>
        <v>0</v>
      </c>
      <c r="AG181">
        <f>IF(B181&lt;&gt;"", COUNTIFS($B$2:B181, B181), "")</f>
        <v>17</v>
      </c>
      <c r="AH181">
        <f t="shared" si="49"/>
        <v>5</v>
      </c>
      <c r="AI181" t="str">
        <f>VLOOKUP(B181, Currency!A:B, 2, FALSE)</f>
        <v>INR</v>
      </c>
      <c r="AJ181">
        <f t="shared" si="42"/>
        <v>4</v>
      </c>
      <c r="AK181">
        <f t="shared" si="50"/>
        <v>7</v>
      </c>
      <c r="AL181" t="str">
        <f t="shared" si="51"/>
        <v>July</v>
      </c>
      <c r="AM181">
        <f t="shared" si="52"/>
        <v>2023</v>
      </c>
      <c r="AN181" t="str">
        <f t="shared" si="58"/>
        <v>30J.K.Marketing</v>
      </c>
      <c r="AO181">
        <f>IF(COUNTIF($AN$2:AN181, AN181)=1, 1, 0)</f>
        <v>0</v>
      </c>
      <c r="AP181" t="str">
        <f t="shared" si="53"/>
        <v>&gt;3</v>
      </c>
      <c r="AQ181" t="str">
        <f t="shared" si="54"/>
        <v>&gt;3</v>
      </c>
      <c r="AR181" t="str">
        <f t="shared" si="55"/>
        <v>&lt;=3</v>
      </c>
    </row>
    <row r="182" spans="1:44" x14ac:dyDescent="0.3">
      <c r="A182" t="s">
        <v>33</v>
      </c>
      <c r="B182" t="s">
        <v>386</v>
      </c>
      <c r="C182" t="s">
        <v>57</v>
      </c>
      <c r="D182">
        <v>3521</v>
      </c>
      <c r="E182">
        <v>23310273</v>
      </c>
      <c r="F182" t="s">
        <v>554</v>
      </c>
      <c r="G182" t="s">
        <v>555</v>
      </c>
      <c r="H182">
        <v>8000</v>
      </c>
      <c r="I182">
        <v>19.5</v>
      </c>
      <c r="J182">
        <v>156000</v>
      </c>
      <c r="K182" t="str">
        <f>IFERROR(IF(B182&lt;&gt;"", TEXT(VLOOKUP(B182, 'Expected Date'!A:B, 2, FALSE) + DATE(RIGHT(C182,2),MID(C182,4,2),LEFT(C182,2)), "dd/mm/yy"), ""), "")</f>
        <v>08/08/23</v>
      </c>
      <c r="L182" t="s">
        <v>38</v>
      </c>
      <c r="M182" t="s">
        <v>39</v>
      </c>
      <c r="N182" t="s">
        <v>318</v>
      </c>
      <c r="O182" t="s">
        <v>163</v>
      </c>
      <c r="P182">
        <v>23390492</v>
      </c>
      <c r="Q182" t="s">
        <v>554</v>
      </c>
      <c r="R182" t="s">
        <v>555</v>
      </c>
      <c r="S182">
        <v>1500</v>
      </c>
      <c r="T182">
        <v>19.5</v>
      </c>
      <c r="U182">
        <v>29250</v>
      </c>
      <c r="V182" t="str">
        <f t="shared" si="56"/>
        <v>Accepted</v>
      </c>
      <c r="W182">
        <f>IFERROR(VLOOKUP(N182, Payment_Terms!A:B, 2, FALSE), "Payment term not found!")</f>
        <v>30</v>
      </c>
      <c r="X182" t="str">
        <f>IFERROR(VLOOKUP(R182, Item_Category!A:B, 2, FALSE), "Uncategorized")</f>
        <v>HDPE bag acecel</v>
      </c>
      <c r="Y182" s="5">
        <f t="shared" si="57"/>
        <v>0</v>
      </c>
      <c r="Z182">
        <f t="shared" si="44"/>
        <v>5</v>
      </c>
      <c r="AA182">
        <f t="shared" si="45"/>
        <v>22</v>
      </c>
      <c r="AB182">
        <f t="shared" si="46"/>
        <v>1</v>
      </c>
      <c r="AC182" s="10">
        <f t="shared" si="47"/>
        <v>27</v>
      </c>
      <c r="AD182" s="5">
        <f t="shared" si="40"/>
        <v>1</v>
      </c>
      <c r="AE182" s="5">
        <f t="shared" si="41"/>
        <v>1</v>
      </c>
      <c r="AF182" s="5">
        <f t="shared" si="48"/>
        <v>0</v>
      </c>
      <c r="AG182">
        <f>IF(B182&lt;&gt;"", COUNTIFS($B$2:B182, B182), "")</f>
        <v>24</v>
      </c>
      <c r="AH182">
        <f t="shared" si="49"/>
        <v>5</v>
      </c>
      <c r="AI182" t="str">
        <f>VLOOKUP(B182, Currency!A:B, 2, FALSE)</f>
        <v>INR</v>
      </c>
      <c r="AJ182">
        <f t="shared" si="42"/>
        <v>4</v>
      </c>
      <c r="AK182">
        <f t="shared" si="50"/>
        <v>8</v>
      </c>
      <c r="AL182" t="str">
        <f t="shared" si="51"/>
        <v>August</v>
      </c>
      <c r="AM182">
        <f t="shared" si="52"/>
        <v>2023</v>
      </c>
      <c r="AN182" t="str">
        <f t="shared" si="58"/>
        <v>30Shree Shyam Enterprises</v>
      </c>
      <c r="AO182">
        <f>IF(COUNTIF($AN$2:AN182, AN182)=1, 1, 0)</f>
        <v>0</v>
      </c>
      <c r="AP182" t="str">
        <f t="shared" si="53"/>
        <v>&gt;3</v>
      </c>
      <c r="AQ182" t="str">
        <f t="shared" si="54"/>
        <v>&gt;3</v>
      </c>
      <c r="AR182" t="str">
        <f t="shared" si="55"/>
        <v>&lt;=3</v>
      </c>
    </row>
    <row r="183" spans="1:44" x14ac:dyDescent="0.3">
      <c r="A183" t="s">
        <v>33</v>
      </c>
      <c r="B183" t="s">
        <v>513</v>
      </c>
      <c r="C183" t="s">
        <v>78</v>
      </c>
      <c r="D183">
        <v>3973</v>
      </c>
      <c r="E183">
        <v>23310321</v>
      </c>
      <c r="F183" t="s">
        <v>563</v>
      </c>
      <c r="G183" t="s">
        <v>515</v>
      </c>
      <c r="H183">
        <v>2500</v>
      </c>
      <c r="I183">
        <v>24</v>
      </c>
      <c r="J183">
        <v>60000</v>
      </c>
      <c r="K183" t="str">
        <f>IFERROR(IF(B183&lt;&gt;"", TEXT(VLOOKUP(B183, 'Expected Date'!A:B, 2, FALSE) + DATE(RIGHT(C183,2),MID(C183,4,2),LEFT(C183,2)), "dd/mm/yy"), ""), "")</f>
        <v>26/08/23</v>
      </c>
      <c r="L183" t="s">
        <v>68</v>
      </c>
      <c r="M183" t="s">
        <v>48</v>
      </c>
      <c r="N183" t="s">
        <v>342</v>
      </c>
      <c r="O183" t="s">
        <v>284</v>
      </c>
      <c r="P183">
        <v>23390503</v>
      </c>
      <c r="Q183" t="s">
        <v>563</v>
      </c>
      <c r="R183" t="s">
        <v>564</v>
      </c>
      <c r="S183">
        <v>1000</v>
      </c>
      <c r="T183">
        <v>24</v>
      </c>
      <c r="U183">
        <v>24000</v>
      </c>
      <c r="V183" t="str">
        <f t="shared" si="56"/>
        <v>Accepted</v>
      </c>
      <c r="W183">
        <f>IFERROR(VLOOKUP(N183, Payment_Terms!A:B, 2, FALSE), "Payment term not found!")</f>
        <v>30</v>
      </c>
      <c r="X183" t="str">
        <f>IFERROR(VLOOKUP(R183, Item_Category!A:B, 2, FALSE), "Uncategorized")</f>
        <v xml:space="preserve">Caustic Soda </v>
      </c>
      <c r="Y183" s="5">
        <f t="shared" si="57"/>
        <v>0.2</v>
      </c>
      <c r="Z183">
        <f t="shared" si="44"/>
        <v>1</v>
      </c>
      <c r="AA183">
        <f t="shared" si="45"/>
        <v>9</v>
      </c>
      <c r="AB183">
        <f t="shared" si="46"/>
        <v>2</v>
      </c>
      <c r="AC183" s="10">
        <f t="shared" si="47"/>
        <v>11</v>
      </c>
      <c r="AD183" s="5">
        <f t="shared" si="40"/>
        <v>1</v>
      </c>
      <c r="AE183" s="5">
        <f t="shared" si="41"/>
        <v>1</v>
      </c>
      <c r="AF183" s="5">
        <f t="shared" si="48"/>
        <v>0</v>
      </c>
      <c r="AG183">
        <f>IF(B183&lt;&gt;"", COUNTIFS($B$2:B183, B183), "")</f>
        <v>18</v>
      </c>
      <c r="AH183">
        <f t="shared" si="49"/>
        <v>5</v>
      </c>
      <c r="AI183" t="str">
        <f>VLOOKUP(B183, Currency!A:B, 2, FALSE)</f>
        <v>INR</v>
      </c>
      <c r="AJ183">
        <f t="shared" si="42"/>
        <v>3</v>
      </c>
      <c r="AK183">
        <f t="shared" si="50"/>
        <v>8</v>
      </c>
      <c r="AL183" t="str">
        <f t="shared" si="51"/>
        <v>August</v>
      </c>
      <c r="AM183">
        <f t="shared" si="52"/>
        <v>2023</v>
      </c>
      <c r="AN183" t="str">
        <f t="shared" si="58"/>
        <v>30J.K.Marketing</v>
      </c>
      <c r="AO183">
        <f>IF(COUNTIF($AN$2:AN183, AN183)=1, 1, 0)</f>
        <v>0</v>
      </c>
      <c r="AP183" t="str">
        <f t="shared" si="53"/>
        <v>&gt;3</v>
      </c>
      <c r="AQ183" t="str">
        <f t="shared" si="54"/>
        <v>&lt;=3</v>
      </c>
      <c r="AR183" t="str">
        <f t="shared" si="55"/>
        <v>&lt;=3</v>
      </c>
    </row>
    <row r="184" spans="1:44" x14ac:dyDescent="0.3">
      <c r="A184" t="s">
        <v>33</v>
      </c>
      <c r="B184" t="s">
        <v>386</v>
      </c>
      <c r="C184" t="s">
        <v>194</v>
      </c>
      <c r="D184">
        <v>4693</v>
      </c>
      <c r="E184">
        <v>23310389</v>
      </c>
      <c r="F184" t="s">
        <v>600</v>
      </c>
      <c r="G184" t="s">
        <v>601</v>
      </c>
      <c r="H184">
        <v>50</v>
      </c>
      <c r="I184">
        <v>450</v>
      </c>
      <c r="J184">
        <v>22500</v>
      </c>
      <c r="K184" t="str">
        <f>IFERROR(IF(B184&lt;&gt;"", TEXT(VLOOKUP(B184, 'Expected Date'!A:B, 2, FALSE) + DATE(RIGHT(C184,2),MID(C184,4,2),LEFT(C184,2)), "dd/mm/yy"), ""), "")</f>
        <v>01/10/23</v>
      </c>
      <c r="L184" t="s">
        <v>38</v>
      </c>
      <c r="M184" t="s">
        <v>39</v>
      </c>
      <c r="N184" t="s">
        <v>318</v>
      </c>
      <c r="O184" t="s">
        <v>536</v>
      </c>
      <c r="P184">
        <v>23390627</v>
      </c>
      <c r="Q184" t="s">
        <v>600</v>
      </c>
      <c r="R184" t="s">
        <v>601</v>
      </c>
      <c r="S184">
        <v>50</v>
      </c>
      <c r="T184">
        <v>450</v>
      </c>
      <c r="U184">
        <v>22500</v>
      </c>
      <c r="V184" t="str">
        <f t="shared" si="56"/>
        <v>Accepted</v>
      </c>
      <c r="W184">
        <f>IFERROR(VLOOKUP(N184, Payment_Terms!A:B, 2, FALSE), "Payment term not found!")</f>
        <v>30</v>
      </c>
      <c r="X184" t="str">
        <f>IFERROR(VLOOKUP(R184, Item_Category!A:B, 2, FALSE), "Uncategorized")</f>
        <v>Plywood sheets</v>
      </c>
      <c r="Y184" s="5">
        <f t="shared" si="57"/>
        <v>0</v>
      </c>
      <c r="Z184">
        <f t="shared" si="44"/>
        <v>5</v>
      </c>
      <c r="AA184">
        <f t="shared" si="45"/>
        <v>-4</v>
      </c>
      <c r="AB184">
        <f t="shared" si="46"/>
        <v>5</v>
      </c>
      <c r="AC184" s="10">
        <f t="shared" si="47"/>
        <v>1</v>
      </c>
      <c r="AD184" s="5">
        <f t="shared" si="40"/>
        <v>1</v>
      </c>
      <c r="AE184" s="5">
        <f t="shared" si="41"/>
        <v>1</v>
      </c>
      <c r="AF184" s="5">
        <f t="shared" si="48"/>
        <v>0</v>
      </c>
      <c r="AG184">
        <f>IF(B184&lt;&gt;"", COUNTIFS($B$2:B184, B184), "")</f>
        <v>25</v>
      </c>
      <c r="AH184">
        <f t="shared" si="49"/>
        <v>5</v>
      </c>
      <c r="AI184" t="str">
        <f>VLOOKUP(B184, Currency!A:B, 2, FALSE)</f>
        <v>INR</v>
      </c>
      <c r="AJ184">
        <f t="shared" si="42"/>
        <v>5</v>
      </c>
      <c r="AK184">
        <f t="shared" si="50"/>
        <v>9</v>
      </c>
      <c r="AL184" t="str">
        <f t="shared" si="51"/>
        <v>September</v>
      </c>
      <c r="AM184">
        <f t="shared" si="52"/>
        <v>2023</v>
      </c>
      <c r="AN184" t="str">
        <f t="shared" si="58"/>
        <v>30Shree Shyam Enterprises</v>
      </c>
      <c r="AO184">
        <f>IF(COUNTIF($AN$2:AN184, AN184)=1, 1, 0)</f>
        <v>0</v>
      </c>
      <c r="AP184" t="str">
        <f t="shared" si="53"/>
        <v>&gt;3</v>
      </c>
      <c r="AQ184" t="str">
        <f t="shared" si="54"/>
        <v>&gt;3</v>
      </c>
      <c r="AR184" t="str">
        <f t="shared" si="55"/>
        <v>&gt;3</v>
      </c>
    </row>
    <row r="185" spans="1:44" x14ac:dyDescent="0.3">
      <c r="A185" t="s">
        <v>33</v>
      </c>
      <c r="B185" t="s">
        <v>429</v>
      </c>
      <c r="C185" t="s">
        <v>58</v>
      </c>
      <c r="D185">
        <v>3492</v>
      </c>
      <c r="E185">
        <v>23310270</v>
      </c>
      <c r="F185" t="s">
        <v>581</v>
      </c>
      <c r="G185" t="s">
        <v>582</v>
      </c>
      <c r="H185">
        <v>4000</v>
      </c>
      <c r="I185">
        <v>8</v>
      </c>
      <c r="J185">
        <v>32000</v>
      </c>
      <c r="K185" t="str">
        <f>IFERROR(IF(B185&lt;&gt;"", TEXT(VLOOKUP(B185, 'Expected Date'!A:B, 2, FALSE) + DATE(RIGHT(C185,2),MID(C185,4,2),LEFT(C185,2)), "dd/mm/yy"), ""), "")</f>
        <v>06/08/23</v>
      </c>
      <c r="L185" t="s">
        <v>38</v>
      </c>
      <c r="M185" t="s">
        <v>48</v>
      </c>
      <c r="N185" t="s">
        <v>318</v>
      </c>
      <c r="O185" t="s">
        <v>394</v>
      </c>
      <c r="P185">
        <v>23390448</v>
      </c>
      <c r="Q185" t="s">
        <v>581</v>
      </c>
      <c r="R185" t="s">
        <v>582</v>
      </c>
      <c r="S185">
        <v>2870</v>
      </c>
      <c r="T185">
        <v>8</v>
      </c>
      <c r="U185">
        <v>22960</v>
      </c>
      <c r="V185" t="str">
        <f t="shared" si="56"/>
        <v>Accepted</v>
      </c>
      <c r="W185">
        <f>IFERROR(VLOOKUP(N185, Payment_Terms!A:B, 2, FALSE), "Payment term not found!")</f>
        <v>30</v>
      </c>
      <c r="X185" t="str">
        <f>IFERROR(VLOOKUP(R185, Item_Category!A:B, 2, FALSE), "Uncategorized")</f>
        <v>Lime</v>
      </c>
      <c r="Y185" s="5">
        <f t="shared" si="57"/>
        <v>0</v>
      </c>
      <c r="Z185">
        <f t="shared" si="44"/>
        <v>5</v>
      </c>
      <c r="AA185">
        <f t="shared" si="45"/>
        <v>11</v>
      </c>
      <c r="AB185">
        <f t="shared" si="46"/>
        <v>1</v>
      </c>
      <c r="AC185" s="10">
        <f t="shared" si="47"/>
        <v>16</v>
      </c>
      <c r="AD185" s="5">
        <f t="shared" si="40"/>
        <v>1</v>
      </c>
      <c r="AE185" s="5">
        <f t="shared" si="41"/>
        <v>1</v>
      </c>
      <c r="AF185" s="5">
        <f t="shared" si="48"/>
        <v>0</v>
      </c>
      <c r="AG185">
        <f>IF(B185&lt;&gt;"", COUNTIFS($B$2:B185, B185), "")</f>
        <v>5</v>
      </c>
      <c r="AH185">
        <f t="shared" si="49"/>
        <v>5</v>
      </c>
      <c r="AI185" t="str">
        <f>VLOOKUP(B185, Currency!A:B, 2, FALSE)</f>
        <v>INR</v>
      </c>
      <c r="AJ185">
        <f t="shared" si="42"/>
        <v>4</v>
      </c>
      <c r="AK185">
        <f t="shared" si="50"/>
        <v>8</v>
      </c>
      <c r="AL185" t="str">
        <f t="shared" si="51"/>
        <v>August</v>
      </c>
      <c r="AM185">
        <f t="shared" si="52"/>
        <v>2023</v>
      </c>
      <c r="AN185" t="str">
        <f t="shared" si="58"/>
        <v>30HELIK ENTERPRISE</v>
      </c>
      <c r="AO185">
        <f>IF(COUNTIF($AN$2:AN185, AN185)=1, 1, 0)</f>
        <v>0</v>
      </c>
      <c r="AP185" t="str">
        <f t="shared" si="53"/>
        <v>&gt;3</v>
      </c>
      <c r="AQ185" t="str">
        <f t="shared" si="54"/>
        <v>&gt;3</v>
      </c>
      <c r="AR185" t="str">
        <f t="shared" si="55"/>
        <v>&lt;=3</v>
      </c>
    </row>
    <row r="186" spans="1:44" x14ac:dyDescent="0.3">
      <c r="A186" t="s">
        <v>33</v>
      </c>
      <c r="B186" t="s">
        <v>371</v>
      </c>
      <c r="C186" t="s">
        <v>229</v>
      </c>
      <c r="D186">
        <v>4747</v>
      </c>
      <c r="E186">
        <v>23310395</v>
      </c>
      <c r="F186" t="s">
        <v>552</v>
      </c>
      <c r="G186" t="s">
        <v>373</v>
      </c>
      <c r="H186">
        <v>20</v>
      </c>
      <c r="I186">
        <v>1700</v>
      </c>
      <c r="J186">
        <v>34000</v>
      </c>
      <c r="K186" t="str">
        <f>IFERROR(IF(B186&lt;&gt;"", TEXT(VLOOKUP(B186, 'Expected Date'!A:B, 2, FALSE) + DATE(RIGHT(C186,2),MID(C186,4,2),LEFT(C186,2)), "dd/mm/yy"), ""), "")</f>
        <v>05/10/23</v>
      </c>
      <c r="L186" t="s">
        <v>68</v>
      </c>
      <c r="M186" t="s">
        <v>48</v>
      </c>
      <c r="N186" t="s">
        <v>342</v>
      </c>
      <c r="O186" t="s">
        <v>229</v>
      </c>
      <c r="P186">
        <v>23390631</v>
      </c>
      <c r="Q186" t="s">
        <v>552</v>
      </c>
      <c r="R186" t="s">
        <v>553</v>
      </c>
      <c r="S186">
        <v>9.9499999999999993</v>
      </c>
      <c r="T186">
        <v>1700</v>
      </c>
      <c r="U186">
        <v>16915</v>
      </c>
      <c r="V186" t="str">
        <f t="shared" si="56"/>
        <v>Accepted</v>
      </c>
      <c r="W186">
        <f>IFERROR(VLOOKUP(N186, Payment_Terms!A:B, 2, FALSE), "Payment term not found!")</f>
        <v>30</v>
      </c>
      <c r="X186" t="str">
        <f>IFERROR(VLOOKUP(R186, Item_Category!A:B, 2, FALSE), "Uncategorized")</f>
        <v>HCL</v>
      </c>
      <c r="Y186" s="5">
        <f t="shared" si="57"/>
        <v>5.0000000000000712E-3</v>
      </c>
      <c r="Z186">
        <f t="shared" si="44"/>
        <v>4</v>
      </c>
      <c r="AA186">
        <f t="shared" si="45"/>
        <v>-5</v>
      </c>
      <c r="AB186">
        <f t="shared" si="46"/>
        <v>5</v>
      </c>
      <c r="AC186" s="10">
        <f t="shared" si="47"/>
        <v>0</v>
      </c>
      <c r="AD186" s="5">
        <f t="shared" si="40"/>
        <v>1</v>
      </c>
      <c r="AE186" s="5">
        <f t="shared" si="41"/>
        <v>1</v>
      </c>
      <c r="AF186" s="5">
        <f t="shared" si="48"/>
        <v>0</v>
      </c>
      <c r="AG186">
        <f>IF(B186&lt;&gt;"", COUNTIFS($B$2:B186, B186), "")</f>
        <v>9</v>
      </c>
      <c r="AH186">
        <f t="shared" si="49"/>
        <v>5</v>
      </c>
      <c r="AI186" t="str">
        <f>VLOOKUP(B186, Currency!A:B, 2, FALSE)</f>
        <v>INR</v>
      </c>
      <c r="AJ186">
        <f t="shared" si="42"/>
        <v>5</v>
      </c>
      <c r="AK186">
        <f t="shared" si="50"/>
        <v>9</v>
      </c>
      <c r="AL186" t="str">
        <f t="shared" si="51"/>
        <v>September</v>
      </c>
      <c r="AM186">
        <f t="shared" si="52"/>
        <v>2023</v>
      </c>
      <c r="AN186" t="str">
        <f t="shared" si="58"/>
        <v>30SHREE ACID AND CHEMICALS</v>
      </c>
      <c r="AO186">
        <f>IF(COUNTIF($AN$2:AN186, AN186)=1, 1, 0)</f>
        <v>0</v>
      </c>
      <c r="AP186" t="str">
        <f t="shared" si="53"/>
        <v>&gt;3</v>
      </c>
      <c r="AQ186" t="str">
        <f t="shared" si="54"/>
        <v>&gt;3</v>
      </c>
      <c r="AR186" t="str">
        <f t="shared" si="55"/>
        <v>&gt;3</v>
      </c>
    </row>
    <row r="187" spans="1:44" x14ac:dyDescent="0.3">
      <c r="A187" t="s">
        <v>33</v>
      </c>
      <c r="B187" t="s">
        <v>557</v>
      </c>
      <c r="C187" t="s">
        <v>562</v>
      </c>
      <c r="D187">
        <v>1637</v>
      </c>
      <c r="E187">
        <v>23310059</v>
      </c>
      <c r="F187" t="s">
        <v>558</v>
      </c>
      <c r="G187" t="s">
        <v>384</v>
      </c>
      <c r="H187">
        <v>400</v>
      </c>
      <c r="I187">
        <v>99</v>
      </c>
      <c r="J187">
        <v>39600</v>
      </c>
      <c r="K187" t="str">
        <f>IFERROR(IF(B187&lt;&gt;"", TEXT(VLOOKUP(B187, 'Expected Date'!A:B, 2, FALSE) + DATE(RIGHT(C187,2),MID(C187,4,2),LEFT(C187,2)), "dd/mm/yy"), ""), "")</f>
        <v>10/05/23</v>
      </c>
      <c r="L187" t="s">
        <v>38</v>
      </c>
      <c r="M187" t="s">
        <v>48</v>
      </c>
      <c r="N187" t="s">
        <v>364</v>
      </c>
      <c r="O187" t="s">
        <v>238</v>
      </c>
      <c r="P187">
        <v>23390096</v>
      </c>
      <c r="Q187" t="s">
        <v>558</v>
      </c>
      <c r="R187" t="s">
        <v>559</v>
      </c>
      <c r="S187">
        <v>100</v>
      </c>
      <c r="T187">
        <v>99</v>
      </c>
      <c r="U187">
        <v>9900</v>
      </c>
      <c r="V187" t="str">
        <f t="shared" si="56"/>
        <v>Accepted</v>
      </c>
      <c r="W187">
        <f>IFERROR(VLOOKUP(N187, Payment_Terms!A:B, 2, FALSE), "Payment term not found!")</f>
        <v>30</v>
      </c>
      <c r="X187" t="str">
        <f>IFERROR(VLOOKUP(R187, Item_Category!A:B, 2, FALSE), "Uncategorized")</f>
        <v>Anhydrous Ammonia</v>
      </c>
      <c r="Y187" s="5">
        <f t="shared" si="57"/>
        <v>0</v>
      </c>
      <c r="Z187">
        <f t="shared" si="44"/>
        <v>5</v>
      </c>
      <c r="AA187">
        <f t="shared" si="45"/>
        <v>-6</v>
      </c>
      <c r="AB187">
        <f t="shared" si="46"/>
        <v>5</v>
      </c>
      <c r="AC187" s="10">
        <f t="shared" si="47"/>
        <v>4</v>
      </c>
      <c r="AD187" s="5">
        <f t="shared" si="40"/>
        <v>1</v>
      </c>
      <c r="AE187" s="5">
        <f t="shared" si="41"/>
        <v>1</v>
      </c>
      <c r="AF187" s="5">
        <f t="shared" si="48"/>
        <v>0</v>
      </c>
      <c r="AG187">
        <f>IF(B187&lt;&gt;"", COUNTIFS($B$2:B187, B187), "")</f>
        <v>18</v>
      </c>
      <c r="AH187">
        <f t="shared" si="49"/>
        <v>5</v>
      </c>
      <c r="AI187" t="str">
        <f>VLOOKUP(B187, Currency!A:B, 2, FALSE)</f>
        <v>INR</v>
      </c>
      <c r="AJ187">
        <f t="shared" si="42"/>
        <v>5</v>
      </c>
      <c r="AK187">
        <f t="shared" si="50"/>
        <v>4</v>
      </c>
      <c r="AL187" t="str">
        <f t="shared" si="51"/>
        <v>April</v>
      </c>
      <c r="AM187">
        <f t="shared" si="52"/>
        <v>2023</v>
      </c>
      <c r="AN187" t="str">
        <f t="shared" si="58"/>
        <v>30Jaysons Chemical Industries Vapi</v>
      </c>
      <c r="AO187">
        <f>IF(COUNTIF($AN$2:AN187, AN187)=1, 1, 0)</f>
        <v>0</v>
      </c>
      <c r="AP187" t="str">
        <f t="shared" si="53"/>
        <v>&gt;3</v>
      </c>
      <c r="AQ187" t="str">
        <f t="shared" si="54"/>
        <v>&gt;3</v>
      </c>
      <c r="AR187" t="str">
        <f t="shared" si="55"/>
        <v>&gt;3</v>
      </c>
    </row>
    <row r="188" spans="1:44" x14ac:dyDescent="0.3">
      <c r="A188" t="s">
        <v>33</v>
      </c>
      <c r="B188" t="s">
        <v>386</v>
      </c>
      <c r="C188" t="s">
        <v>226</v>
      </c>
      <c r="D188">
        <v>4700</v>
      </c>
      <c r="E188">
        <v>23310391</v>
      </c>
      <c r="F188" t="s">
        <v>578</v>
      </c>
      <c r="G188" t="s">
        <v>579</v>
      </c>
      <c r="H188">
        <v>112.7</v>
      </c>
      <c r="I188">
        <v>129</v>
      </c>
      <c r="J188">
        <v>14538.3</v>
      </c>
      <c r="K188" t="str">
        <f>IFERROR(IF(B188&lt;&gt;"", TEXT(VLOOKUP(B188, 'Expected Date'!A:B, 2, FALSE) + DATE(RIGHT(C188,2),MID(C188,4,2),LEFT(C188,2)), "dd/mm/yy"), ""), "")</f>
        <v>16/09/23</v>
      </c>
      <c r="L188" t="s">
        <v>38</v>
      </c>
      <c r="M188" t="s">
        <v>48</v>
      </c>
      <c r="N188" t="s">
        <v>342</v>
      </c>
      <c r="O188" t="s">
        <v>272</v>
      </c>
      <c r="P188">
        <v>23390622</v>
      </c>
      <c r="Q188" t="s">
        <v>578</v>
      </c>
      <c r="R188" t="s">
        <v>579</v>
      </c>
      <c r="S188">
        <v>112.7</v>
      </c>
      <c r="T188">
        <v>129</v>
      </c>
      <c r="U188">
        <v>14538.3</v>
      </c>
      <c r="V188" t="str">
        <f t="shared" si="56"/>
        <v>Accepted</v>
      </c>
      <c r="W188">
        <f>IFERROR(VLOOKUP(N188, Payment_Terms!A:B, 2, FALSE), "Payment term not found!")</f>
        <v>30</v>
      </c>
      <c r="X188" t="str">
        <f>IFERROR(VLOOKUP(R188, Item_Category!A:B, 2, FALSE), "Uncategorized")</f>
        <v>Film</v>
      </c>
      <c r="Y188" s="5">
        <f t="shared" si="57"/>
        <v>0</v>
      </c>
      <c r="Z188">
        <f t="shared" si="44"/>
        <v>5</v>
      </c>
      <c r="AA188">
        <f t="shared" si="45"/>
        <v>9</v>
      </c>
      <c r="AB188">
        <f t="shared" si="46"/>
        <v>2</v>
      </c>
      <c r="AC188" s="10">
        <f t="shared" si="47"/>
        <v>14</v>
      </c>
      <c r="AD188" s="5">
        <f t="shared" si="40"/>
        <v>1</v>
      </c>
      <c r="AE188" s="5">
        <f t="shared" si="41"/>
        <v>1</v>
      </c>
      <c r="AF188" s="5">
        <f t="shared" si="48"/>
        <v>0</v>
      </c>
      <c r="AG188">
        <f>IF(B188&lt;&gt;"", COUNTIFS($B$2:B188, B188), "")</f>
        <v>26</v>
      </c>
      <c r="AH188">
        <f t="shared" si="49"/>
        <v>5</v>
      </c>
      <c r="AI188" t="str">
        <f>VLOOKUP(B188, Currency!A:B, 2, FALSE)</f>
        <v>INR</v>
      </c>
      <c r="AJ188">
        <f t="shared" si="42"/>
        <v>5</v>
      </c>
      <c r="AK188">
        <f t="shared" si="50"/>
        <v>9</v>
      </c>
      <c r="AL188" t="str">
        <f t="shared" si="51"/>
        <v>September</v>
      </c>
      <c r="AM188">
        <f t="shared" si="52"/>
        <v>2023</v>
      </c>
      <c r="AN188" t="str">
        <f t="shared" si="58"/>
        <v>30Shree Shyam Enterprises</v>
      </c>
      <c r="AO188">
        <f>IF(COUNTIF($AN$2:AN188, AN188)=1, 1, 0)</f>
        <v>0</v>
      </c>
      <c r="AP188" t="str">
        <f t="shared" si="53"/>
        <v>&gt;3</v>
      </c>
      <c r="AQ188" t="str">
        <f t="shared" si="54"/>
        <v>&gt;3</v>
      </c>
      <c r="AR188" t="str">
        <f t="shared" si="55"/>
        <v>&lt;=3</v>
      </c>
    </row>
    <row r="189" spans="1:44" x14ac:dyDescent="0.3">
      <c r="A189" t="s">
        <v>33</v>
      </c>
      <c r="B189" t="s">
        <v>557</v>
      </c>
      <c r="C189" t="s">
        <v>536</v>
      </c>
      <c r="D189">
        <v>4694</v>
      </c>
      <c r="E189">
        <v>23310390</v>
      </c>
      <c r="F189" t="s">
        <v>558</v>
      </c>
      <c r="G189" t="s">
        <v>384</v>
      </c>
      <c r="H189">
        <v>100</v>
      </c>
      <c r="I189">
        <v>101</v>
      </c>
      <c r="J189">
        <v>10100</v>
      </c>
      <c r="K189" t="str">
        <f>IFERROR(IF(B189&lt;&gt;"", TEXT(VLOOKUP(B189, 'Expected Date'!A:B, 2, FALSE) + DATE(RIGHT(C189,2),MID(C189,4,2),LEFT(C189,2)), "dd/mm/yy"), ""), "")</f>
        <v>07/10/23</v>
      </c>
      <c r="L189" t="s">
        <v>38</v>
      </c>
      <c r="M189" t="s">
        <v>48</v>
      </c>
      <c r="N189" t="s">
        <v>318</v>
      </c>
      <c r="O189" t="s">
        <v>320</v>
      </c>
      <c r="P189">
        <v>23390629</v>
      </c>
      <c r="Q189" t="s">
        <v>558</v>
      </c>
      <c r="R189" t="s">
        <v>559</v>
      </c>
      <c r="S189">
        <v>100</v>
      </c>
      <c r="T189">
        <v>101</v>
      </c>
      <c r="U189">
        <v>10100</v>
      </c>
      <c r="V189" t="str">
        <f t="shared" si="56"/>
        <v>Accepted</v>
      </c>
      <c r="W189">
        <f>IFERROR(VLOOKUP(N189, Payment_Terms!A:B, 2, FALSE), "Payment term not found!")</f>
        <v>30</v>
      </c>
      <c r="X189" t="str">
        <f>IFERROR(VLOOKUP(R189, Item_Category!A:B, 2, FALSE), "Uncategorized")</f>
        <v>Anhydrous Ammonia</v>
      </c>
      <c r="Y189" s="5">
        <f t="shared" si="57"/>
        <v>0</v>
      </c>
      <c r="Z189">
        <f t="shared" si="44"/>
        <v>5</v>
      </c>
      <c r="AA189">
        <f t="shared" si="45"/>
        <v>-9</v>
      </c>
      <c r="AB189">
        <f t="shared" si="46"/>
        <v>5</v>
      </c>
      <c r="AC189" s="10">
        <f t="shared" si="47"/>
        <v>1</v>
      </c>
      <c r="AD189" s="5">
        <f t="shared" si="40"/>
        <v>1</v>
      </c>
      <c r="AE189" s="5">
        <f t="shared" si="41"/>
        <v>1</v>
      </c>
      <c r="AF189" s="5">
        <f t="shared" si="48"/>
        <v>0</v>
      </c>
      <c r="AG189">
        <f>IF(B189&lt;&gt;"", COUNTIFS($B$2:B189, B189), "")</f>
        <v>19</v>
      </c>
      <c r="AH189">
        <f t="shared" si="49"/>
        <v>5</v>
      </c>
      <c r="AI189" t="str">
        <f>VLOOKUP(B189, Currency!A:B, 2, FALSE)</f>
        <v>INR</v>
      </c>
      <c r="AJ189">
        <f t="shared" si="42"/>
        <v>5</v>
      </c>
      <c r="AK189">
        <f t="shared" si="50"/>
        <v>9</v>
      </c>
      <c r="AL189" t="str">
        <f t="shared" si="51"/>
        <v>September</v>
      </c>
      <c r="AM189">
        <f t="shared" si="52"/>
        <v>2023</v>
      </c>
      <c r="AN189" t="str">
        <f t="shared" si="58"/>
        <v>30Jaysons Chemical Industries Vapi</v>
      </c>
      <c r="AO189">
        <f>IF(COUNTIF($AN$2:AN189, AN189)=1, 1, 0)</f>
        <v>0</v>
      </c>
      <c r="AP189" t="str">
        <f t="shared" si="53"/>
        <v>&gt;3</v>
      </c>
      <c r="AQ189" t="str">
        <f t="shared" si="54"/>
        <v>&gt;3</v>
      </c>
      <c r="AR189" t="str">
        <f t="shared" si="55"/>
        <v>&gt;3</v>
      </c>
    </row>
    <row r="190" spans="1:44" x14ac:dyDescent="0.3">
      <c r="A190" t="s">
        <v>33</v>
      </c>
      <c r="B190" t="s">
        <v>366</v>
      </c>
      <c r="C190" t="s">
        <v>272</v>
      </c>
      <c r="D190">
        <v>4656</v>
      </c>
      <c r="E190">
        <v>23310387</v>
      </c>
      <c r="F190" t="s">
        <v>569</v>
      </c>
      <c r="G190" t="s">
        <v>570</v>
      </c>
      <c r="H190">
        <v>100</v>
      </c>
      <c r="I190">
        <v>9800</v>
      </c>
      <c r="J190">
        <v>980000</v>
      </c>
      <c r="K190" t="str">
        <f>IFERROR(IF(B190&lt;&gt;"", TEXT(VLOOKUP(B190, 'Expected Date'!A:B, 2, FALSE) + DATE(RIGHT(C190,2),MID(C190,4,2),LEFT(C190,2)), "dd/mm/yy"), ""), "")</f>
        <v>27/09/23</v>
      </c>
      <c r="L190" t="s">
        <v>38</v>
      </c>
      <c r="M190" t="s">
        <v>48</v>
      </c>
      <c r="N190" t="s">
        <v>574</v>
      </c>
      <c r="O190" t="s">
        <v>229</v>
      </c>
      <c r="P190">
        <v>23390632</v>
      </c>
      <c r="Q190" t="s">
        <v>569</v>
      </c>
      <c r="R190" t="s">
        <v>570</v>
      </c>
      <c r="S190">
        <v>29.43</v>
      </c>
      <c r="T190">
        <v>9800</v>
      </c>
      <c r="U190">
        <v>288414</v>
      </c>
      <c r="V190" t="str">
        <f t="shared" si="56"/>
        <v>Accepted</v>
      </c>
      <c r="W190">
        <f>IFERROR(VLOOKUP(N190, Payment_Terms!A:B, 2, FALSE), "Payment term not found!")</f>
        <v>0</v>
      </c>
      <c r="X190" t="str">
        <f>IFERROR(VLOOKUP(R190, Item_Category!A:B, 2, FALSE), "Uncategorized")</f>
        <v>Coal materials</v>
      </c>
      <c r="Y190" s="5">
        <f t="shared" si="57"/>
        <v>0</v>
      </c>
      <c r="Z190">
        <f t="shared" si="44"/>
        <v>5</v>
      </c>
      <c r="AA190">
        <f t="shared" si="45"/>
        <v>3</v>
      </c>
      <c r="AB190">
        <f t="shared" si="46"/>
        <v>4</v>
      </c>
      <c r="AC190" s="10">
        <f t="shared" si="47"/>
        <v>5</v>
      </c>
      <c r="AD190" s="5">
        <f t="shared" si="40"/>
        <v>1</v>
      </c>
      <c r="AE190" s="5">
        <f t="shared" si="41"/>
        <v>1</v>
      </c>
      <c r="AF190" s="5">
        <f t="shared" si="48"/>
        <v>0</v>
      </c>
      <c r="AG190">
        <f>IF(B190&lt;&gt;"", COUNTIFS($B$2:B190, B190), "")</f>
        <v>34</v>
      </c>
      <c r="AH190">
        <f t="shared" si="49"/>
        <v>5</v>
      </c>
      <c r="AI190" t="str">
        <f>VLOOKUP(B190, Currency!A:B, 2, FALSE)</f>
        <v>INR</v>
      </c>
      <c r="AJ190">
        <f t="shared" si="42"/>
        <v>5</v>
      </c>
      <c r="AK190">
        <f t="shared" si="50"/>
        <v>9</v>
      </c>
      <c r="AL190" t="str">
        <f t="shared" si="51"/>
        <v>September</v>
      </c>
      <c r="AM190">
        <f t="shared" si="52"/>
        <v>2023</v>
      </c>
      <c r="AN190" t="str">
        <f t="shared" si="58"/>
        <v>0SKYWIN ENTERPRISE</v>
      </c>
      <c r="AO190">
        <f>IF(COUNTIF($AN$2:AN190, AN190)=1, 1, 0)</f>
        <v>0</v>
      </c>
      <c r="AP190" t="str">
        <f t="shared" si="53"/>
        <v>&gt;3</v>
      </c>
      <c r="AQ190" t="str">
        <f t="shared" si="54"/>
        <v>&gt;3</v>
      </c>
      <c r="AR190" t="str">
        <f t="shared" si="55"/>
        <v>&gt;3</v>
      </c>
    </row>
    <row r="191" spans="1:44" x14ac:dyDescent="0.3">
      <c r="A191" t="s">
        <v>33</v>
      </c>
      <c r="B191" t="s">
        <v>386</v>
      </c>
      <c r="C191" t="s">
        <v>428</v>
      </c>
      <c r="D191">
        <v>1184</v>
      </c>
      <c r="E191">
        <v>23310006</v>
      </c>
      <c r="F191" t="s">
        <v>567</v>
      </c>
      <c r="G191" t="s">
        <v>568</v>
      </c>
      <c r="H191">
        <v>736</v>
      </c>
      <c r="I191">
        <v>134</v>
      </c>
      <c r="J191">
        <v>98624</v>
      </c>
      <c r="K191" t="str">
        <f>IFERROR(IF(B191&lt;&gt;"", TEXT(VLOOKUP(B191, 'Expected Date'!A:B, 2, FALSE) + DATE(RIGHT(C191,2),MID(C191,4,2),LEFT(C191,2)), "dd/mm/yy"), ""), "")</f>
        <v>08/04/23</v>
      </c>
      <c r="L191" t="s">
        <v>38</v>
      </c>
      <c r="M191" t="s">
        <v>39</v>
      </c>
      <c r="N191" t="s">
        <v>556</v>
      </c>
      <c r="O191" t="s">
        <v>428</v>
      </c>
      <c r="P191">
        <v>23390006</v>
      </c>
      <c r="Q191" t="s">
        <v>567</v>
      </c>
      <c r="R191" t="s">
        <v>602</v>
      </c>
      <c r="S191">
        <v>736</v>
      </c>
      <c r="T191">
        <v>134</v>
      </c>
      <c r="U191">
        <v>98624</v>
      </c>
      <c r="V191" t="str">
        <f t="shared" si="56"/>
        <v>Accepted</v>
      </c>
      <c r="W191">
        <f>IFERROR(VLOOKUP(N191, Payment_Terms!A:B, 2, FALSE), "Payment term not found!")</f>
        <v>30</v>
      </c>
      <c r="X191" t="str">
        <f>IFERROR(VLOOKUP(R191, Item_Category!A:B, 2, FALSE), "Uncategorized")</f>
        <v>Liner</v>
      </c>
      <c r="Y191" s="5">
        <f t="shared" si="57"/>
        <v>0</v>
      </c>
      <c r="Z191">
        <f t="shared" si="44"/>
        <v>5</v>
      </c>
      <c r="AA191">
        <f t="shared" si="45"/>
        <v>-5</v>
      </c>
      <c r="AB191">
        <f t="shared" si="46"/>
        <v>5</v>
      </c>
      <c r="AC191" s="10">
        <f t="shared" si="47"/>
        <v>0</v>
      </c>
      <c r="AD191" s="5">
        <f t="shared" si="40"/>
        <v>1</v>
      </c>
      <c r="AE191" s="5">
        <f t="shared" si="41"/>
        <v>1</v>
      </c>
      <c r="AF191" s="5">
        <f t="shared" si="48"/>
        <v>0</v>
      </c>
      <c r="AG191">
        <f>IF(B191&lt;&gt;"", COUNTIFS($B$2:B191, B191), "")</f>
        <v>27</v>
      </c>
      <c r="AH191">
        <f t="shared" si="49"/>
        <v>5</v>
      </c>
      <c r="AI191" t="str">
        <f>VLOOKUP(B191, Currency!A:B, 2, FALSE)</f>
        <v>INR</v>
      </c>
      <c r="AJ191">
        <f t="shared" si="42"/>
        <v>5</v>
      </c>
      <c r="AK191">
        <f t="shared" si="50"/>
        <v>4</v>
      </c>
      <c r="AL191" t="str">
        <f t="shared" si="51"/>
        <v>April</v>
      </c>
      <c r="AM191">
        <f t="shared" si="52"/>
        <v>2023</v>
      </c>
      <c r="AN191" t="str">
        <f t="shared" si="58"/>
        <v>30Shree Shyam Enterprises</v>
      </c>
      <c r="AO191">
        <f>IF(COUNTIF($AN$2:AN191, AN191)=1, 1, 0)</f>
        <v>0</v>
      </c>
      <c r="AP191" t="str">
        <f t="shared" si="53"/>
        <v>&gt;3</v>
      </c>
      <c r="AQ191" t="str">
        <f t="shared" si="54"/>
        <v>&gt;3</v>
      </c>
      <c r="AR191" t="str">
        <f t="shared" si="55"/>
        <v>&gt;3</v>
      </c>
    </row>
    <row r="192" spans="1:44" x14ac:dyDescent="0.3">
      <c r="A192" t="s">
        <v>33</v>
      </c>
      <c r="B192" t="s">
        <v>122</v>
      </c>
      <c r="C192" t="s">
        <v>131</v>
      </c>
      <c r="D192">
        <v>3266</v>
      </c>
      <c r="E192">
        <v>23310256</v>
      </c>
      <c r="F192" t="s">
        <v>565</v>
      </c>
      <c r="G192" t="s">
        <v>566</v>
      </c>
      <c r="H192">
        <v>100</v>
      </c>
      <c r="I192">
        <v>930</v>
      </c>
      <c r="J192">
        <v>93000</v>
      </c>
      <c r="K192" t="str">
        <f>IFERROR(IF(B192&lt;&gt;"", TEXT(VLOOKUP(B192, 'Expected Date'!A:B, 2, FALSE) + DATE(RIGHT(C192,2),MID(C192,4,2),LEFT(C192,2)), "dd/mm/yy"), ""), "")</f>
        <v>08/08/23</v>
      </c>
      <c r="L192" t="s">
        <v>38</v>
      </c>
      <c r="M192" t="s">
        <v>39</v>
      </c>
      <c r="N192" t="s">
        <v>318</v>
      </c>
      <c r="O192" t="s">
        <v>394</v>
      </c>
      <c r="P192">
        <v>23390447</v>
      </c>
      <c r="Q192" t="s">
        <v>565</v>
      </c>
      <c r="R192" t="s">
        <v>566</v>
      </c>
      <c r="S192">
        <v>85</v>
      </c>
      <c r="T192">
        <v>930</v>
      </c>
      <c r="U192">
        <v>79050</v>
      </c>
      <c r="V192" t="str">
        <f t="shared" si="56"/>
        <v>Accepted</v>
      </c>
      <c r="W192">
        <f>IFERROR(VLOOKUP(N192, Payment_Terms!A:B, 2, FALSE), "Payment term not found!")</f>
        <v>30</v>
      </c>
      <c r="X192" t="str">
        <f>IFERROR(VLOOKUP(R192, Item_Category!A:B, 2, FALSE), "Uncategorized")</f>
        <v>Pallets</v>
      </c>
      <c r="Y192" s="5">
        <f t="shared" si="57"/>
        <v>0</v>
      </c>
      <c r="Z192">
        <f t="shared" si="44"/>
        <v>5</v>
      </c>
      <c r="AA192">
        <f t="shared" si="45"/>
        <v>9</v>
      </c>
      <c r="AB192">
        <f t="shared" si="46"/>
        <v>2</v>
      </c>
      <c r="AC192" s="10">
        <f t="shared" si="47"/>
        <v>24</v>
      </c>
      <c r="AD192" s="5">
        <f t="shared" si="40"/>
        <v>1</v>
      </c>
      <c r="AE192" s="5">
        <f t="shared" si="41"/>
        <v>1</v>
      </c>
      <c r="AF192" s="5">
        <f t="shared" si="48"/>
        <v>0</v>
      </c>
      <c r="AG192">
        <f>IF(B192&lt;&gt;"", COUNTIFS($B$2:B192, B192), "")</f>
        <v>9</v>
      </c>
      <c r="AH192">
        <f t="shared" si="49"/>
        <v>5</v>
      </c>
      <c r="AI192" t="str">
        <f>VLOOKUP(B192, Currency!A:B, 2, FALSE)</f>
        <v>INR</v>
      </c>
      <c r="AJ192">
        <f t="shared" si="42"/>
        <v>5</v>
      </c>
      <c r="AK192">
        <f t="shared" si="50"/>
        <v>7</v>
      </c>
      <c r="AL192" t="str">
        <f t="shared" si="51"/>
        <v>July</v>
      </c>
      <c r="AM192">
        <f t="shared" si="52"/>
        <v>2023</v>
      </c>
      <c r="AN192" t="str">
        <f t="shared" si="58"/>
        <v>30Plastocon Industries Pvt Ltd</v>
      </c>
      <c r="AO192">
        <f>IF(COUNTIF($AN$2:AN192, AN192)=1, 1, 0)</f>
        <v>0</v>
      </c>
      <c r="AP192" t="str">
        <f t="shared" si="53"/>
        <v>&gt;3</v>
      </c>
      <c r="AQ192" t="str">
        <f t="shared" si="54"/>
        <v>&gt;3</v>
      </c>
      <c r="AR192" t="str">
        <f t="shared" si="55"/>
        <v>&lt;=3</v>
      </c>
    </row>
    <row r="193" spans="1:44" x14ac:dyDescent="0.3">
      <c r="A193" t="s">
        <v>33</v>
      </c>
      <c r="B193" t="s">
        <v>122</v>
      </c>
      <c r="C193" t="s">
        <v>103</v>
      </c>
      <c r="D193">
        <v>4202</v>
      </c>
      <c r="E193">
        <v>23310344</v>
      </c>
      <c r="F193" t="s">
        <v>565</v>
      </c>
      <c r="G193" t="s">
        <v>566</v>
      </c>
      <c r="H193">
        <v>140</v>
      </c>
      <c r="I193">
        <v>930</v>
      </c>
      <c r="J193">
        <v>130200</v>
      </c>
      <c r="K193" t="str">
        <f>IFERROR(IF(B193&lt;&gt;"", TEXT(VLOOKUP(B193, 'Expected Date'!A:B, 2, FALSE) + DATE(RIGHT(C193,2),MID(C193,4,2),LEFT(C193,2)), "dd/mm/yy"), ""), "")</f>
        <v>21/09/23</v>
      </c>
      <c r="L193" t="s">
        <v>68</v>
      </c>
      <c r="M193" t="s">
        <v>39</v>
      </c>
      <c r="N193" t="s">
        <v>318</v>
      </c>
      <c r="O193" t="s">
        <v>603</v>
      </c>
      <c r="P193">
        <v>23390700</v>
      </c>
      <c r="Q193" t="s">
        <v>565</v>
      </c>
      <c r="R193" t="s">
        <v>566</v>
      </c>
      <c r="S193">
        <v>50</v>
      </c>
      <c r="T193">
        <v>930</v>
      </c>
      <c r="U193">
        <v>46500</v>
      </c>
      <c r="V193" t="str">
        <f t="shared" si="56"/>
        <v>Accepted</v>
      </c>
      <c r="W193">
        <f>IFERROR(VLOOKUP(N193, Payment_Terms!A:B, 2, FALSE), "Payment term not found!")</f>
        <v>30</v>
      </c>
      <c r="X193" t="str">
        <f>IFERROR(VLOOKUP(R193, Item_Category!A:B, 2, FALSE), "Uncategorized")</f>
        <v>Pallets</v>
      </c>
      <c r="Y193" s="5">
        <f t="shared" si="57"/>
        <v>0.2857142857142857</v>
      </c>
      <c r="Z193">
        <f t="shared" si="44"/>
        <v>1</v>
      </c>
      <c r="AA193">
        <f t="shared" si="45"/>
        <v>27</v>
      </c>
      <c r="AB193">
        <f t="shared" si="46"/>
        <v>1</v>
      </c>
      <c r="AC193" s="10">
        <f t="shared" si="47"/>
        <v>42</v>
      </c>
      <c r="AD193" s="5">
        <f t="shared" si="40"/>
        <v>1</v>
      </c>
      <c r="AE193" s="5">
        <f t="shared" si="41"/>
        <v>1</v>
      </c>
      <c r="AF193" s="5">
        <f t="shared" si="48"/>
        <v>0</v>
      </c>
      <c r="AG193">
        <f>IF(B193&lt;&gt;"", COUNTIFS($B$2:B193, B193), "")</f>
        <v>10</v>
      </c>
      <c r="AH193">
        <f t="shared" si="49"/>
        <v>5</v>
      </c>
      <c r="AI193" t="str">
        <f>VLOOKUP(B193, Currency!A:B, 2, FALSE)</f>
        <v>INR</v>
      </c>
      <c r="AJ193">
        <f t="shared" si="42"/>
        <v>3</v>
      </c>
      <c r="AK193">
        <f t="shared" si="50"/>
        <v>9</v>
      </c>
      <c r="AL193" t="str">
        <f t="shared" si="51"/>
        <v>September</v>
      </c>
      <c r="AM193">
        <f t="shared" si="52"/>
        <v>2023</v>
      </c>
      <c r="AN193" t="str">
        <f t="shared" si="58"/>
        <v>30Plastocon Industries Pvt Ltd</v>
      </c>
      <c r="AO193">
        <f>IF(COUNTIF($AN$2:AN193, AN193)=1, 1, 0)</f>
        <v>0</v>
      </c>
      <c r="AP193" t="str">
        <f t="shared" si="53"/>
        <v>&gt;3</v>
      </c>
      <c r="AQ193" t="str">
        <f t="shared" si="54"/>
        <v>&lt;=3</v>
      </c>
      <c r="AR193" t="str">
        <f t="shared" si="55"/>
        <v>&lt;=3</v>
      </c>
    </row>
    <row r="194" spans="1:44" x14ac:dyDescent="0.3">
      <c r="A194" t="str">
        <f>A49</f>
        <v>Woodpulp</v>
      </c>
      <c r="B194" t="s">
        <v>96</v>
      </c>
      <c r="C194" t="s">
        <v>71</v>
      </c>
      <c r="D194">
        <v>2711</v>
      </c>
      <c r="E194">
        <v>23320021</v>
      </c>
      <c r="F194" t="s">
        <v>585</v>
      </c>
      <c r="G194" t="s">
        <v>99</v>
      </c>
      <c r="H194">
        <v>78</v>
      </c>
      <c r="I194">
        <v>670</v>
      </c>
      <c r="J194">
        <v>4269642</v>
      </c>
      <c r="K194" t="str">
        <f>IFERROR(IF(B194&lt;&gt;"", TEXT(VLOOKUP(B194, 'Expected Date'!A:B, 2, FALSE) + DATE(RIGHT(C194,2),MID(C194,4,2),LEFT(C194,2)), "dd/mm/yy"), ""), "")</f>
        <v>21/08/23</v>
      </c>
      <c r="L194" t="s">
        <v>38</v>
      </c>
      <c r="M194" t="str">
        <f>M108</f>
        <v>MT</v>
      </c>
      <c r="N194" t="s">
        <v>596</v>
      </c>
      <c r="O194" t="s">
        <v>603</v>
      </c>
      <c r="P194">
        <v>23390702</v>
      </c>
      <c r="Q194" t="s">
        <v>585</v>
      </c>
      <c r="R194" t="s">
        <v>586</v>
      </c>
      <c r="S194">
        <v>78.284000000000006</v>
      </c>
      <c r="T194">
        <v>670</v>
      </c>
      <c r="U194">
        <v>4321903.07</v>
      </c>
      <c r="V194" t="str">
        <f t="shared" si="56"/>
        <v>Accepted</v>
      </c>
      <c r="W194">
        <f>IFERROR(VLOOKUP(N194, Payment_Terms!A:B, 2, FALSE), "Payment term not found!")</f>
        <v>60</v>
      </c>
      <c r="X194" t="str">
        <f>IFERROR(VLOOKUP(R194, Item_Category!A:B, 2, FALSE), "Uncategorized")</f>
        <v>Wood pulp</v>
      </c>
      <c r="Y194" s="5">
        <f t="shared" si="57"/>
        <v>0</v>
      </c>
      <c r="Z194">
        <f t="shared" si="44"/>
        <v>5</v>
      </c>
      <c r="AA194">
        <f t="shared" si="45"/>
        <v>58</v>
      </c>
      <c r="AB194">
        <f t="shared" si="46"/>
        <v>1</v>
      </c>
      <c r="AC194" s="10">
        <f t="shared" si="47"/>
        <v>118</v>
      </c>
      <c r="AD194" s="5">
        <f t="shared" ref="AD194:AD224" si="59">IF(V194="Accepted",1,0)</f>
        <v>1</v>
      </c>
      <c r="AE194" s="5">
        <f t="shared" ref="AE194:AE224" si="60">ROUNDUP((SUMIFS(S:S, B:B, B194, V:V, "Accepted")/SUMIF(B:B,B194,S:S)),2)</f>
        <v>1</v>
      </c>
      <c r="AF194" s="5">
        <f t="shared" si="48"/>
        <v>0</v>
      </c>
      <c r="AG194">
        <f>IF(B194&lt;&gt;"", COUNTIFS($B$2:B194, B194), "")</f>
        <v>7</v>
      </c>
      <c r="AH194">
        <f t="shared" si="49"/>
        <v>5</v>
      </c>
      <c r="AI194" t="str">
        <f>VLOOKUP(B194, Currency!A:B, 2, FALSE)</f>
        <v>USD</v>
      </c>
      <c r="AJ194">
        <f t="shared" ref="AJ194:AJ224" si="61">_xlfn.CEILING.MATH(((0.4*AH194)+(0.3*Z194)+(0.3*AB194)),1)</f>
        <v>4</v>
      </c>
      <c r="AK194">
        <f t="shared" si="50"/>
        <v>6</v>
      </c>
      <c r="AL194" t="str">
        <f t="shared" si="51"/>
        <v>June</v>
      </c>
      <c r="AM194">
        <f t="shared" si="52"/>
        <v>2023</v>
      </c>
      <c r="AN194" t="str">
        <f t="shared" si="58"/>
        <v>60G P Cellulose GMBH</v>
      </c>
      <c r="AO194">
        <f>IF(COUNTIF($AN$2:AN194, AN194)=1, 1, 0)</f>
        <v>0</v>
      </c>
      <c r="AP194" t="str">
        <f t="shared" si="53"/>
        <v>&gt;3</v>
      </c>
      <c r="AQ194" t="str">
        <f t="shared" si="54"/>
        <v>&gt;3</v>
      </c>
      <c r="AR194" t="str">
        <f t="shared" si="55"/>
        <v>&lt;=3</v>
      </c>
    </row>
    <row r="195" spans="1:44" x14ac:dyDescent="0.3">
      <c r="A195" t="s">
        <v>33</v>
      </c>
      <c r="B195" t="s">
        <v>513</v>
      </c>
      <c r="C195" t="s">
        <v>562</v>
      </c>
      <c r="D195">
        <v>1635</v>
      </c>
      <c r="E195">
        <v>23310057</v>
      </c>
      <c r="F195" t="s">
        <v>563</v>
      </c>
      <c r="G195" t="s">
        <v>515</v>
      </c>
      <c r="H195">
        <v>2500</v>
      </c>
      <c r="I195">
        <v>26</v>
      </c>
      <c r="J195">
        <v>65000</v>
      </c>
      <c r="K195" t="str">
        <f>IFERROR(IF(B195&lt;&gt;"", TEXT(VLOOKUP(B195, 'Expected Date'!A:B, 2, FALSE) + DATE(RIGHT(C195,2),MID(C195,4,2),LEFT(C195,2)), "dd/mm/yy"), ""), "")</f>
        <v>02/05/23</v>
      </c>
      <c r="L195" t="s">
        <v>38</v>
      </c>
      <c r="M195" t="s">
        <v>48</v>
      </c>
      <c r="N195" t="s">
        <v>342</v>
      </c>
      <c r="O195" t="s">
        <v>415</v>
      </c>
      <c r="P195">
        <v>23390172</v>
      </c>
      <c r="Q195" t="s">
        <v>563</v>
      </c>
      <c r="R195" t="s">
        <v>564</v>
      </c>
      <c r="S195">
        <v>1000</v>
      </c>
      <c r="T195">
        <v>26</v>
      </c>
      <c r="U195">
        <v>26000</v>
      </c>
      <c r="V195" t="str">
        <f t="shared" si="56"/>
        <v>Accepted</v>
      </c>
      <c r="W195">
        <f>IFERROR(VLOOKUP(N195, Payment_Terms!A:B, 2, FALSE), "Payment term not found!")</f>
        <v>30</v>
      </c>
      <c r="X195" t="str">
        <f>IFERROR(VLOOKUP(R195, Item_Category!A:B, 2, FALSE), "Uncategorized")</f>
        <v xml:space="preserve">Caustic Soda </v>
      </c>
      <c r="Y195" s="5">
        <f t="shared" si="57"/>
        <v>0</v>
      </c>
      <c r="Z195">
        <f t="shared" ref="Z195:Z224" si="62">IF(Y195&lt;=0%,5,(IF(AND(Y195&gt;0%,Y195&lt;=2%),4,IF(AND(Y195&gt;2%,Y195&lt;=5%),3,IF(AND(Y195&gt;5%,Y195&lt;10%),2,1)))))</f>
        <v>5</v>
      </c>
      <c r="AA195">
        <f t="shared" ref="AA195:AA224" si="63">DATE(RIGHT(O195,2),MID(O195,4,2),LEFT(O195,2)) - DATE(RIGHT(K195,2),MID(K195,4,2),LEFT(K195,2))</f>
        <v>19</v>
      </c>
      <c r="AB195">
        <f t="shared" ref="AB195:AB224" si="64">IF(AA195 &lt;= 2, 5, IF(AA195 &lt;= 4, 4, IF(AA195 &lt;= 7, 3, IF(AA195&lt;=10,2,1))))</f>
        <v>1</v>
      </c>
      <c r="AC195" s="10">
        <f t="shared" ref="AC195:AC224" si="65">ABS(DATE(RIGHT(O195,2),MID(O195,4,2),LEFT(O195,2)) - DATE(RIGHT(C195,2),MID(C195,4,2),LEFT(C195,2)))</f>
        <v>21</v>
      </c>
      <c r="AD195" s="5">
        <f t="shared" si="59"/>
        <v>1</v>
      </c>
      <c r="AE195" s="5">
        <f t="shared" si="60"/>
        <v>1</v>
      </c>
      <c r="AF195" s="5">
        <f t="shared" ref="AF195:AF224" si="66">ROUNDUP(ABS(100%-AE195),2)</f>
        <v>0</v>
      </c>
      <c r="AG195">
        <f>IF(B195&lt;&gt;"", COUNTIFS($B$2:B195, B195), "")</f>
        <v>19</v>
      </c>
      <c r="AH195">
        <f t="shared" ref="AH195:AH224" si="67">IF(AF195=0%,5,IF(AND(AF195&gt;0%,AF195&lt;=2%),4,IF(AND(AF195&gt;2%,AF195&lt;=5%),3,IF(AND(AF195&gt;5%,AF195&lt;10%),2,1))))</f>
        <v>5</v>
      </c>
      <c r="AI195" t="str">
        <f>VLOOKUP(B195, Currency!A:B, 2, FALSE)</f>
        <v>INR</v>
      </c>
      <c r="AJ195">
        <f t="shared" si="61"/>
        <v>4</v>
      </c>
      <c r="AK195">
        <f t="shared" ref="AK195:AK224" si="68">MONTH(DATE(RIGHT(C195,2),MID(C195,4,2),LEFT(C195,2)))</f>
        <v>4</v>
      </c>
      <c r="AL195" t="str">
        <f t="shared" ref="AL195:AL224" si="69">TEXT(DATE(RIGHT(C195,2),MID(C195,4,2),LEFT(C195,2)),"mmmm")</f>
        <v>April</v>
      </c>
      <c r="AM195">
        <f t="shared" ref="AM195:AM224" si="70">YEAR(DATE(VALUE(MID(C195,7,2))+2000, MID(C195,4,2), MID(C195,1,2)))</f>
        <v>2023</v>
      </c>
      <c r="AN195" t="str">
        <f t="shared" ref="AN195:AN224" si="71">W195&amp;B195</f>
        <v>30J.K.Marketing</v>
      </c>
      <c r="AO195">
        <f>IF(COUNTIF($AN$2:AN195, AN195)=1, 1, 0)</f>
        <v>0</v>
      </c>
      <c r="AP195" t="str">
        <f t="shared" ref="AP195:AP224" si="72">IF(AH195&lt;=3,"&lt;=3","&gt;3")</f>
        <v>&gt;3</v>
      </c>
      <c r="AQ195" t="str">
        <f t="shared" ref="AQ195:AQ224" si="73">IF(Z195&lt;=3,"&lt;=3","&gt;3")</f>
        <v>&gt;3</v>
      </c>
      <c r="AR195" t="str">
        <f t="shared" ref="AR195:AR224" si="74">IF(AB195&lt;=3,"&lt;=3","&gt;3")</f>
        <v>&lt;=3</v>
      </c>
    </row>
    <row r="196" spans="1:44" x14ac:dyDescent="0.3">
      <c r="A196" t="s">
        <v>33</v>
      </c>
      <c r="B196" t="s">
        <v>513</v>
      </c>
      <c r="C196" t="s">
        <v>562</v>
      </c>
      <c r="D196">
        <v>1635</v>
      </c>
      <c r="E196">
        <v>23310057</v>
      </c>
      <c r="F196" t="s">
        <v>563</v>
      </c>
      <c r="G196" t="s">
        <v>515</v>
      </c>
      <c r="H196">
        <v>2500</v>
      </c>
      <c r="I196">
        <v>26</v>
      </c>
      <c r="J196">
        <v>65000</v>
      </c>
      <c r="K196" t="str">
        <f>IFERROR(IF(B196&lt;&gt;"", TEXT(VLOOKUP(B196, 'Expected Date'!A:B, 2, FALSE) + DATE(RIGHT(C196,2),MID(C196,4,2),LEFT(C196,2)), "dd/mm/yy"), ""), "")</f>
        <v>02/05/23</v>
      </c>
      <c r="L196" t="s">
        <v>38</v>
      </c>
      <c r="M196" t="s">
        <v>48</v>
      </c>
      <c r="N196" t="s">
        <v>342</v>
      </c>
      <c r="O196" t="s">
        <v>238</v>
      </c>
      <c r="P196">
        <v>23390098</v>
      </c>
      <c r="Q196" t="s">
        <v>563</v>
      </c>
      <c r="R196" t="s">
        <v>564</v>
      </c>
      <c r="S196">
        <v>500</v>
      </c>
      <c r="T196">
        <v>26</v>
      </c>
      <c r="U196">
        <v>13000</v>
      </c>
      <c r="V196" t="str">
        <f t="shared" ref="V196:V224" si="75">V195</f>
        <v>Accepted</v>
      </c>
      <c r="W196">
        <f>IFERROR(VLOOKUP(N196, Payment_Terms!A:B, 2, FALSE), "Payment term not found!")</f>
        <v>30</v>
      </c>
      <c r="X196" t="str">
        <f>IFERROR(VLOOKUP(R196, Item_Category!A:B, 2, FALSE), "Uncategorized")</f>
        <v xml:space="preserve">Caustic Soda </v>
      </c>
      <c r="Y196" s="5">
        <f t="shared" si="57"/>
        <v>0</v>
      </c>
      <c r="Z196">
        <f t="shared" si="62"/>
        <v>5</v>
      </c>
      <c r="AA196">
        <f t="shared" si="63"/>
        <v>2</v>
      </c>
      <c r="AB196">
        <f t="shared" si="64"/>
        <v>5</v>
      </c>
      <c r="AC196" s="10">
        <f t="shared" si="65"/>
        <v>4</v>
      </c>
      <c r="AD196" s="5">
        <f t="shared" si="59"/>
        <v>1</v>
      </c>
      <c r="AE196" s="5">
        <f t="shared" si="60"/>
        <v>1</v>
      </c>
      <c r="AF196" s="5">
        <f t="shared" si="66"/>
        <v>0</v>
      </c>
      <c r="AG196">
        <f>IF(B196&lt;&gt;"", COUNTIFS($B$2:B196, B196), "")</f>
        <v>20</v>
      </c>
      <c r="AH196">
        <f t="shared" si="67"/>
        <v>5</v>
      </c>
      <c r="AI196" t="str">
        <f>VLOOKUP(B196, Currency!A:B, 2, FALSE)</f>
        <v>INR</v>
      </c>
      <c r="AJ196">
        <f t="shared" si="61"/>
        <v>5</v>
      </c>
      <c r="AK196">
        <f t="shared" si="68"/>
        <v>4</v>
      </c>
      <c r="AL196" t="str">
        <f t="shared" si="69"/>
        <v>April</v>
      </c>
      <c r="AM196">
        <f t="shared" si="70"/>
        <v>2023</v>
      </c>
      <c r="AN196" t="str">
        <f t="shared" si="71"/>
        <v>30J.K.Marketing</v>
      </c>
      <c r="AO196">
        <f>IF(COUNTIF($AN$2:AN196, AN196)=1, 1, 0)</f>
        <v>0</v>
      </c>
      <c r="AP196" t="str">
        <f t="shared" si="72"/>
        <v>&gt;3</v>
      </c>
      <c r="AQ196" t="str">
        <f t="shared" si="73"/>
        <v>&gt;3</v>
      </c>
      <c r="AR196" t="str">
        <f t="shared" si="74"/>
        <v>&gt;3</v>
      </c>
    </row>
    <row r="197" spans="1:44" x14ac:dyDescent="0.3">
      <c r="A197" t="s">
        <v>33</v>
      </c>
      <c r="B197" t="s">
        <v>366</v>
      </c>
      <c r="C197" t="s">
        <v>172</v>
      </c>
      <c r="D197">
        <v>1180</v>
      </c>
      <c r="E197">
        <v>23310003</v>
      </c>
      <c r="F197" t="s">
        <v>569</v>
      </c>
      <c r="G197" t="s">
        <v>570</v>
      </c>
      <c r="H197">
        <v>60</v>
      </c>
      <c r="I197">
        <v>10857.14</v>
      </c>
      <c r="J197">
        <v>651428.4</v>
      </c>
      <c r="K197" t="str">
        <f>IFERROR(IF(B197&lt;&gt;"", TEXT(VLOOKUP(B197, 'Expected Date'!A:B, 2, FALSE) + DATE(RIGHT(C197,2),MID(C197,4,2),LEFT(C197,2)), "dd/mm/yy"), ""), "")</f>
        <v>08/04/23</v>
      </c>
      <c r="L197" t="s">
        <v>68</v>
      </c>
      <c r="M197" t="s">
        <v>48</v>
      </c>
      <c r="N197" t="s">
        <v>574</v>
      </c>
      <c r="O197" t="s">
        <v>604</v>
      </c>
      <c r="P197">
        <v>23390004</v>
      </c>
      <c r="Q197" t="s">
        <v>569</v>
      </c>
      <c r="R197" t="s">
        <v>570</v>
      </c>
      <c r="S197">
        <v>22.6</v>
      </c>
      <c r="T197">
        <v>10857.14</v>
      </c>
      <c r="U197">
        <v>245371.36</v>
      </c>
      <c r="V197" t="str">
        <f t="shared" si="75"/>
        <v>Accepted</v>
      </c>
      <c r="W197">
        <f>IFERROR(VLOOKUP(N197, Payment_Terms!A:B, 2, FALSE), "Payment term not found!")</f>
        <v>0</v>
      </c>
      <c r="X197" t="str">
        <f>IFERROR(VLOOKUP(R197, Item_Category!A:B, 2, FALSE), "Uncategorized")</f>
        <v>Coal materials</v>
      </c>
      <c r="Y197" s="5">
        <f>IFERROR(IF(AND(E197&lt;&gt;"", G197&lt;&gt;""), MAX(0, (H197-SUMIFS(S:S, E:E, E197, G:G, G197))/H197), ""), (H197-S197)/H197)</f>
        <v>0.16166666666666671</v>
      </c>
      <c r="Z197">
        <f t="shared" si="62"/>
        <v>1</v>
      </c>
      <c r="AA197">
        <f t="shared" si="63"/>
        <v>-6</v>
      </c>
      <c r="AB197">
        <f t="shared" si="64"/>
        <v>5</v>
      </c>
      <c r="AC197" s="10">
        <f t="shared" si="65"/>
        <v>4</v>
      </c>
      <c r="AD197" s="5">
        <f t="shared" si="59"/>
        <v>1</v>
      </c>
      <c r="AE197" s="5">
        <f t="shared" si="60"/>
        <v>1</v>
      </c>
      <c r="AF197" s="5">
        <f t="shared" si="66"/>
        <v>0</v>
      </c>
      <c r="AG197">
        <f>IF(B197&lt;&gt;"", COUNTIFS($B$2:B197, B197), "")</f>
        <v>35</v>
      </c>
      <c r="AH197">
        <f t="shared" si="67"/>
        <v>5</v>
      </c>
      <c r="AI197" t="str">
        <f>VLOOKUP(B197, Currency!A:B, 2, FALSE)</f>
        <v>INR</v>
      </c>
      <c r="AJ197">
        <f t="shared" si="61"/>
        <v>4</v>
      </c>
      <c r="AK197">
        <f t="shared" si="68"/>
        <v>4</v>
      </c>
      <c r="AL197" t="str">
        <f t="shared" si="69"/>
        <v>April</v>
      </c>
      <c r="AM197">
        <f t="shared" si="70"/>
        <v>2023</v>
      </c>
      <c r="AN197" t="str">
        <f t="shared" si="71"/>
        <v>0SKYWIN ENTERPRISE</v>
      </c>
      <c r="AO197">
        <f>IF(COUNTIF($AN$2:AN197, AN197)=1, 1, 0)</f>
        <v>0</v>
      </c>
      <c r="AP197" t="str">
        <f t="shared" si="72"/>
        <v>&gt;3</v>
      </c>
      <c r="AQ197" t="str">
        <f t="shared" si="73"/>
        <v>&lt;=3</v>
      </c>
      <c r="AR197" t="str">
        <f t="shared" si="74"/>
        <v>&gt;3</v>
      </c>
    </row>
    <row r="198" spans="1:44" x14ac:dyDescent="0.3">
      <c r="A198" t="s">
        <v>33</v>
      </c>
      <c r="B198" t="s">
        <v>386</v>
      </c>
      <c r="C198" t="s">
        <v>432</v>
      </c>
      <c r="D198">
        <v>2200</v>
      </c>
      <c r="E198">
        <v>23310139</v>
      </c>
      <c r="F198" t="s">
        <v>567</v>
      </c>
      <c r="G198" t="s">
        <v>568</v>
      </c>
      <c r="H198">
        <v>887</v>
      </c>
      <c r="I198">
        <v>133</v>
      </c>
      <c r="J198">
        <v>117971</v>
      </c>
      <c r="K198" t="str">
        <f>IFERROR(IF(B198&lt;&gt;"", TEXT(VLOOKUP(B198, 'Expected Date'!A:B, 2, FALSE) + DATE(RIGHT(C198,2),MID(C198,4,2),LEFT(C198,2)), "dd/mm/yy"), ""), "")</f>
        <v>27/05/23</v>
      </c>
      <c r="L198" t="s">
        <v>38</v>
      </c>
      <c r="M198" t="s">
        <v>39</v>
      </c>
      <c r="N198" t="s">
        <v>318</v>
      </c>
      <c r="O198" t="s">
        <v>239</v>
      </c>
      <c r="P198">
        <v>23390200</v>
      </c>
      <c r="Q198" t="s">
        <v>567</v>
      </c>
      <c r="R198" t="s">
        <v>568</v>
      </c>
      <c r="S198">
        <v>887</v>
      </c>
      <c r="T198">
        <v>133</v>
      </c>
      <c r="U198">
        <v>117971</v>
      </c>
      <c r="V198" t="str">
        <f t="shared" si="75"/>
        <v>Accepted</v>
      </c>
      <c r="W198">
        <f>IFERROR(VLOOKUP(N198, Payment_Terms!A:B, 2, FALSE), "Payment term not found!")</f>
        <v>30</v>
      </c>
      <c r="X198" t="str">
        <f>IFERROR(VLOOKUP(R198, Item_Category!A:B, 2, FALSE), "Uncategorized")</f>
        <v>Liner</v>
      </c>
      <c r="Y198" s="5">
        <f t="shared" si="57"/>
        <v>0</v>
      </c>
      <c r="Z198">
        <f t="shared" si="62"/>
        <v>5</v>
      </c>
      <c r="AA198">
        <f t="shared" si="63"/>
        <v>-3</v>
      </c>
      <c r="AB198">
        <f t="shared" si="64"/>
        <v>5</v>
      </c>
      <c r="AC198" s="10">
        <f t="shared" si="65"/>
        <v>2</v>
      </c>
      <c r="AD198" s="5">
        <f t="shared" si="59"/>
        <v>1</v>
      </c>
      <c r="AE198" s="5">
        <f t="shared" si="60"/>
        <v>1</v>
      </c>
      <c r="AF198" s="5">
        <f t="shared" si="66"/>
        <v>0</v>
      </c>
      <c r="AG198">
        <f>IF(B198&lt;&gt;"", COUNTIFS($B$2:B198, B198), "")</f>
        <v>28</v>
      </c>
      <c r="AH198">
        <f t="shared" si="67"/>
        <v>5</v>
      </c>
      <c r="AI198" t="str">
        <f>VLOOKUP(B198, Currency!A:B, 2, FALSE)</f>
        <v>INR</v>
      </c>
      <c r="AJ198">
        <f t="shared" si="61"/>
        <v>5</v>
      </c>
      <c r="AK198">
        <f t="shared" si="68"/>
        <v>5</v>
      </c>
      <c r="AL198" t="str">
        <f t="shared" si="69"/>
        <v>May</v>
      </c>
      <c r="AM198">
        <f t="shared" si="70"/>
        <v>2023</v>
      </c>
      <c r="AN198" t="str">
        <f t="shared" si="71"/>
        <v>30Shree Shyam Enterprises</v>
      </c>
      <c r="AO198">
        <f>IF(COUNTIF($AN$2:AN198, AN198)=1, 1, 0)</f>
        <v>0</v>
      </c>
      <c r="AP198" t="str">
        <f t="shared" si="72"/>
        <v>&gt;3</v>
      </c>
      <c r="AQ198" t="str">
        <f t="shared" si="73"/>
        <v>&gt;3</v>
      </c>
      <c r="AR198" t="str">
        <f t="shared" si="74"/>
        <v>&gt;3</v>
      </c>
    </row>
    <row r="199" spans="1:44" x14ac:dyDescent="0.3">
      <c r="A199" t="s">
        <v>33</v>
      </c>
      <c r="B199" t="s">
        <v>371</v>
      </c>
      <c r="C199" t="s">
        <v>58</v>
      </c>
      <c r="D199">
        <v>3582</v>
      </c>
      <c r="E199">
        <v>23310288</v>
      </c>
      <c r="F199" t="s">
        <v>552</v>
      </c>
      <c r="G199" t="s">
        <v>373</v>
      </c>
      <c r="H199">
        <v>20</v>
      </c>
      <c r="I199">
        <v>1700</v>
      </c>
      <c r="J199">
        <v>34000</v>
      </c>
      <c r="K199" t="str">
        <f>IFERROR(IF(B199&lt;&gt;"", TEXT(VLOOKUP(B199, 'Expected Date'!A:B, 2, FALSE) + DATE(RIGHT(C199,2),MID(C199,4,2),LEFT(C199,2)), "dd/mm/yy"), ""), "")</f>
        <v>06/08/23</v>
      </c>
      <c r="L199" t="s">
        <v>38</v>
      </c>
      <c r="M199" t="s">
        <v>48</v>
      </c>
      <c r="N199" t="s">
        <v>318</v>
      </c>
      <c r="O199" t="s">
        <v>52</v>
      </c>
      <c r="P199">
        <v>23390436</v>
      </c>
      <c r="Q199" t="s">
        <v>552</v>
      </c>
      <c r="R199" t="s">
        <v>553</v>
      </c>
      <c r="S199">
        <v>10.1</v>
      </c>
      <c r="T199">
        <v>1700</v>
      </c>
      <c r="U199">
        <v>17170</v>
      </c>
      <c r="V199" t="str">
        <f t="shared" si="75"/>
        <v>Accepted</v>
      </c>
      <c r="W199">
        <f>IFERROR(VLOOKUP(N199, Payment_Terms!A:B, 2, FALSE), "Payment term not found!")</f>
        <v>30</v>
      </c>
      <c r="X199" t="str">
        <f>IFERROR(VLOOKUP(R199, Item_Category!A:B, 2, FALSE), "Uncategorized")</f>
        <v>HCL</v>
      </c>
      <c r="Y199" s="5">
        <f t="shared" si="57"/>
        <v>0</v>
      </c>
      <c r="Z199">
        <f t="shared" si="62"/>
        <v>5</v>
      </c>
      <c r="AA199">
        <f t="shared" si="63"/>
        <v>10</v>
      </c>
      <c r="AB199">
        <f t="shared" si="64"/>
        <v>2</v>
      </c>
      <c r="AC199" s="10">
        <f t="shared" si="65"/>
        <v>15</v>
      </c>
      <c r="AD199" s="5">
        <f t="shared" si="59"/>
        <v>1</v>
      </c>
      <c r="AE199" s="5">
        <f t="shared" si="60"/>
        <v>1</v>
      </c>
      <c r="AF199" s="5">
        <f t="shared" si="66"/>
        <v>0</v>
      </c>
      <c r="AG199">
        <f>IF(B199&lt;&gt;"", COUNTIFS($B$2:B199, B199), "")</f>
        <v>10</v>
      </c>
      <c r="AH199">
        <f t="shared" si="67"/>
        <v>5</v>
      </c>
      <c r="AI199" t="str">
        <f>VLOOKUP(B199, Currency!A:B, 2, FALSE)</f>
        <v>INR</v>
      </c>
      <c r="AJ199">
        <f t="shared" si="61"/>
        <v>5</v>
      </c>
      <c r="AK199">
        <f t="shared" si="68"/>
        <v>8</v>
      </c>
      <c r="AL199" t="str">
        <f t="shared" si="69"/>
        <v>August</v>
      </c>
      <c r="AM199">
        <f t="shared" si="70"/>
        <v>2023</v>
      </c>
      <c r="AN199" t="str">
        <f t="shared" si="71"/>
        <v>30SHREE ACID AND CHEMICALS</v>
      </c>
      <c r="AO199">
        <f>IF(COUNTIF($AN$2:AN199, AN199)=1, 1, 0)</f>
        <v>0</v>
      </c>
      <c r="AP199" t="str">
        <f t="shared" si="72"/>
        <v>&gt;3</v>
      </c>
      <c r="AQ199" t="str">
        <f t="shared" si="73"/>
        <v>&gt;3</v>
      </c>
      <c r="AR199" t="str">
        <f t="shared" si="74"/>
        <v>&lt;=3</v>
      </c>
    </row>
    <row r="200" spans="1:44" x14ac:dyDescent="0.3">
      <c r="A200" t="s">
        <v>33</v>
      </c>
      <c r="B200" t="s">
        <v>395</v>
      </c>
      <c r="C200" t="s">
        <v>416</v>
      </c>
      <c r="D200">
        <v>2024</v>
      </c>
      <c r="E200">
        <v>23310112</v>
      </c>
      <c r="F200" t="s">
        <v>569</v>
      </c>
      <c r="G200" t="s">
        <v>570</v>
      </c>
      <c r="H200">
        <v>100</v>
      </c>
      <c r="I200">
        <v>11523.81</v>
      </c>
      <c r="J200">
        <v>1152381</v>
      </c>
      <c r="K200" t="str">
        <f>IFERROR(IF(B200&lt;&gt;"", TEXT(VLOOKUP(B200, 'Expected Date'!A:B, 2, FALSE) + DATE(RIGHT(C200,2),MID(C200,4,2),LEFT(C200,2)), "dd/mm/yy"), ""), "")</f>
        <v>25/05/23</v>
      </c>
      <c r="L200" t="s">
        <v>38</v>
      </c>
      <c r="M200" t="s">
        <v>48</v>
      </c>
      <c r="N200" t="s">
        <v>342</v>
      </c>
      <c r="O200" t="s">
        <v>138</v>
      </c>
      <c r="P200">
        <v>23390191</v>
      </c>
      <c r="Q200" t="s">
        <v>569</v>
      </c>
      <c r="R200" t="s">
        <v>570</v>
      </c>
      <c r="S200">
        <v>23.27</v>
      </c>
      <c r="T200">
        <v>11523.81</v>
      </c>
      <c r="U200">
        <v>268159.06</v>
      </c>
      <c r="V200" t="str">
        <f t="shared" si="75"/>
        <v>Accepted</v>
      </c>
      <c r="W200">
        <f>IFERROR(VLOOKUP(N200, Payment_Terms!A:B, 2, FALSE), "Payment term not found!")</f>
        <v>30</v>
      </c>
      <c r="X200" t="str">
        <f>IFERROR(VLOOKUP(R200, Item_Category!A:B, 2, FALSE), "Uncategorized")</f>
        <v>Coal materials</v>
      </c>
      <c r="Y200" s="5">
        <f t="shared" si="57"/>
        <v>0</v>
      </c>
      <c r="Z200">
        <f t="shared" si="62"/>
        <v>5</v>
      </c>
      <c r="AA200">
        <f t="shared" si="63"/>
        <v>3</v>
      </c>
      <c r="AB200">
        <f t="shared" si="64"/>
        <v>4</v>
      </c>
      <c r="AC200" s="10">
        <f t="shared" si="65"/>
        <v>8</v>
      </c>
      <c r="AD200" s="5">
        <f t="shared" si="59"/>
        <v>1</v>
      </c>
      <c r="AE200" s="5">
        <f t="shared" si="60"/>
        <v>1</v>
      </c>
      <c r="AF200" s="5">
        <f t="shared" si="66"/>
        <v>0</v>
      </c>
      <c r="AG200">
        <f>IF(B200&lt;&gt;"", COUNTIFS($B$2:B200, B200), "")</f>
        <v>7</v>
      </c>
      <c r="AH200">
        <f t="shared" si="67"/>
        <v>5</v>
      </c>
      <c r="AI200" t="str">
        <f>VLOOKUP(B200, Currency!A:B, 2, FALSE)</f>
        <v>INR</v>
      </c>
      <c r="AJ200">
        <f t="shared" si="61"/>
        <v>5</v>
      </c>
      <c r="AK200">
        <f t="shared" si="68"/>
        <v>5</v>
      </c>
      <c r="AL200" t="str">
        <f t="shared" si="69"/>
        <v>May</v>
      </c>
      <c r="AM200">
        <f t="shared" si="70"/>
        <v>2023</v>
      </c>
      <c r="AN200" t="str">
        <f t="shared" si="71"/>
        <v>30Crystal coal corporation</v>
      </c>
      <c r="AO200">
        <f>IF(COUNTIF($AN$2:AN200, AN200)=1, 1, 0)</f>
        <v>0</v>
      </c>
      <c r="AP200" t="str">
        <f t="shared" si="72"/>
        <v>&gt;3</v>
      </c>
      <c r="AQ200" t="str">
        <f t="shared" si="73"/>
        <v>&gt;3</v>
      </c>
      <c r="AR200" t="str">
        <f t="shared" si="74"/>
        <v>&gt;3</v>
      </c>
    </row>
    <row r="201" spans="1:44" x14ac:dyDescent="0.3">
      <c r="A201" t="str">
        <f>A10</f>
        <v>Woodpulp</v>
      </c>
      <c r="B201" t="s">
        <v>289</v>
      </c>
      <c r="C201" t="s">
        <v>168</v>
      </c>
      <c r="D201">
        <v>1303</v>
      </c>
      <c r="E201">
        <v>23320007</v>
      </c>
      <c r="F201" t="s">
        <v>575</v>
      </c>
      <c r="G201" t="s">
        <v>291</v>
      </c>
      <c r="H201">
        <v>200000</v>
      </c>
      <c r="I201">
        <v>64.099999999999994</v>
      </c>
      <c r="J201">
        <v>12820000</v>
      </c>
      <c r="K201" t="str">
        <f>IFERROR(IF(B201&lt;&gt;"", TEXT(VLOOKUP(B201, 'Expected Date'!A:B, 2, FALSE) + DATE(RIGHT(C201,2),MID(C201,4,2),LEFT(C201,2)), "dd/mm/yy"), ""), "")</f>
        <v>17/05/23</v>
      </c>
      <c r="L201" t="s">
        <v>38</v>
      </c>
      <c r="M201" t="str">
        <f>M108</f>
        <v>MT</v>
      </c>
      <c r="N201" t="s">
        <v>292</v>
      </c>
      <c r="O201" t="s">
        <v>419</v>
      </c>
      <c r="P201">
        <v>23390060</v>
      </c>
      <c r="Q201" t="s">
        <v>575</v>
      </c>
      <c r="R201" t="s">
        <v>291</v>
      </c>
      <c r="S201">
        <v>28156</v>
      </c>
      <c r="T201">
        <v>64.099999999999994</v>
      </c>
      <c r="U201">
        <v>1804799.6</v>
      </c>
      <c r="V201" t="str">
        <f t="shared" si="75"/>
        <v>Accepted</v>
      </c>
      <c r="W201">
        <f>IFERROR(VLOOKUP(N201, Payment_Terms!A:B, 2, FALSE), "Payment term not found!")</f>
        <v>0</v>
      </c>
      <c r="X201" t="str">
        <f>IFERROR(VLOOKUP(R201, Item_Category!A:B, 2, FALSE), "Uncategorized")</f>
        <v>Wood pulp</v>
      </c>
      <c r="Y201" s="5">
        <f t="shared" si="57"/>
        <v>0</v>
      </c>
      <c r="Z201">
        <f t="shared" si="62"/>
        <v>5</v>
      </c>
      <c r="AA201">
        <f t="shared" si="63"/>
        <v>-25</v>
      </c>
      <c r="AB201">
        <f t="shared" si="64"/>
        <v>5</v>
      </c>
      <c r="AC201" s="10">
        <f t="shared" si="65"/>
        <v>5</v>
      </c>
      <c r="AD201" s="5">
        <f t="shared" si="59"/>
        <v>1</v>
      </c>
      <c r="AE201" s="5">
        <f t="shared" si="60"/>
        <v>1</v>
      </c>
      <c r="AF201" s="5">
        <f t="shared" si="66"/>
        <v>0</v>
      </c>
      <c r="AG201">
        <f>IF(B201&lt;&gt;"", COUNTIFS($B$2:B201, B201), "")</f>
        <v>15</v>
      </c>
      <c r="AH201">
        <f t="shared" si="67"/>
        <v>5</v>
      </c>
      <c r="AI201" t="str">
        <f>VLOOKUP(B201, Currency!A:B, 2, FALSE)</f>
        <v>INR</v>
      </c>
      <c r="AJ201">
        <f t="shared" si="61"/>
        <v>5</v>
      </c>
      <c r="AK201">
        <f t="shared" si="68"/>
        <v>4</v>
      </c>
      <c r="AL201" t="str">
        <f t="shared" si="69"/>
        <v>April</v>
      </c>
      <c r="AM201">
        <f t="shared" si="70"/>
        <v>2023</v>
      </c>
      <c r="AN201" t="str">
        <f t="shared" si="71"/>
        <v>0N.E. IMPEX PRIVATE LIMITED</v>
      </c>
      <c r="AO201">
        <f>IF(COUNTIF($AN$2:AN201, AN201)=1, 1, 0)</f>
        <v>0</v>
      </c>
      <c r="AP201" t="str">
        <f t="shared" si="72"/>
        <v>&gt;3</v>
      </c>
      <c r="AQ201" t="str">
        <f t="shared" si="73"/>
        <v>&gt;3</v>
      </c>
      <c r="AR201" t="str">
        <f t="shared" si="74"/>
        <v>&gt;3</v>
      </c>
    </row>
    <row r="202" spans="1:44" x14ac:dyDescent="0.3">
      <c r="A202" t="s">
        <v>33</v>
      </c>
      <c r="B202" t="s">
        <v>122</v>
      </c>
      <c r="C202" t="s">
        <v>562</v>
      </c>
      <c r="D202">
        <v>1639</v>
      </c>
      <c r="E202">
        <v>23310061</v>
      </c>
      <c r="F202" t="s">
        <v>565</v>
      </c>
      <c r="G202" t="s">
        <v>566</v>
      </c>
      <c r="H202">
        <v>200</v>
      </c>
      <c r="I202">
        <v>930</v>
      </c>
      <c r="J202">
        <v>186000</v>
      </c>
      <c r="K202" t="str">
        <f>IFERROR(IF(B202&lt;&gt;"", TEXT(VLOOKUP(B202, 'Expected Date'!A:B, 2, FALSE) + DATE(RIGHT(C202,2),MID(C202,4,2),LEFT(C202,2)), "dd/mm/yy"), ""), "")</f>
        <v>15/05/23</v>
      </c>
      <c r="L202" t="s">
        <v>38</v>
      </c>
      <c r="M202" t="s">
        <v>39</v>
      </c>
      <c r="N202" t="s">
        <v>318</v>
      </c>
      <c r="O202" t="s">
        <v>134</v>
      </c>
      <c r="P202">
        <v>23390229</v>
      </c>
      <c r="Q202" t="s">
        <v>565</v>
      </c>
      <c r="R202" t="s">
        <v>566</v>
      </c>
      <c r="S202">
        <v>30</v>
      </c>
      <c r="T202">
        <v>930</v>
      </c>
      <c r="U202">
        <v>27900</v>
      </c>
      <c r="V202" t="str">
        <f t="shared" si="75"/>
        <v>Accepted</v>
      </c>
      <c r="W202">
        <f>IFERROR(VLOOKUP(N202, Payment_Terms!A:B, 2, FALSE), "Payment term not found!")</f>
        <v>30</v>
      </c>
      <c r="X202" t="str">
        <f>IFERROR(VLOOKUP(R202, Item_Category!A:B, 2, FALSE), "Uncategorized")</f>
        <v>Pallets</v>
      </c>
      <c r="Y202" s="5">
        <f t="shared" si="57"/>
        <v>0</v>
      </c>
      <c r="Z202">
        <f t="shared" si="62"/>
        <v>5</v>
      </c>
      <c r="AA202">
        <f t="shared" si="63"/>
        <v>24</v>
      </c>
      <c r="AB202">
        <f t="shared" si="64"/>
        <v>1</v>
      </c>
      <c r="AC202" s="10">
        <f t="shared" si="65"/>
        <v>39</v>
      </c>
      <c r="AD202" s="5">
        <f t="shared" si="59"/>
        <v>1</v>
      </c>
      <c r="AE202" s="5">
        <f t="shared" si="60"/>
        <v>1</v>
      </c>
      <c r="AF202" s="5">
        <f t="shared" si="66"/>
        <v>0</v>
      </c>
      <c r="AG202">
        <f>IF(B202&lt;&gt;"", COUNTIFS($B$2:B202, B202), "")</f>
        <v>11</v>
      </c>
      <c r="AH202">
        <f t="shared" si="67"/>
        <v>5</v>
      </c>
      <c r="AI202" t="str">
        <f>VLOOKUP(B202, Currency!A:B, 2, FALSE)</f>
        <v>INR</v>
      </c>
      <c r="AJ202">
        <f t="shared" si="61"/>
        <v>4</v>
      </c>
      <c r="AK202">
        <f t="shared" si="68"/>
        <v>4</v>
      </c>
      <c r="AL202" t="str">
        <f t="shared" si="69"/>
        <v>April</v>
      </c>
      <c r="AM202">
        <f t="shared" si="70"/>
        <v>2023</v>
      </c>
      <c r="AN202" t="str">
        <f t="shared" si="71"/>
        <v>30Plastocon Industries Pvt Ltd</v>
      </c>
      <c r="AO202">
        <f>IF(COUNTIF($AN$2:AN202, AN202)=1, 1, 0)</f>
        <v>0</v>
      </c>
      <c r="AP202" t="str">
        <f t="shared" si="72"/>
        <v>&gt;3</v>
      </c>
      <c r="AQ202" t="str">
        <f t="shared" si="73"/>
        <v>&gt;3</v>
      </c>
      <c r="AR202" t="str">
        <f t="shared" si="74"/>
        <v>&lt;=3</v>
      </c>
    </row>
    <row r="203" spans="1:44" x14ac:dyDescent="0.3">
      <c r="A203" t="s">
        <v>33</v>
      </c>
      <c r="B203" t="s">
        <v>366</v>
      </c>
      <c r="C203" t="s">
        <v>89</v>
      </c>
      <c r="D203">
        <v>2849</v>
      </c>
      <c r="E203">
        <v>23310223</v>
      </c>
      <c r="F203" t="s">
        <v>569</v>
      </c>
      <c r="G203" t="s">
        <v>570</v>
      </c>
      <c r="H203">
        <v>100</v>
      </c>
      <c r="I203">
        <v>11333.33</v>
      </c>
      <c r="J203">
        <v>1133333</v>
      </c>
      <c r="K203" t="str">
        <f>IFERROR(IF(B203&lt;&gt;"", TEXT(VLOOKUP(B203, 'Expected Date'!A:B, 2, FALSE) + DATE(RIGHT(C203,2),MID(C203,4,2),LEFT(C203,2)), "dd/mm/yy"), ""), "")</f>
        <v>07/07/23</v>
      </c>
      <c r="L203" t="s">
        <v>68</v>
      </c>
      <c r="M203" t="s">
        <v>48</v>
      </c>
      <c r="N203" t="s">
        <v>574</v>
      </c>
      <c r="O203" t="s">
        <v>90</v>
      </c>
      <c r="P203">
        <v>23390294</v>
      </c>
      <c r="Q203" t="s">
        <v>569</v>
      </c>
      <c r="R203" t="s">
        <v>570</v>
      </c>
      <c r="S203">
        <v>31.64</v>
      </c>
      <c r="T203">
        <v>11333.33</v>
      </c>
      <c r="U203">
        <v>358586.56</v>
      </c>
      <c r="V203" t="str">
        <f t="shared" si="75"/>
        <v>Accepted</v>
      </c>
      <c r="W203">
        <f>IFERROR(VLOOKUP(N203, Payment_Terms!A:B, 2, FALSE), "Payment term not found!")</f>
        <v>0</v>
      </c>
      <c r="X203" t="str">
        <f>IFERROR(VLOOKUP(R203, Item_Category!A:B, 2, FALSE), "Uncategorized")</f>
        <v>Coal materials</v>
      </c>
      <c r="Y203" s="5">
        <f t="shared" si="57"/>
        <v>0.68359999999999999</v>
      </c>
      <c r="Z203">
        <f t="shared" si="62"/>
        <v>1</v>
      </c>
      <c r="AA203">
        <f t="shared" si="63"/>
        <v>-1</v>
      </c>
      <c r="AB203">
        <f t="shared" si="64"/>
        <v>5</v>
      </c>
      <c r="AC203" s="10">
        <f t="shared" si="65"/>
        <v>1</v>
      </c>
      <c r="AD203" s="5">
        <f t="shared" si="59"/>
        <v>1</v>
      </c>
      <c r="AE203" s="5">
        <f t="shared" si="60"/>
        <v>1</v>
      </c>
      <c r="AF203" s="5">
        <f t="shared" si="66"/>
        <v>0</v>
      </c>
      <c r="AG203">
        <f>IF(B203&lt;&gt;"", COUNTIFS($B$2:B203, B203), "")</f>
        <v>36</v>
      </c>
      <c r="AH203">
        <f t="shared" si="67"/>
        <v>5</v>
      </c>
      <c r="AI203" t="str">
        <f>VLOOKUP(B203, Currency!A:B, 2, FALSE)</f>
        <v>INR</v>
      </c>
      <c r="AJ203">
        <f t="shared" si="61"/>
        <v>4</v>
      </c>
      <c r="AK203">
        <f t="shared" si="68"/>
        <v>7</v>
      </c>
      <c r="AL203" t="str">
        <f t="shared" si="69"/>
        <v>July</v>
      </c>
      <c r="AM203">
        <f t="shared" si="70"/>
        <v>2023</v>
      </c>
      <c r="AN203" t="str">
        <f t="shared" si="71"/>
        <v>0SKYWIN ENTERPRISE</v>
      </c>
      <c r="AO203">
        <f>IF(COUNTIF($AN$2:AN203, AN203)=1, 1, 0)</f>
        <v>0</v>
      </c>
      <c r="AP203" t="str">
        <f t="shared" si="72"/>
        <v>&gt;3</v>
      </c>
      <c r="AQ203" t="str">
        <f t="shared" si="73"/>
        <v>&lt;=3</v>
      </c>
      <c r="AR203" t="str">
        <f t="shared" si="74"/>
        <v>&gt;3</v>
      </c>
    </row>
    <row r="204" spans="1:44" x14ac:dyDescent="0.3">
      <c r="A204" t="s">
        <v>33</v>
      </c>
      <c r="B204" t="s">
        <v>366</v>
      </c>
      <c r="C204" t="s">
        <v>468</v>
      </c>
      <c r="D204">
        <v>2574</v>
      </c>
      <c r="E204">
        <v>23310194</v>
      </c>
      <c r="F204" t="s">
        <v>569</v>
      </c>
      <c r="G204" t="s">
        <v>570</v>
      </c>
      <c r="H204">
        <v>100</v>
      </c>
      <c r="I204">
        <v>11333.33</v>
      </c>
      <c r="J204">
        <v>1133333</v>
      </c>
      <c r="K204" t="str">
        <f>IFERROR(IF(B204&lt;&gt;"", TEXT(VLOOKUP(B204, 'Expected Date'!A:B, 2, FALSE) + DATE(RIGHT(C204,2),MID(C204,4,2),LEFT(C204,2)), "dd/mm/yy"), ""), "")</f>
        <v>20/06/23</v>
      </c>
      <c r="L204" t="s">
        <v>38</v>
      </c>
      <c r="M204" t="s">
        <v>48</v>
      </c>
      <c r="N204" t="s">
        <v>574</v>
      </c>
      <c r="O204" t="s">
        <v>60</v>
      </c>
      <c r="P204">
        <v>23390276</v>
      </c>
      <c r="Q204" t="s">
        <v>569</v>
      </c>
      <c r="R204" t="s">
        <v>570</v>
      </c>
      <c r="S204">
        <v>31.26</v>
      </c>
      <c r="T204">
        <v>11333.33</v>
      </c>
      <c r="U204">
        <v>354279.9</v>
      </c>
      <c r="V204" t="str">
        <f t="shared" si="75"/>
        <v>Accepted</v>
      </c>
      <c r="W204">
        <f>IFERROR(VLOOKUP(N204, Payment_Terms!A:B, 2, FALSE), "Payment term not found!")</f>
        <v>0</v>
      </c>
      <c r="X204" t="str">
        <f>IFERROR(VLOOKUP(R204, Item_Category!A:B, 2, FALSE), "Uncategorized")</f>
        <v>Coal materials</v>
      </c>
      <c r="Y204" s="5">
        <f t="shared" si="57"/>
        <v>0</v>
      </c>
      <c r="Z204">
        <f t="shared" si="62"/>
        <v>5</v>
      </c>
      <c r="AA204">
        <f t="shared" si="63"/>
        <v>6</v>
      </c>
      <c r="AB204">
        <f t="shared" si="64"/>
        <v>3</v>
      </c>
      <c r="AC204" s="10">
        <f t="shared" si="65"/>
        <v>8</v>
      </c>
      <c r="AD204" s="5">
        <f t="shared" si="59"/>
        <v>1</v>
      </c>
      <c r="AE204" s="5">
        <f t="shared" si="60"/>
        <v>1</v>
      </c>
      <c r="AF204" s="5">
        <f t="shared" si="66"/>
        <v>0</v>
      </c>
      <c r="AG204">
        <f>IF(B204&lt;&gt;"", COUNTIFS($B$2:B204, B204), "")</f>
        <v>37</v>
      </c>
      <c r="AH204">
        <f t="shared" si="67"/>
        <v>5</v>
      </c>
      <c r="AI204" t="str">
        <f>VLOOKUP(B204, Currency!A:B, 2, FALSE)</f>
        <v>INR</v>
      </c>
      <c r="AJ204">
        <f t="shared" si="61"/>
        <v>5</v>
      </c>
      <c r="AK204">
        <f t="shared" si="68"/>
        <v>6</v>
      </c>
      <c r="AL204" t="str">
        <f t="shared" si="69"/>
        <v>June</v>
      </c>
      <c r="AM204">
        <f t="shared" si="70"/>
        <v>2023</v>
      </c>
      <c r="AN204" t="str">
        <f t="shared" si="71"/>
        <v>0SKYWIN ENTERPRISE</v>
      </c>
      <c r="AO204">
        <f>IF(COUNTIF($AN$2:AN204, AN204)=1, 1, 0)</f>
        <v>0</v>
      </c>
      <c r="AP204" t="str">
        <f t="shared" si="72"/>
        <v>&gt;3</v>
      </c>
      <c r="AQ204" t="str">
        <f t="shared" si="73"/>
        <v>&gt;3</v>
      </c>
      <c r="AR204" t="str">
        <f t="shared" si="74"/>
        <v>&lt;=3</v>
      </c>
    </row>
    <row r="205" spans="1:44" x14ac:dyDescent="0.3">
      <c r="A205" t="s">
        <v>33</v>
      </c>
      <c r="B205" t="s">
        <v>395</v>
      </c>
      <c r="C205" t="s">
        <v>117</v>
      </c>
      <c r="D205">
        <v>3137</v>
      </c>
      <c r="E205">
        <v>23310237</v>
      </c>
      <c r="F205" t="s">
        <v>569</v>
      </c>
      <c r="G205" t="s">
        <v>570</v>
      </c>
      <c r="H205">
        <v>100</v>
      </c>
      <c r="I205">
        <v>9809.52</v>
      </c>
      <c r="J205">
        <v>980952</v>
      </c>
      <c r="K205" t="str">
        <f>IFERROR(IF(B205&lt;&gt;"", TEXT(VLOOKUP(B205, 'Expected Date'!A:B, 2, FALSE) + DATE(RIGHT(C205,2),MID(C205,4,2),LEFT(C205,2)), "dd/mm/yy"), ""), "")</f>
        <v>12/07/23</v>
      </c>
      <c r="L205" t="s">
        <v>68</v>
      </c>
      <c r="M205" t="s">
        <v>48</v>
      </c>
      <c r="N205" t="s">
        <v>342</v>
      </c>
      <c r="O205" t="s">
        <v>469</v>
      </c>
      <c r="P205">
        <v>23390328</v>
      </c>
      <c r="Q205" t="s">
        <v>569</v>
      </c>
      <c r="R205" t="s">
        <v>570</v>
      </c>
      <c r="S205">
        <v>23.88</v>
      </c>
      <c r="T205">
        <v>9809.52</v>
      </c>
      <c r="U205">
        <v>234251.34</v>
      </c>
      <c r="V205" t="str">
        <f t="shared" si="75"/>
        <v>Accepted</v>
      </c>
      <c r="W205">
        <f>IFERROR(VLOOKUP(N205, Payment_Terms!A:B, 2, FALSE), "Payment term not found!")</f>
        <v>30</v>
      </c>
      <c r="X205" t="str">
        <f>IFERROR(VLOOKUP(R205, Item_Category!A:B, 2, FALSE), "Uncategorized")</f>
        <v>Coal materials</v>
      </c>
      <c r="Y205" s="5">
        <f t="shared" si="57"/>
        <v>0.47460000000000002</v>
      </c>
      <c r="Z205">
        <f t="shared" si="62"/>
        <v>1</v>
      </c>
      <c r="AA205">
        <f t="shared" si="63"/>
        <v>1</v>
      </c>
      <c r="AB205">
        <f t="shared" si="64"/>
        <v>5</v>
      </c>
      <c r="AC205" s="10">
        <f t="shared" si="65"/>
        <v>6</v>
      </c>
      <c r="AD205" s="5">
        <f t="shared" si="59"/>
        <v>1</v>
      </c>
      <c r="AE205" s="5">
        <f t="shared" si="60"/>
        <v>1</v>
      </c>
      <c r="AF205" s="5">
        <f t="shared" si="66"/>
        <v>0</v>
      </c>
      <c r="AG205">
        <f>IF(B205&lt;&gt;"", COUNTIFS($B$2:B205, B205), "")</f>
        <v>8</v>
      </c>
      <c r="AH205">
        <f t="shared" si="67"/>
        <v>5</v>
      </c>
      <c r="AI205" t="str">
        <f>VLOOKUP(B205, Currency!A:B, 2, FALSE)</f>
        <v>INR</v>
      </c>
      <c r="AJ205">
        <f t="shared" si="61"/>
        <v>4</v>
      </c>
      <c r="AK205">
        <f t="shared" si="68"/>
        <v>7</v>
      </c>
      <c r="AL205" t="str">
        <f t="shared" si="69"/>
        <v>July</v>
      </c>
      <c r="AM205">
        <f t="shared" si="70"/>
        <v>2023</v>
      </c>
      <c r="AN205" t="str">
        <f t="shared" si="71"/>
        <v>30Crystal coal corporation</v>
      </c>
      <c r="AO205">
        <f>IF(COUNTIF($AN$2:AN205, AN205)=1, 1, 0)</f>
        <v>0</v>
      </c>
      <c r="AP205" t="str">
        <f t="shared" si="72"/>
        <v>&gt;3</v>
      </c>
      <c r="AQ205" t="str">
        <f t="shared" si="73"/>
        <v>&lt;=3</v>
      </c>
      <c r="AR205" t="str">
        <f t="shared" si="74"/>
        <v>&gt;3</v>
      </c>
    </row>
    <row r="206" spans="1:44" x14ac:dyDescent="0.3">
      <c r="A206" t="s">
        <v>33</v>
      </c>
      <c r="B206" t="s">
        <v>513</v>
      </c>
      <c r="C206" t="s">
        <v>58</v>
      </c>
      <c r="D206">
        <v>3493</v>
      </c>
      <c r="E206">
        <v>23310271</v>
      </c>
      <c r="F206" t="s">
        <v>563</v>
      </c>
      <c r="G206" t="s">
        <v>515</v>
      </c>
      <c r="H206">
        <v>2500</v>
      </c>
      <c r="I206">
        <v>24</v>
      </c>
      <c r="J206">
        <v>60000</v>
      </c>
      <c r="K206" t="str">
        <f>IFERROR(IF(B206&lt;&gt;"", TEXT(VLOOKUP(B206, 'Expected Date'!A:B, 2, FALSE) + DATE(RIGHT(C206,2),MID(C206,4,2),LEFT(C206,2)), "dd/mm/yy"), ""), "")</f>
        <v>03/08/23</v>
      </c>
      <c r="L206" t="s">
        <v>38</v>
      </c>
      <c r="M206" t="s">
        <v>48</v>
      </c>
      <c r="N206" t="s">
        <v>342</v>
      </c>
      <c r="O206" t="s">
        <v>408</v>
      </c>
      <c r="P206">
        <v>23390403</v>
      </c>
      <c r="Q206" t="s">
        <v>563</v>
      </c>
      <c r="R206" t="s">
        <v>564</v>
      </c>
      <c r="S206">
        <v>1000</v>
      </c>
      <c r="T206">
        <v>24</v>
      </c>
      <c r="U206">
        <v>24000</v>
      </c>
      <c r="V206" t="str">
        <f t="shared" si="75"/>
        <v>Accepted</v>
      </c>
      <c r="W206">
        <f>IFERROR(VLOOKUP(N206, Payment_Terms!A:B, 2, FALSE), "Payment term not found!")</f>
        <v>30</v>
      </c>
      <c r="X206" t="str">
        <f>IFERROR(VLOOKUP(R206, Item_Category!A:B, 2, FALSE), "Uncategorized")</f>
        <v xml:space="preserve">Caustic Soda </v>
      </c>
      <c r="Y206" s="5">
        <f t="shared" si="57"/>
        <v>0</v>
      </c>
      <c r="Z206">
        <f t="shared" si="62"/>
        <v>5</v>
      </c>
      <c r="AA206">
        <f t="shared" si="63"/>
        <v>5</v>
      </c>
      <c r="AB206">
        <f t="shared" si="64"/>
        <v>3</v>
      </c>
      <c r="AC206" s="10">
        <f t="shared" si="65"/>
        <v>7</v>
      </c>
      <c r="AD206" s="5">
        <f t="shared" si="59"/>
        <v>1</v>
      </c>
      <c r="AE206" s="5">
        <f t="shared" si="60"/>
        <v>1</v>
      </c>
      <c r="AF206" s="5">
        <f t="shared" si="66"/>
        <v>0</v>
      </c>
      <c r="AG206">
        <f>IF(B206&lt;&gt;"", COUNTIFS($B$2:B206, B206), "")</f>
        <v>21</v>
      </c>
      <c r="AH206">
        <f t="shared" si="67"/>
        <v>5</v>
      </c>
      <c r="AI206" t="str">
        <f>VLOOKUP(B206, Currency!A:B, 2, FALSE)</f>
        <v>INR</v>
      </c>
      <c r="AJ206">
        <f t="shared" si="61"/>
        <v>5</v>
      </c>
      <c r="AK206">
        <f t="shared" si="68"/>
        <v>8</v>
      </c>
      <c r="AL206" t="str">
        <f t="shared" si="69"/>
        <v>August</v>
      </c>
      <c r="AM206">
        <f t="shared" si="70"/>
        <v>2023</v>
      </c>
      <c r="AN206" t="str">
        <f t="shared" si="71"/>
        <v>30J.K.Marketing</v>
      </c>
      <c r="AO206">
        <f>IF(COUNTIF($AN$2:AN206, AN206)=1, 1, 0)</f>
        <v>0</v>
      </c>
      <c r="AP206" t="str">
        <f t="shared" si="72"/>
        <v>&gt;3</v>
      </c>
      <c r="AQ206" t="str">
        <f t="shared" si="73"/>
        <v>&gt;3</v>
      </c>
      <c r="AR206" t="str">
        <f t="shared" si="74"/>
        <v>&lt;=3</v>
      </c>
    </row>
    <row r="207" spans="1:44" x14ac:dyDescent="0.3">
      <c r="A207" t="s">
        <v>33</v>
      </c>
      <c r="B207" t="s">
        <v>122</v>
      </c>
      <c r="C207" t="s">
        <v>397</v>
      </c>
      <c r="D207">
        <v>1189</v>
      </c>
      <c r="E207">
        <v>23310011</v>
      </c>
      <c r="F207" t="s">
        <v>565</v>
      </c>
      <c r="G207" t="s">
        <v>566</v>
      </c>
      <c r="H207">
        <v>160</v>
      </c>
      <c r="I207">
        <v>930</v>
      </c>
      <c r="J207">
        <v>148800</v>
      </c>
      <c r="K207" t="str">
        <f>IFERROR(IF(B207&lt;&gt;"", TEXT(VLOOKUP(B207, 'Expected Date'!A:B, 2, FALSE) + DATE(RIGHT(C207,2),MID(C207,4,2),LEFT(C207,2)), "dd/mm/yy"), ""), "")</f>
        <v>20/04/23</v>
      </c>
      <c r="L207" t="s">
        <v>38</v>
      </c>
      <c r="M207" t="s">
        <v>39</v>
      </c>
      <c r="N207" t="s">
        <v>318</v>
      </c>
      <c r="O207" t="s">
        <v>605</v>
      </c>
      <c r="P207">
        <v>23390017</v>
      </c>
      <c r="Q207" t="s">
        <v>565</v>
      </c>
      <c r="R207" t="s">
        <v>566</v>
      </c>
      <c r="S207">
        <v>50</v>
      </c>
      <c r="T207">
        <v>930</v>
      </c>
      <c r="U207">
        <v>46500</v>
      </c>
      <c r="V207" t="str">
        <f t="shared" si="75"/>
        <v>Accepted</v>
      </c>
      <c r="W207">
        <f>IFERROR(VLOOKUP(N207, Payment_Terms!A:B, 2, FALSE), "Payment term not found!")</f>
        <v>30</v>
      </c>
      <c r="X207" t="str">
        <f>IFERROR(VLOOKUP(R207, Item_Category!A:B, 2, FALSE), "Uncategorized")</f>
        <v>Pallets</v>
      </c>
      <c r="Y207" s="5">
        <f t="shared" si="57"/>
        <v>0</v>
      </c>
      <c r="Z207">
        <f t="shared" si="62"/>
        <v>5</v>
      </c>
      <c r="AA207">
        <f t="shared" si="63"/>
        <v>-12</v>
      </c>
      <c r="AB207">
        <f t="shared" si="64"/>
        <v>5</v>
      </c>
      <c r="AC207" s="10">
        <f t="shared" si="65"/>
        <v>3</v>
      </c>
      <c r="AD207" s="5">
        <f t="shared" si="59"/>
        <v>1</v>
      </c>
      <c r="AE207" s="5">
        <f t="shared" si="60"/>
        <v>1</v>
      </c>
      <c r="AF207" s="5">
        <f t="shared" si="66"/>
        <v>0</v>
      </c>
      <c r="AG207">
        <f>IF(B207&lt;&gt;"", COUNTIFS($B$2:B207, B207), "")</f>
        <v>12</v>
      </c>
      <c r="AH207">
        <f t="shared" si="67"/>
        <v>5</v>
      </c>
      <c r="AI207" t="str">
        <f>VLOOKUP(B207, Currency!A:B, 2, FALSE)</f>
        <v>INR</v>
      </c>
      <c r="AJ207">
        <f t="shared" si="61"/>
        <v>5</v>
      </c>
      <c r="AK207">
        <f t="shared" si="68"/>
        <v>4</v>
      </c>
      <c r="AL207" t="str">
        <f t="shared" si="69"/>
        <v>April</v>
      </c>
      <c r="AM207">
        <f t="shared" si="70"/>
        <v>2023</v>
      </c>
      <c r="AN207" t="str">
        <f t="shared" si="71"/>
        <v>30Plastocon Industries Pvt Ltd</v>
      </c>
      <c r="AO207">
        <f>IF(COUNTIF($AN$2:AN207, AN207)=1, 1, 0)</f>
        <v>0</v>
      </c>
      <c r="AP207" t="str">
        <f t="shared" si="72"/>
        <v>&gt;3</v>
      </c>
      <c r="AQ207" t="str">
        <f t="shared" si="73"/>
        <v>&gt;3</v>
      </c>
      <c r="AR207" t="str">
        <f t="shared" si="74"/>
        <v>&gt;3</v>
      </c>
    </row>
    <row r="208" spans="1:44" x14ac:dyDescent="0.3">
      <c r="A208" t="str">
        <f>A10</f>
        <v>Woodpulp</v>
      </c>
      <c r="B208" t="s">
        <v>289</v>
      </c>
      <c r="C208" t="s">
        <v>168</v>
      </c>
      <c r="D208">
        <v>1303</v>
      </c>
      <c r="E208">
        <v>23320007</v>
      </c>
      <c r="F208" t="s">
        <v>575</v>
      </c>
      <c r="G208" t="s">
        <v>291</v>
      </c>
      <c r="H208">
        <v>200000</v>
      </c>
      <c r="I208">
        <v>64.099999999999994</v>
      </c>
      <c r="J208">
        <v>12820000</v>
      </c>
      <c r="K208" t="str">
        <f>IFERROR(IF(B208&lt;&gt;"", TEXT(VLOOKUP(B208, 'Expected Date'!A:B, 2, FALSE) + DATE(RIGHT(C208,2),MID(C208,4,2),LEFT(C208,2)), "dd/mm/yy"), ""), "")</f>
        <v>17/05/23</v>
      </c>
      <c r="L208" t="s">
        <v>38</v>
      </c>
      <c r="M208" t="str">
        <f>M108</f>
        <v>MT</v>
      </c>
      <c r="N208" t="s">
        <v>292</v>
      </c>
      <c r="O208" t="s">
        <v>80</v>
      </c>
      <c r="P208">
        <v>23390028</v>
      </c>
      <c r="Q208" t="s">
        <v>575</v>
      </c>
      <c r="R208" t="s">
        <v>291</v>
      </c>
      <c r="S208">
        <v>30167</v>
      </c>
      <c r="T208">
        <v>64.099999999999994</v>
      </c>
      <c r="U208">
        <v>1933704.7</v>
      </c>
      <c r="V208" t="str">
        <f t="shared" si="75"/>
        <v>Accepted</v>
      </c>
      <c r="W208">
        <f>IFERROR(VLOOKUP(N208, Payment_Terms!A:B, 2, FALSE), "Payment term not found!")</f>
        <v>0</v>
      </c>
      <c r="X208" t="str">
        <f>IFERROR(VLOOKUP(R208, Item_Category!A:B, 2, FALSE), "Uncategorized")</f>
        <v>Wood pulp</v>
      </c>
      <c r="Y208" s="5">
        <f t="shared" si="57"/>
        <v>0</v>
      </c>
      <c r="Z208">
        <f t="shared" si="62"/>
        <v>5</v>
      </c>
      <c r="AA208">
        <f t="shared" si="63"/>
        <v>-33</v>
      </c>
      <c r="AB208">
        <f t="shared" si="64"/>
        <v>5</v>
      </c>
      <c r="AC208" s="10">
        <f t="shared" si="65"/>
        <v>3</v>
      </c>
      <c r="AD208" s="5">
        <f t="shared" si="59"/>
        <v>1</v>
      </c>
      <c r="AE208" s="5">
        <f t="shared" si="60"/>
        <v>1</v>
      </c>
      <c r="AF208" s="5">
        <f t="shared" si="66"/>
        <v>0</v>
      </c>
      <c r="AG208">
        <f>IF(B208&lt;&gt;"", COUNTIFS($B$2:B208, B208), "")</f>
        <v>16</v>
      </c>
      <c r="AH208">
        <f t="shared" si="67"/>
        <v>5</v>
      </c>
      <c r="AI208" t="str">
        <f>VLOOKUP(B208, Currency!A:B, 2, FALSE)</f>
        <v>INR</v>
      </c>
      <c r="AJ208">
        <f t="shared" si="61"/>
        <v>5</v>
      </c>
      <c r="AK208">
        <f t="shared" si="68"/>
        <v>4</v>
      </c>
      <c r="AL208" t="str">
        <f t="shared" si="69"/>
        <v>April</v>
      </c>
      <c r="AM208">
        <f t="shared" si="70"/>
        <v>2023</v>
      </c>
      <c r="AN208" t="str">
        <f t="shared" si="71"/>
        <v>0N.E. IMPEX PRIVATE LIMITED</v>
      </c>
      <c r="AO208">
        <f>IF(COUNTIF($AN$2:AN208, AN208)=1, 1, 0)</f>
        <v>0</v>
      </c>
      <c r="AP208" t="str">
        <f t="shared" si="72"/>
        <v>&gt;3</v>
      </c>
      <c r="AQ208" t="str">
        <f t="shared" si="73"/>
        <v>&gt;3</v>
      </c>
      <c r="AR208" t="str">
        <f t="shared" si="74"/>
        <v>&gt;3</v>
      </c>
    </row>
    <row r="209" spans="1:44" x14ac:dyDescent="0.3">
      <c r="A209" t="str">
        <f>A10</f>
        <v>Woodpulp</v>
      </c>
      <c r="B209" t="s">
        <v>289</v>
      </c>
      <c r="C209" t="s">
        <v>168</v>
      </c>
      <c r="D209">
        <v>1303</v>
      </c>
      <c r="E209">
        <v>23320007</v>
      </c>
      <c r="F209" t="s">
        <v>575</v>
      </c>
      <c r="G209" t="s">
        <v>291</v>
      </c>
      <c r="H209">
        <v>200000</v>
      </c>
      <c r="I209">
        <v>64.099999999999994</v>
      </c>
      <c r="J209">
        <v>12820000</v>
      </c>
      <c r="K209" t="str">
        <f>IFERROR(IF(B209&lt;&gt;"", TEXT(VLOOKUP(B209, 'Expected Date'!A:B, 2, FALSE) + DATE(RIGHT(C209,2),MID(C209,4,2),LEFT(C209,2)), "dd/mm/yy"), ""), "")</f>
        <v>17/05/23</v>
      </c>
      <c r="L209" t="s">
        <v>38</v>
      </c>
      <c r="M209" t="str">
        <f>M108</f>
        <v>MT</v>
      </c>
      <c r="N209" t="s">
        <v>292</v>
      </c>
      <c r="O209" t="s">
        <v>378</v>
      </c>
      <c r="P209">
        <v>23390029</v>
      </c>
      <c r="Q209" t="s">
        <v>575</v>
      </c>
      <c r="R209" t="s">
        <v>291</v>
      </c>
      <c r="S209">
        <v>24134</v>
      </c>
      <c r="T209">
        <v>64.099999999999994</v>
      </c>
      <c r="U209">
        <v>1546989.4</v>
      </c>
      <c r="V209" t="str">
        <f t="shared" si="75"/>
        <v>Accepted</v>
      </c>
      <c r="W209">
        <f>IFERROR(VLOOKUP(N209, Payment_Terms!A:B, 2, FALSE), "Payment term not found!")</f>
        <v>0</v>
      </c>
      <c r="X209" t="str">
        <f>IFERROR(VLOOKUP(R209, Item_Category!A:B, 2, FALSE), "Uncategorized")</f>
        <v>Wood pulp</v>
      </c>
      <c r="Y209" s="5">
        <f t="shared" si="57"/>
        <v>0</v>
      </c>
      <c r="Z209">
        <f t="shared" si="62"/>
        <v>5</v>
      </c>
      <c r="AA209">
        <f t="shared" si="63"/>
        <v>-32</v>
      </c>
      <c r="AB209">
        <f t="shared" si="64"/>
        <v>5</v>
      </c>
      <c r="AC209" s="10">
        <f t="shared" si="65"/>
        <v>2</v>
      </c>
      <c r="AD209" s="5">
        <f t="shared" si="59"/>
        <v>1</v>
      </c>
      <c r="AE209" s="5">
        <f t="shared" si="60"/>
        <v>1</v>
      </c>
      <c r="AF209" s="5">
        <f t="shared" si="66"/>
        <v>0</v>
      </c>
      <c r="AG209">
        <f>IF(B209&lt;&gt;"", COUNTIFS($B$2:B209, B209), "")</f>
        <v>17</v>
      </c>
      <c r="AH209">
        <f t="shared" si="67"/>
        <v>5</v>
      </c>
      <c r="AI209" t="str">
        <f>VLOOKUP(B209, Currency!A:B, 2, FALSE)</f>
        <v>INR</v>
      </c>
      <c r="AJ209">
        <f t="shared" si="61"/>
        <v>5</v>
      </c>
      <c r="AK209">
        <f t="shared" si="68"/>
        <v>4</v>
      </c>
      <c r="AL209" t="str">
        <f t="shared" si="69"/>
        <v>April</v>
      </c>
      <c r="AM209">
        <f t="shared" si="70"/>
        <v>2023</v>
      </c>
      <c r="AN209" t="str">
        <f t="shared" si="71"/>
        <v>0N.E. IMPEX PRIVATE LIMITED</v>
      </c>
      <c r="AO209">
        <f>IF(COUNTIF($AN$2:AN209, AN209)=1, 1, 0)</f>
        <v>0</v>
      </c>
      <c r="AP209" t="str">
        <f t="shared" si="72"/>
        <v>&gt;3</v>
      </c>
      <c r="AQ209" t="str">
        <f t="shared" si="73"/>
        <v>&gt;3</v>
      </c>
      <c r="AR209" t="str">
        <f t="shared" si="74"/>
        <v>&gt;3</v>
      </c>
    </row>
    <row r="210" spans="1:44" x14ac:dyDescent="0.3">
      <c r="A210" t="str">
        <f>A10</f>
        <v>Woodpulp</v>
      </c>
      <c r="B210" t="s">
        <v>289</v>
      </c>
      <c r="C210" t="s">
        <v>168</v>
      </c>
      <c r="D210">
        <v>1303</v>
      </c>
      <c r="E210">
        <v>23320007</v>
      </c>
      <c r="F210" t="s">
        <v>575</v>
      </c>
      <c r="G210" t="s">
        <v>291</v>
      </c>
      <c r="H210">
        <v>200000</v>
      </c>
      <c r="I210">
        <v>64.099999999999994</v>
      </c>
      <c r="J210">
        <v>12820000</v>
      </c>
      <c r="K210" t="str">
        <f>IFERROR(IF(B210&lt;&gt;"", TEXT(VLOOKUP(B210, 'Expected Date'!A:B, 2, FALSE) + DATE(RIGHT(C210,2),MID(C210,4,2),LEFT(C210,2)), "dd/mm/yy"), ""), "")</f>
        <v>17/05/23</v>
      </c>
      <c r="L210" t="s">
        <v>38</v>
      </c>
      <c r="M210" t="str">
        <f>M108</f>
        <v>MT</v>
      </c>
      <c r="N210" t="s">
        <v>292</v>
      </c>
      <c r="O210" t="s">
        <v>417</v>
      </c>
      <c r="P210">
        <v>23390030</v>
      </c>
      <c r="Q210" t="s">
        <v>575</v>
      </c>
      <c r="R210" t="s">
        <v>291</v>
      </c>
      <c r="S210">
        <v>24134</v>
      </c>
      <c r="T210">
        <v>64.099999999999994</v>
      </c>
      <c r="U210">
        <v>1546989.4</v>
      </c>
      <c r="V210" t="str">
        <f t="shared" si="75"/>
        <v>Accepted</v>
      </c>
      <c r="W210">
        <f>IFERROR(VLOOKUP(N210, Payment_Terms!A:B, 2, FALSE), "Payment term not found!")</f>
        <v>0</v>
      </c>
      <c r="X210" t="str">
        <f>IFERROR(VLOOKUP(R210, Item_Category!A:B, 2, FALSE), "Uncategorized")</f>
        <v>Wood pulp</v>
      </c>
      <c r="Y210" s="5">
        <f t="shared" si="57"/>
        <v>0</v>
      </c>
      <c r="Z210">
        <f t="shared" si="62"/>
        <v>5</v>
      </c>
      <c r="AA210">
        <f t="shared" si="63"/>
        <v>-31</v>
      </c>
      <c r="AB210">
        <f t="shared" si="64"/>
        <v>5</v>
      </c>
      <c r="AC210" s="10">
        <f t="shared" si="65"/>
        <v>1</v>
      </c>
      <c r="AD210" s="5">
        <f t="shared" si="59"/>
        <v>1</v>
      </c>
      <c r="AE210" s="5">
        <f t="shared" si="60"/>
        <v>1</v>
      </c>
      <c r="AF210" s="5">
        <f t="shared" si="66"/>
        <v>0</v>
      </c>
      <c r="AG210">
        <f>IF(B210&lt;&gt;"", COUNTIFS($B$2:B210, B210), "")</f>
        <v>18</v>
      </c>
      <c r="AH210">
        <f t="shared" si="67"/>
        <v>5</v>
      </c>
      <c r="AI210" t="str">
        <f>VLOOKUP(B210, Currency!A:B, 2, FALSE)</f>
        <v>INR</v>
      </c>
      <c r="AJ210">
        <f t="shared" si="61"/>
        <v>5</v>
      </c>
      <c r="AK210">
        <f t="shared" si="68"/>
        <v>4</v>
      </c>
      <c r="AL210" t="str">
        <f t="shared" si="69"/>
        <v>April</v>
      </c>
      <c r="AM210">
        <f t="shared" si="70"/>
        <v>2023</v>
      </c>
      <c r="AN210" t="str">
        <f t="shared" si="71"/>
        <v>0N.E. IMPEX PRIVATE LIMITED</v>
      </c>
      <c r="AO210">
        <f>IF(COUNTIF($AN$2:AN210, AN210)=1, 1, 0)</f>
        <v>0</v>
      </c>
      <c r="AP210" t="str">
        <f t="shared" si="72"/>
        <v>&gt;3</v>
      </c>
      <c r="AQ210" t="str">
        <f t="shared" si="73"/>
        <v>&gt;3</v>
      </c>
      <c r="AR210" t="str">
        <f t="shared" si="74"/>
        <v>&gt;3</v>
      </c>
    </row>
    <row r="211" spans="1:44" x14ac:dyDescent="0.3">
      <c r="A211" t="str">
        <f>A10</f>
        <v>Woodpulp</v>
      </c>
      <c r="B211" t="s">
        <v>289</v>
      </c>
      <c r="C211" t="s">
        <v>168</v>
      </c>
      <c r="D211">
        <v>1303</v>
      </c>
      <c r="E211">
        <v>23320007</v>
      </c>
      <c r="F211" t="s">
        <v>575</v>
      </c>
      <c r="G211" t="s">
        <v>291</v>
      </c>
      <c r="H211">
        <v>200000</v>
      </c>
      <c r="I211">
        <v>64.099999999999994</v>
      </c>
      <c r="J211">
        <v>12820000</v>
      </c>
      <c r="K211" t="str">
        <f>IFERROR(IF(B211&lt;&gt;"", TEXT(VLOOKUP(B211, 'Expected Date'!A:B, 2, FALSE) + DATE(RIGHT(C211,2),MID(C211,4,2),LEFT(C211,2)), "dd/mm/yy"), ""), "")</f>
        <v>17/05/23</v>
      </c>
      <c r="L211" t="s">
        <v>38</v>
      </c>
      <c r="M211" t="str">
        <f>M108</f>
        <v>MT</v>
      </c>
      <c r="N211" t="s">
        <v>292</v>
      </c>
      <c r="O211" t="s">
        <v>417</v>
      </c>
      <c r="P211">
        <v>23390031</v>
      </c>
      <c r="Q211" t="s">
        <v>575</v>
      </c>
      <c r="R211" t="s">
        <v>291</v>
      </c>
      <c r="S211">
        <v>22123</v>
      </c>
      <c r="T211">
        <v>64.099999999999994</v>
      </c>
      <c r="U211">
        <v>1418084.3</v>
      </c>
      <c r="V211" t="str">
        <f t="shared" si="75"/>
        <v>Accepted</v>
      </c>
      <c r="W211">
        <f>IFERROR(VLOOKUP(N211, Payment_Terms!A:B, 2, FALSE), "Payment term not found!")</f>
        <v>0</v>
      </c>
      <c r="X211" t="str">
        <f>IFERROR(VLOOKUP(R211, Item_Category!A:B, 2, FALSE), "Uncategorized")</f>
        <v>Wood pulp</v>
      </c>
      <c r="Y211" s="5">
        <f t="shared" si="57"/>
        <v>0</v>
      </c>
      <c r="Z211">
        <f t="shared" si="62"/>
        <v>5</v>
      </c>
      <c r="AA211">
        <f t="shared" si="63"/>
        <v>-31</v>
      </c>
      <c r="AB211">
        <f t="shared" si="64"/>
        <v>5</v>
      </c>
      <c r="AC211" s="10">
        <f t="shared" si="65"/>
        <v>1</v>
      </c>
      <c r="AD211" s="5">
        <f t="shared" si="59"/>
        <v>1</v>
      </c>
      <c r="AE211" s="5">
        <f t="shared" si="60"/>
        <v>1</v>
      </c>
      <c r="AF211" s="5">
        <f t="shared" si="66"/>
        <v>0</v>
      </c>
      <c r="AG211">
        <f>IF(B211&lt;&gt;"", COUNTIFS($B$2:B211, B211), "")</f>
        <v>19</v>
      </c>
      <c r="AH211">
        <f t="shared" si="67"/>
        <v>5</v>
      </c>
      <c r="AI211" t="str">
        <f>VLOOKUP(B211, Currency!A:B, 2, FALSE)</f>
        <v>INR</v>
      </c>
      <c r="AJ211">
        <f t="shared" si="61"/>
        <v>5</v>
      </c>
      <c r="AK211">
        <f t="shared" si="68"/>
        <v>4</v>
      </c>
      <c r="AL211" t="str">
        <f t="shared" si="69"/>
        <v>April</v>
      </c>
      <c r="AM211">
        <f t="shared" si="70"/>
        <v>2023</v>
      </c>
      <c r="AN211" t="str">
        <f t="shared" si="71"/>
        <v>0N.E. IMPEX PRIVATE LIMITED</v>
      </c>
      <c r="AO211">
        <f>IF(COUNTIF($AN$2:AN211, AN211)=1, 1, 0)</f>
        <v>0</v>
      </c>
      <c r="AP211" t="str">
        <f t="shared" si="72"/>
        <v>&gt;3</v>
      </c>
      <c r="AQ211" t="str">
        <f t="shared" si="73"/>
        <v>&gt;3</v>
      </c>
      <c r="AR211" t="str">
        <f t="shared" si="74"/>
        <v>&gt;3</v>
      </c>
    </row>
    <row r="212" spans="1:44" x14ac:dyDescent="0.3">
      <c r="A212" t="s">
        <v>33</v>
      </c>
      <c r="B212" t="s">
        <v>366</v>
      </c>
      <c r="C212" t="s">
        <v>468</v>
      </c>
      <c r="D212">
        <v>2574</v>
      </c>
      <c r="E212">
        <v>23310194</v>
      </c>
      <c r="F212" t="s">
        <v>569</v>
      </c>
      <c r="G212" t="s">
        <v>570</v>
      </c>
      <c r="H212">
        <v>100</v>
      </c>
      <c r="I212">
        <v>11333.33</v>
      </c>
      <c r="J212">
        <v>1133333</v>
      </c>
      <c r="K212" t="str">
        <f>IFERROR(IF(B212&lt;&gt;"", TEXT(VLOOKUP(B212, 'Expected Date'!A:B, 2, FALSE) + DATE(RIGHT(C212,2),MID(C212,4,2),LEFT(C212,2)), "dd/mm/yy"), ""), "")</f>
        <v>20/06/23</v>
      </c>
      <c r="L212" t="s">
        <v>38</v>
      </c>
      <c r="M212" t="s">
        <v>48</v>
      </c>
      <c r="N212" t="s">
        <v>574</v>
      </c>
      <c r="O212" t="s">
        <v>162</v>
      </c>
      <c r="P212">
        <v>23390284</v>
      </c>
      <c r="Q212" t="s">
        <v>569</v>
      </c>
      <c r="R212" t="s">
        <v>570</v>
      </c>
      <c r="S212">
        <v>31.67</v>
      </c>
      <c r="T212">
        <v>11333.33</v>
      </c>
      <c r="U212">
        <v>358926.56</v>
      </c>
      <c r="V212" t="str">
        <f t="shared" si="75"/>
        <v>Accepted</v>
      </c>
      <c r="W212">
        <f>IFERROR(VLOOKUP(N212, Payment_Terms!A:B, 2, FALSE), "Payment term not found!")</f>
        <v>0</v>
      </c>
      <c r="X212" t="str">
        <f>IFERROR(VLOOKUP(R212, Item_Category!A:B, 2, FALSE), "Uncategorized")</f>
        <v>Coal materials</v>
      </c>
      <c r="Y212" s="5">
        <f t="shared" si="57"/>
        <v>0</v>
      </c>
      <c r="Z212">
        <f t="shared" si="62"/>
        <v>5</v>
      </c>
      <c r="AA212">
        <f t="shared" si="63"/>
        <v>9</v>
      </c>
      <c r="AB212">
        <f t="shared" si="64"/>
        <v>2</v>
      </c>
      <c r="AC212" s="10">
        <f t="shared" si="65"/>
        <v>11</v>
      </c>
      <c r="AD212" s="5">
        <f t="shared" si="59"/>
        <v>1</v>
      </c>
      <c r="AE212" s="5">
        <f t="shared" si="60"/>
        <v>1</v>
      </c>
      <c r="AF212" s="5">
        <f t="shared" si="66"/>
        <v>0</v>
      </c>
      <c r="AG212">
        <f>IF(B212&lt;&gt;"", COUNTIFS($B$2:B212, B212), "")</f>
        <v>38</v>
      </c>
      <c r="AH212">
        <f t="shared" si="67"/>
        <v>5</v>
      </c>
      <c r="AI212" t="str">
        <f>VLOOKUP(B212, Currency!A:B, 2, FALSE)</f>
        <v>INR</v>
      </c>
      <c r="AJ212">
        <f t="shared" si="61"/>
        <v>5</v>
      </c>
      <c r="AK212">
        <f t="shared" si="68"/>
        <v>6</v>
      </c>
      <c r="AL212" t="str">
        <f t="shared" si="69"/>
        <v>June</v>
      </c>
      <c r="AM212">
        <f t="shared" si="70"/>
        <v>2023</v>
      </c>
      <c r="AN212" t="str">
        <f t="shared" si="71"/>
        <v>0SKYWIN ENTERPRISE</v>
      </c>
      <c r="AO212">
        <f>IF(COUNTIF($AN$2:AN212, AN212)=1, 1, 0)</f>
        <v>0</v>
      </c>
      <c r="AP212" t="str">
        <f t="shared" si="72"/>
        <v>&gt;3</v>
      </c>
      <c r="AQ212" t="str">
        <f t="shared" si="73"/>
        <v>&gt;3</v>
      </c>
      <c r="AR212" t="str">
        <f t="shared" si="74"/>
        <v>&lt;=3</v>
      </c>
    </row>
    <row r="213" spans="1:44" x14ac:dyDescent="0.3">
      <c r="A213" t="s">
        <v>33</v>
      </c>
      <c r="B213" t="s">
        <v>386</v>
      </c>
      <c r="C213" t="s">
        <v>110</v>
      </c>
      <c r="D213">
        <v>2497</v>
      </c>
      <c r="E213">
        <v>23310177</v>
      </c>
      <c r="F213" t="s">
        <v>606</v>
      </c>
      <c r="G213" t="s">
        <v>607</v>
      </c>
      <c r="H213">
        <v>2</v>
      </c>
      <c r="I213">
        <v>1100</v>
      </c>
      <c r="J213">
        <v>2200</v>
      </c>
      <c r="K213" t="str">
        <f>IFERROR(IF(B213&lt;&gt;"", TEXT(VLOOKUP(B213, 'Expected Date'!A:B, 2, FALSE) + DATE(RIGHT(C213,2),MID(C213,4,2),LEFT(C213,2)), "dd/mm/yy"), ""), "")</f>
        <v>05/06/23</v>
      </c>
      <c r="L213" t="s">
        <v>38</v>
      </c>
      <c r="M213" t="s">
        <v>608</v>
      </c>
      <c r="N213" t="s">
        <v>342</v>
      </c>
      <c r="O213" t="s">
        <v>195</v>
      </c>
      <c r="P213">
        <v>23390259</v>
      </c>
      <c r="Q213" t="s">
        <v>606</v>
      </c>
      <c r="R213" t="s">
        <v>607</v>
      </c>
      <c r="S213">
        <v>2</v>
      </c>
      <c r="T213">
        <v>1100</v>
      </c>
      <c r="U213">
        <v>2200</v>
      </c>
      <c r="V213" t="str">
        <f t="shared" si="75"/>
        <v>Accepted</v>
      </c>
      <c r="W213">
        <f>IFERROR(VLOOKUP(N213, Payment_Terms!A:B, 2, FALSE), "Payment term not found!")</f>
        <v>30</v>
      </c>
      <c r="X213" t="str">
        <f>IFERROR(VLOOKUP(R213, Item_Category!A:B, 2, FALSE), "Uncategorized")</f>
        <v>General Items</v>
      </c>
      <c r="Y213" s="5">
        <f t="shared" si="57"/>
        <v>0</v>
      </c>
      <c r="Z213">
        <f t="shared" si="62"/>
        <v>5</v>
      </c>
      <c r="AA213">
        <f t="shared" si="63"/>
        <v>10</v>
      </c>
      <c r="AB213">
        <f t="shared" si="64"/>
        <v>2</v>
      </c>
      <c r="AC213" s="10">
        <f t="shared" si="65"/>
        <v>15</v>
      </c>
      <c r="AD213" s="5">
        <f t="shared" si="59"/>
        <v>1</v>
      </c>
      <c r="AE213" s="5">
        <f t="shared" si="60"/>
        <v>1</v>
      </c>
      <c r="AF213" s="5">
        <f t="shared" si="66"/>
        <v>0</v>
      </c>
      <c r="AG213">
        <f>IF(B213&lt;&gt;"", COUNTIFS($B$2:B213, B213), "")</f>
        <v>29</v>
      </c>
      <c r="AH213">
        <f t="shared" si="67"/>
        <v>5</v>
      </c>
      <c r="AI213" t="str">
        <f>VLOOKUP(B213, Currency!A:B, 2, FALSE)</f>
        <v>INR</v>
      </c>
      <c r="AJ213">
        <f t="shared" si="61"/>
        <v>5</v>
      </c>
      <c r="AK213">
        <f t="shared" si="68"/>
        <v>5</v>
      </c>
      <c r="AL213" t="str">
        <f t="shared" si="69"/>
        <v>May</v>
      </c>
      <c r="AM213">
        <f t="shared" si="70"/>
        <v>2023</v>
      </c>
      <c r="AN213" t="str">
        <f t="shared" si="71"/>
        <v>30Shree Shyam Enterprises</v>
      </c>
      <c r="AO213">
        <f>IF(COUNTIF($AN$2:AN213, AN213)=1, 1, 0)</f>
        <v>0</v>
      </c>
      <c r="AP213" t="str">
        <f t="shared" si="72"/>
        <v>&gt;3</v>
      </c>
      <c r="AQ213" t="str">
        <f t="shared" si="73"/>
        <v>&gt;3</v>
      </c>
      <c r="AR213" t="str">
        <f t="shared" si="74"/>
        <v>&lt;=3</v>
      </c>
    </row>
    <row r="214" spans="1:44" x14ac:dyDescent="0.3">
      <c r="A214" t="s">
        <v>33</v>
      </c>
      <c r="B214" t="s">
        <v>395</v>
      </c>
      <c r="C214" t="s">
        <v>117</v>
      </c>
      <c r="D214">
        <v>3137</v>
      </c>
      <c r="E214">
        <v>23310237</v>
      </c>
      <c r="F214" t="s">
        <v>569</v>
      </c>
      <c r="G214" t="s">
        <v>570</v>
      </c>
      <c r="H214">
        <v>100</v>
      </c>
      <c r="I214">
        <v>9809.52</v>
      </c>
      <c r="J214">
        <v>980952</v>
      </c>
      <c r="K214" t="str">
        <f>IFERROR(IF(B214&lt;&gt;"", TEXT(VLOOKUP(B214, 'Expected Date'!A:B, 2, FALSE) + DATE(RIGHT(C214,2),MID(C214,4,2),LEFT(C214,2)), "dd/mm/yy"), ""), "")</f>
        <v>12/07/23</v>
      </c>
      <c r="L214" t="s">
        <v>68</v>
      </c>
      <c r="M214" t="s">
        <v>48</v>
      </c>
      <c r="N214" t="s">
        <v>342</v>
      </c>
      <c r="O214" t="s">
        <v>91</v>
      </c>
      <c r="P214">
        <v>23390326</v>
      </c>
      <c r="Q214" t="s">
        <v>569</v>
      </c>
      <c r="R214" t="s">
        <v>570</v>
      </c>
      <c r="S214">
        <v>28.66</v>
      </c>
      <c r="T214">
        <v>9809.52</v>
      </c>
      <c r="U214">
        <v>281140.84000000003</v>
      </c>
      <c r="V214" t="str">
        <f t="shared" si="75"/>
        <v>Accepted</v>
      </c>
      <c r="W214">
        <f>IFERROR(VLOOKUP(N214, Payment_Terms!A:B, 2, FALSE), "Payment term not found!")</f>
        <v>30</v>
      </c>
      <c r="X214" t="str">
        <f>IFERROR(VLOOKUP(R214, Item_Category!A:B, 2, FALSE), "Uncategorized")</f>
        <v>Coal materials</v>
      </c>
      <c r="Y214" s="5">
        <f t="shared" si="57"/>
        <v>0.47460000000000002</v>
      </c>
      <c r="Z214">
        <f t="shared" si="62"/>
        <v>1</v>
      </c>
      <c r="AA214">
        <f t="shared" si="63"/>
        <v>-3</v>
      </c>
      <c r="AB214">
        <f t="shared" si="64"/>
        <v>5</v>
      </c>
      <c r="AC214" s="10">
        <f t="shared" si="65"/>
        <v>2</v>
      </c>
      <c r="AD214" s="5">
        <f t="shared" si="59"/>
        <v>1</v>
      </c>
      <c r="AE214" s="5">
        <f t="shared" si="60"/>
        <v>1</v>
      </c>
      <c r="AF214" s="5">
        <f t="shared" si="66"/>
        <v>0</v>
      </c>
      <c r="AG214">
        <f>IF(B214&lt;&gt;"", COUNTIFS($B$2:B214, B214), "")</f>
        <v>9</v>
      </c>
      <c r="AH214">
        <f t="shared" si="67"/>
        <v>5</v>
      </c>
      <c r="AI214" t="str">
        <f>VLOOKUP(B214, Currency!A:B, 2, FALSE)</f>
        <v>INR</v>
      </c>
      <c r="AJ214">
        <f t="shared" si="61"/>
        <v>4</v>
      </c>
      <c r="AK214">
        <f t="shared" si="68"/>
        <v>7</v>
      </c>
      <c r="AL214" t="str">
        <f t="shared" si="69"/>
        <v>July</v>
      </c>
      <c r="AM214">
        <f t="shared" si="70"/>
        <v>2023</v>
      </c>
      <c r="AN214" t="str">
        <f t="shared" si="71"/>
        <v>30Crystal coal corporation</v>
      </c>
      <c r="AO214">
        <f>IF(COUNTIF($AN$2:AN214, AN214)=1, 1, 0)</f>
        <v>0</v>
      </c>
      <c r="AP214" t="str">
        <f t="shared" si="72"/>
        <v>&gt;3</v>
      </c>
      <c r="AQ214" t="str">
        <f t="shared" si="73"/>
        <v>&lt;=3</v>
      </c>
      <c r="AR214" t="str">
        <f t="shared" si="74"/>
        <v>&gt;3</v>
      </c>
    </row>
    <row r="215" spans="1:44" x14ac:dyDescent="0.3">
      <c r="A215" t="s">
        <v>33</v>
      </c>
      <c r="B215" t="s">
        <v>513</v>
      </c>
      <c r="C215" t="s">
        <v>58</v>
      </c>
      <c r="D215">
        <v>3493</v>
      </c>
      <c r="E215">
        <v>23310271</v>
      </c>
      <c r="F215" t="s">
        <v>563</v>
      </c>
      <c r="G215" t="s">
        <v>515</v>
      </c>
      <c r="H215">
        <v>2500</v>
      </c>
      <c r="I215">
        <v>24</v>
      </c>
      <c r="J215">
        <v>60000</v>
      </c>
      <c r="K215" t="str">
        <f>IFERROR(IF(B215&lt;&gt;"", TEXT(VLOOKUP(B215, 'Expected Date'!A:B, 2, FALSE) + DATE(RIGHT(C215,2),MID(C215,4,2),LEFT(C215,2)), "dd/mm/yy"), ""), "")</f>
        <v>03/08/23</v>
      </c>
      <c r="L215" t="s">
        <v>38</v>
      </c>
      <c r="M215" t="s">
        <v>48</v>
      </c>
      <c r="N215" t="s">
        <v>342</v>
      </c>
      <c r="O215" t="s">
        <v>127</v>
      </c>
      <c r="P215">
        <v>23390397</v>
      </c>
      <c r="Q215" t="s">
        <v>563</v>
      </c>
      <c r="R215" t="s">
        <v>564</v>
      </c>
      <c r="S215">
        <v>1000</v>
      </c>
      <c r="T215">
        <v>24</v>
      </c>
      <c r="U215">
        <v>24000</v>
      </c>
      <c r="V215" t="str">
        <f t="shared" si="75"/>
        <v>Accepted</v>
      </c>
      <c r="W215">
        <f>IFERROR(VLOOKUP(N215, Payment_Terms!A:B, 2, FALSE), "Payment term not found!")</f>
        <v>30</v>
      </c>
      <c r="X215" t="str">
        <f>IFERROR(VLOOKUP(R215, Item_Category!A:B, 2, FALSE), "Uncategorized")</f>
        <v xml:space="preserve">Caustic Soda </v>
      </c>
      <c r="Y215" s="5">
        <f t="shared" si="57"/>
        <v>0</v>
      </c>
      <c r="Z215">
        <f t="shared" si="62"/>
        <v>5</v>
      </c>
      <c r="AA215">
        <f t="shared" si="63"/>
        <v>-1</v>
      </c>
      <c r="AB215">
        <f t="shared" si="64"/>
        <v>5</v>
      </c>
      <c r="AC215" s="10">
        <f t="shared" si="65"/>
        <v>1</v>
      </c>
      <c r="AD215" s="5">
        <f t="shared" si="59"/>
        <v>1</v>
      </c>
      <c r="AE215" s="5">
        <f t="shared" si="60"/>
        <v>1</v>
      </c>
      <c r="AF215" s="5">
        <f t="shared" si="66"/>
        <v>0</v>
      </c>
      <c r="AG215">
        <f>IF(B215&lt;&gt;"", COUNTIFS($B$2:B215, B215), "")</f>
        <v>22</v>
      </c>
      <c r="AH215">
        <f t="shared" si="67"/>
        <v>5</v>
      </c>
      <c r="AI215" t="str">
        <f>VLOOKUP(B215, Currency!A:B, 2, FALSE)</f>
        <v>INR</v>
      </c>
      <c r="AJ215">
        <f t="shared" si="61"/>
        <v>5</v>
      </c>
      <c r="AK215">
        <f t="shared" si="68"/>
        <v>8</v>
      </c>
      <c r="AL215" t="str">
        <f t="shared" si="69"/>
        <v>August</v>
      </c>
      <c r="AM215">
        <f t="shared" si="70"/>
        <v>2023</v>
      </c>
      <c r="AN215" t="str">
        <f t="shared" si="71"/>
        <v>30J.K.Marketing</v>
      </c>
      <c r="AO215">
        <f>IF(COUNTIF($AN$2:AN215, AN215)=1, 1, 0)</f>
        <v>0</v>
      </c>
      <c r="AP215" t="str">
        <f t="shared" si="72"/>
        <v>&gt;3</v>
      </c>
      <c r="AQ215" t="str">
        <f t="shared" si="73"/>
        <v>&gt;3</v>
      </c>
      <c r="AR215" t="str">
        <f t="shared" si="74"/>
        <v>&gt;3</v>
      </c>
    </row>
    <row r="216" spans="1:44" x14ac:dyDescent="0.3">
      <c r="A216" t="s">
        <v>33</v>
      </c>
      <c r="B216" t="s">
        <v>122</v>
      </c>
      <c r="C216" t="s">
        <v>562</v>
      </c>
      <c r="D216">
        <v>1639</v>
      </c>
      <c r="E216">
        <v>23310061</v>
      </c>
      <c r="F216" t="s">
        <v>565</v>
      </c>
      <c r="G216" t="s">
        <v>566</v>
      </c>
      <c r="H216">
        <v>200</v>
      </c>
      <c r="I216">
        <v>930</v>
      </c>
      <c r="J216">
        <v>186000</v>
      </c>
      <c r="K216" t="str">
        <f>IFERROR(IF(B216&lt;&gt;"", TEXT(VLOOKUP(B216, 'Expected Date'!A:B, 2, FALSE) + DATE(RIGHT(C216,2),MID(C216,4,2),LEFT(C216,2)), "dd/mm/yy"), ""), "")</f>
        <v>15/05/23</v>
      </c>
      <c r="L216" t="s">
        <v>38</v>
      </c>
      <c r="M216" t="s">
        <v>39</v>
      </c>
      <c r="N216" t="s">
        <v>318</v>
      </c>
      <c r="O216" t="s">
        <v>416</v>
      </c>
      <c r="P216">
        <v>23390170</v>
      </c>
      <c r="Q216" t="s">
        <v>565</v>
      </c>
      <c r="R216" t="s">
        <v>566</v>
      </c>
      <c r="S216">
        <v>50</v>
      </c>
      <c r="T216">
        <v>930</v>
      </c>
      <c r="U216">
        <v>46500</v>
      </c>
      <c r="V216" t="str">
        <f t="shared" si="75"/>
        <v>Accepted</v>
      </c>
      <c r="W216">
        <f>IFERROR(VLOOKUP(N216, Payment_Terms!A:B, 2, FALSE), "Payment term not found!")</f>
        <v>30</v>
      </c>
      <c r="X216" t="str">
        <f>IFERROR(VLOOKUP(R216, Item_Category!A:B, 2, FALSE), "Uncategorized")</f>
        <v>Pallets</v>
      </c>
      <c r="Y216" s="5">
        <f t="shared" si="57"/>
        <v>0</v>
      </c>
      <c r="Z216">
        <f t="shared" si="62"/>
        <v>5</v>
      </c>
      <c r="AA216">
        <f t="shared" si="63"/>
        <v>5</v>
      </c>
      <c r="AB216">
        <f t="shared" si="64"/>
        <v>3</v>
      </c>
      <c r="AC216" s="10">
        <f t="shared" si="65"/>
        <v>20</v>
      </c>
      <c r="AD216" s="5">
        <f t="shared" si="59"/>
        <v>1</v>
      </c>
      <c r="AE216" s="5">
        <f t="shared" si="60"/>
        <v>1</v>
      </c>
      <c r="AF216" s="5">
        <f t="shared" si="66"/>
        <v>0</v>
      </c>
      <c r="AG216">
        <f>IF(B216&lt;&gt;"", COUNTIFS($B$2:B216, B216), "")</f>
        <v>13</v>
      </c>
      <c r="AH216">
        <f t="shared" si="67"/>
        <v>5</v>
      </c>
      <c r="AI216" t="str">
        <f>VLOOKUP(B216, Currency!A:B, 2, FALSE)</f>
        <v>INR</v>
      </c>
      <c r="AJ216">
        <f t="shared" si="61"/>
        <v>5</v>
      </c>
      <c r="AK216">
        <f t="shared" si="68"/>
        <v>4</v>
      </c>
      <c r="AL216" t="str">
        <f t="shared" si="69"/>
        <v>April</v>
      </c>
      <c r="AM216">
        <f t="shared" si="70"/>
        <v>2023</v>
      </c>
      <c r="AN216" t="str">
        <f t="shared" si="71"/>
        <v>30Plastocon Industries Pvt Ltd</v>
      </c>
      <c r="AO216">
        <f>IF(COUNTIF($AN$2:AN216, AN216)=1, 1, 0)</f>
        <v>0</v>
      </c>
      <c r="AP216" t="str">
        <f t="shared" si="72"/>
        <v>&gt;3</v>
      </c>
      <c r="AQ216" t="str">
        <f t="shared" si="73"/>
        <v>&gt;3</v>
      </c>
      <c r="AR216" t="str">
        <f t="shared" si="74"/>
        <v>&lt;=3</v>
      </c>
    </row>
    <row r="217" spans="1:44" x14ac:dyDescent="0.3">
      <c r="A217" t="s">
        <v>33</v>
      </c>
      <c r="B217" t="s">
        <v>436</v>
      </c>
      <c r="C217" t="s">
        <v>414</v>
      </c>
      <c r="D217">
        <v>2294</v>
      </c>
      <c r="E217">
        <v>23310156</v>
      </c>
      <c r="F217" t="s">
        <v>581</v>
      </c>
      <c r="G217" t="s">
        <v>582</v>
      </c>
      <c r="H217">
        <v>3000</v>
      </c>
      <c r="I217">
        <v>8</v>
      </c>
      <c r="J217">
        <v>24000</v>
      </c>
      <c r="K217" t="str">
        <f>IFERROR(IF(B217&lt;&gt;"", TEXT(VLOOKUP(B217, 'Expected Date'!A:B, 2, FALSE) + DATE(RIGHT(C217,2),MID(C217,4,2),LEFT(C217,2)), "dd/mm/yy"), ""), "")</f>
        <v>11/06/23</v>
      </c>
      <c r="L217" t="s">
        <v>68</v>
      </c>
      <c r="M217" t="s">
        <v>48</v>
      </c>
      <c r="N217" t="s">
        <v>318</v>
      </c>
      <c r="O217" t="s">
        <v>319</v>
      </c>
      <c r="P217">
        <v>23390261</v>
      </c>
      <c r="Q217" t="s">
        <v>581</v>
      </c>
      <c r="R217" t="s">
        <v>582</v>
      </c>
      <c r="S217">
        <v>2150</v>
      </c>
      <c r="T217">
        <v>8</v>
      </c>
      <c r="U217">
        <v>17200</v>
      </c>
      <c r="V217" t="str">
        <f t="shared" si="75"/>
        <v>Accepted</v>
      </c>
      <c r="W217">
        <f>IFERROR(VLOOKUP(N217, Payment_Terms!A:B, 2, FALSE), "Payment term not found!")</f>
        <v>30</v>
      </c>
      <c r="X217" t="str">
        <f>IFERROR(VLOOKUP(R217, Item_Category!A:B, 2, FALSE), "Uncategorized")</f>
        <v>Lime</v>
      </c>
      <c r="Y217" s="5">
        <f t="shared" si="57"/>
        <v>0.28333333333333333</v>
      </c>
      <c r="Z217">
        <f t="shared" si="62"/>
        <v>1</v>
      </c>
      <c r="AA217">
        <f t="shared" si="63"/>
        <v>8</v>
      </c>
      <c r="AB217">
        <f t="shared" si="64"/>
        <v>2</v>
      </c>
      <c r="AC217" s="10">
        <f t="shared" si="65"/>
        <v>18</v>
      </c>
      <c r="AD217" s="5">
        <f t="shared" si="59"/>
        <v>1</v>
      </c>
      <c r="AE217" s="5">
        <f t="shared" si="60"/>
        <v>1</v>
      </c>
      <c r="AF217" s="5">
        <f t="shared" si="66"/>
        <v>0</v>
      </c>
      <c r="AG217">
        <f>IF(B217&lt;&gt;"", COUNTIFS($B$2:B217, B217), "")</f>
        <v>4</v>
      </c>
      <c r="AH217">
        <f t="shared" si="67"/>
        <v>5</v>
      </c>
      <c r="AI217" t="str">
        <f>VLOOKUP(B217, Currency!A:B, 2, FALSE)</f>
        <v>INR</v>
      </c>
      <c r="AJ217">
        <f t="shared" si="61"/>
        <v>3</v>
      </c>
      <c r="AK217">
        <f t="shared" si="68"/>
        <v>6</v>
      </c>
      <c r="AL217" t="str">
        <f t="shared" si="69"/>
        <v>June</v>
      </c>
      <c r="AM217">
        <f t="shared" si="70"/>
        <v>2023</v>
      </c>
      <c r="AN217" t="str">
        <f t="shared" si="71"/>
        <v>30Shree Gopal Celluchem Pvt Ltd</v>
      </c>
      <c r="AO217">
        <f>IF(COUNTIF($AN$2:AN217, AN217)=1, 1, 0)</f>
        <v>0</v>
      </c>
      <c r="AP217" t="str">
        <f t="shared" si="72"/>
        <v>&gt;3</v>
      </c>
      <c r="AQ217" t="str">
        <f t="shared" si="73"/>
        <v>&lt;=3</v>
      </c>
      <c r="AR217" t="str">
        <f t="shared" si="74"/>
        <v>&lt;=3</v>
      </c>
    </row>
    <row r="218" spans="1:44" x14ac:dyDescent="0.3">
      <c r="A218" t="s">
        <v>33</v>
      </c>
      <c r="B218" t="s">
        <v>366</v>
      </c>
      <c r="C218" t="s">
        <v>468</v>
      </c>
      <c r="D218">
        <v>2574</v>
      </c>
      <c r="E218">
        <v>23310194</v>
      </c>
      <c r="F218" t="s">
        <v>569</v>
      </c>
      <c r="G218" t="s">
        <v>570</v>
      </c>
      <c r="H218">
        <v>100</v>
      </c>
      <c r="I218">
        <v>11333.33</v>
      </c>
      <c r="J218">
        <v>1133333</v>
      </c>
      <c r="K218" t="str">
        <f>IFERROR(IF(B218&lt;&gt;"", TEXT(VLOOKUP(B218, 'Expected Date'!A:B, 2, FALSE) + DATE(RIGHT(C218,2),MID(C218,4,2),LEFT(C218,2)), "dd/mm/yy"), ""), "")</f>
        <v>20/06/23</v>
      </c>
      <c r="L218" t="s">
        <v>38</v>
      </c>
      <c r="M218" t="s">
        <v>48</v>
      </c>
      <c r="N218" t="s">
        <v>574</v>
      </c>
      <c r="O218" t="s">
        <v>468</v>
      </c>
      <c r="P218">
        <v>23390265</v>
      </c>
      <c r="Q218" t="s">
        <v>569</v>
      </c>
      <c r="R218" t="s">
        <v>570</v>
      </c>
      <c r="S218">
        <v>29.62</v>
      </c>
      <c r="T218">
        <v>11333.33</v>
      </c>
      <c r="U218">
        <v>335693.23</v>
      </c>
      <c r="V218" t="str">
        <f t="shared" si="75"/>
        <v>Accepted</v>
      </c>
      <c r="W218">
        <f>IFERROR(VLOOKUP(N218, Payment_Terms!A:B, 2, FALSE), "Payment term not found!")</f>
        <v>0</v>
      </c>
      <c r="X218" t="str">
        <f>IFERROR(VLOOKUP(R218, Item_Category!A:B, 2, FALSE), "Uncategorized")</f>
        <v>Coal materials</v>
      </c>
      <c r="Y218" s="5">
        <f>IFERROR(IF(AND(E218&lt;&gt;"", G218&lt;&gt;""), MAX(0, (H218-SUMIFS(S:S, E:E, E218, G:G, G218))/H218), ""), (H218-S218)/H218)</f>
        <v>0</v>
      </c>
      <c r="Z218">
        <f t="shared" si="62"/>
        <v>5</v>
      </c>
      <c r="AA218">
        <f t="shared" si="63"/>
        <v>-2</v>
      </c>
      <c r="AB218">
        <f t="shared" si="64"/>
        <v>5</v>
      </c>
      <c r="AC218" s="10">
        <f t="shared" si="65"/>
        <v>0</v>
      </c>
      <c r="AD218" s="5">
        <f t="shared" si="59"/>
        <v>1</v>
      </c>
      <c r="AE218" s="5">
        <f t="shared" si="60"/>
        <v>1</v>
      </c>
      <c r="AF218" s="5">
        <f t="shared" si="66"/>
        <v>0</v>
      </c>
      <c r="AG218">
        <f>IF(B218&lt;&gt;"", COUNTIFS($B$2:B218, B218), "")</f>
        <v>39</v>
      </c>
      <c r="AH218">
        <f t="shared" si="67"/>
        <v>5</v>
      </c>
      <c r="AI218" t="str">
        <f>VLOOKUP(B218, Currency!A:B, 2, FALSE)</f>
        <v>INR</v>
      </c>
      <c r="AJ218">
        <f t="shared" si="61"/>
        <v>5</v>
      </c>
      <c r="AK218">
        <f t="shared" si="68"/>
        <v>6</v>
      </c>
      <c r="AL218" t="str">
        <f t="shared" si="69"/>
        <v>June</v>
      </c>
      <c r="AM218">
        <f t="shared" si="70"/>
        <v>2023</v>
      </c>
      <c r="AN218" t="str">
        <f t="shared" si="71"/>
        <v>0SKYWIN ENTERPRISE</v>
      </c>
      <c r="AO218">
        <f>IF(COUNTIF($AN$2:AN218, AN218)=1, 1, 0)</f>
        <v>0</v>
      </c>
      <c r="AP218" t="str">
        <f t="shared" si="72"/>
        <v>&gt;3</v>
      </c>
      <c r="AQ218" t="str">
        <f t="shared" si="73"/>
        <v>&gt;3</v>
      </c>
      <c r="AR218" t="str">
        <f t="shared" si="74"/>
        <v>&gt;3</v>
      </c>
    </row>
    <row r="219" spans="1:44" x14ac:dyDescent="0.3">
      <c r="A219" t="s">
        <v>33</v>
      </c>
      <c r="B219" t="s">
        <v>366</v>
      </c>
      <c r="C219" t="s">
        <v>468</v>
      </c>
      <c r="D219">
        <v>2574</v>
      </c>
      <c r="E219">
        <v>23310194</v>
      </c>
      <c r="F219" t="s">
        <v>569</v>
      </c>
      <c r="G219" t="s">
        <v>570</v>
      </c>
      <c r="H219">
        <v>100</v>
      </c>
      <c r="I219">
        <v>11333.33</v>
      </c>
      <c r="J219">
        <v>1133333</v>
      </c>
      <c r="K219" t="str">
        <f>IFERROR(IF(B219&lt;&gt;"", TEXT(VLOOKUP(B219, 'Expected Date'!A:B, 2, FALSE) + DATE(RIGHT(C219,2),MID(C219,4,2),LEFT(C219,2)), "dd/mm/yy"), ""), "")</f>
        <v>20/06/23</v>
      </c>
      <c r="L219" t="s">
        <v>38</v>
      </c>
      <c r="M219" t="s">
        <v>48</v>
      </c>
      <c r="N219" t="s">
        <v>574</v>
      </c>
      <c r="O219" t="s">
        <v>71</v>
      </c>
      <c r="P219">
        <v>23390266</v>
      </c>
      <c r="Q219" t="s">
        <v>569</v>
      </c>
      <c r="R219" t="s">
        <v>570</v>
      </c>
      <c r="S219">
        <v>28.45</v>
      </c>
      <c r="T219">
        <v>11333.33</v>
      </c>
      <c r="U219">
        <v>322433.24</v>
      </c>
      <c r="V219" t="str">
        <f t="shared" si="75"/>
        <v>Accepted</v>
      </c>
      <c r="W219">
        <f>IFERROR(VLOOKUP(N219, Payment_Terms!A:B, 2, FALSE), "Payment term not found!")</f>
        <v>0</v>
      </c>
      <c r="X219" t="str">
        <f>IFERROR(VLOOKUP(R219, Item_Category!A:B, 2, FALSE), "Uncategorized")</f>
        <v>Coal materials</v>
      </c>
      <c r="Y219" s="5">
        <f t="shared" si="57"/>
        <v>0</v>
      </c>
      <c r="Z219">
        <f t="shared" si="62"/>
        <v>5</v>
      </c>
      <c r="AA219">
        <f t="shared" si="63"/>
        <v>2</v>
      </c>
      <c r="AB219">
        <f t="shared" si="64"/>
        <v>5</v>
      </c>
      <c r="AC219" s="10">
        <f t="shared" si="65"/>
        <v>4</v>
      </c>
      <c r="AD219" s="5">
        <f t="shared" si="59"/>
        <v>1</v>
      </c>
      <c r="AE219" s="5">
        <f t="shared" si="60"/>
        <v>1</v>
      </c>
      <c r="AF219" s="5">
        <f t="shared" si="66"/>
        <v>0</v>
      </c>
      <c r="AG219">
        <f>IF(B219&lt;&gt;"", COUNTIFS($B$2:B219, B219), "")</f>
        <v>40</v>
      </c>
      <c r="AH219">
        <f t="shared" si="67"/>
        <v>5</v>
      </c>
      <c r="AI219" t="str">
        <f>VLOOKUP(B219, Currency!A:B, 2, FALSE)</f>
        <v>INR</v>
      </c>
      <c r="AJ219">
        <f t="shared" si="61"/>
        <v>5</v>
      </c>
      <c r="AK219">
        <f t="shared" si="68"/>
        <v>6</v>
      </c>
      <c r="AL219" t="str">
        <f t="shared" si="69"/>
        <v>June</v>
      </c>
      <c r="AM219">
        <f t="shared" si="70"/>
        <v>2023</v>
      </c>
      <c r="AN219" t="str">
        <f t="shared" si="71"/>
        <v>0SKYWIN ENTERPRISE</v>
      </c>
      <c r="AO219">
        <f>IF(COUNTIF($AN$2:AN219, AN219)=1, 1, 0)</f>
        <v>0</v>
      </c>
      <c r="AP219" t="str">
        <f t="shared" si="72"/>
        <v>&gt;3</v>
      </c>
      <c r="AQ219" t="str">
        <f t="shared" si="73"/>
        <v>&gt;3</v>
      </c>
      <c r="AR219" t="str">
        <f t="shared" si="74"/>
        <v>&gt;3</v>
      </c>
    </row>
    <row r="220" spans="1:44" x14ac:dyDescent="0.3">
      <c r="A220" t="s">
        <v>33</v>
      </c>
      <c r="B220" t="s">
        <v>122</v>
      </c>
      <c r="C220" t="s">
        <v>397</v>
      </c>
      <c r="D220">
        <v>1189</v>
      </c>
      <c r="E220">
        <v>23310011</v>
      </c>
      <c r="F220" t="s">
        <v>565</v>
      </c>
      <c r="G220" t="s">
        <v>566</v>
      </c>
      <c r="H220">
        <v>160</v>
      </c>
      <c r="I220">
        <v>930</v>
      </c>
      <c r="J220">
        <v>148800</v>
      </c>
      <c r="K220" t="str">
        <f>IFERROR(IF(B220&lt;&gt;"", TEXT(VLOOKUP(B220, 'Expected Date'!A:B, 2, FALSE) + DATE(RIGHT(C220,2),MID(C220,4,2),LEFT(C220,2)), "dd/mm/yy"), ""), "")</f>
        <v>20/04/23</v>
      </c>
      <c r="L220" t="s">
        <v>38</v>
      </c>
      <c r="M220" t="s">
        <v>39</v>
      </c>
      <c r="N220" t="s">
        <v>318</v>
      </c>
      <c r="O220" t="s">
        <v>209</v>
      </c>
      <c r="P220">
        <v>23390099</v>
      </c>
      <c r="Q220" t="s">
        <v>565</v>
      </c>
      <c r="R220" t="s">
        <v>566</v>
      </c>
      <c r="S220">
        <v>60</v>
      </c>
      <c r="T220">
        <v>930</v>
      </c>
      <c r="U220">
        <v>55800</v>
      </c>
      <c r="V220" t="str">
        <f t="shared" si="75"/>
        <v>Accepted</v>
      </c>
      <c r="W220">
        <f>IFERROR(VLOOKUP(N220, Payment_Terms!A:B, 2, FALSE), "Payment term not found!")</f>
        <v>30</v>
      </c>
      <c r="X220" t="str">
        <f>IFERROR(VLOOKUP(R220, Item_Category!A:B, 2, FALSE), "Uncategorized")</f>
        <v>Pallets</v>
      </c>
      <c r="Y220" s="5">
        <f t="shared" ref="Y220:Y224" si="76">IFERROR(IF(AND(E220&lt;&gt;"", G220&lt;&gt;""), MAX(0, (H220-SUMIFS(S:S, E:E, E220, G:G, G220))/H220), ""), (H220-S220)/H220)</f>
        <v>0</v>
      </c>
      <c r="Z220">
        <f t="shared" si="62"/>
        <v>5</v>
      </c>
      <c r="AA220">
        <f t="shared" si="63"/>
        <v>15</v>
      </c>
      <c r="AB220">
        <f t="shared" si="64"/>
        <v>1</v>
      </c>
      <c r="AC220" s="10">
        <f t="shared" si="65"/>
        <v>30</v>
      </c>
      <c r="AD220" s="5">
        <f t="shared" si="59"/>
        <v>1</v>
      </c>
      <c r="AE220" s="5">
        <f t="shared" si="60"/>
        <v>1</v>
      </c>
      <c r="AF220" s="5">
        <f t="shared" si="66"/>
        <v>0</v>
      </c>
      <c r="AG220">
        <f>IF(B220&lt;&gt;"", COUNTIFS($B$2:B220, B220), "")</f>
        <v>14</v>
      </c>
      <c r="AH220">
        <f t="shared" si="67"/>
        <v>5</v>
      </c>
      <c r="AI220" t="str">
        <f>VLOOKUP(B220, Currency!A:B, 2, FALSE)</f>
        <v>INR</v>
      </c>
      <c r="AJ220">
        <f t="shared" si="61"/>
        <v>4</v>
      </c>
      <c r="AK220">
        <f t="shared" si="68"/>
        <v>4</v>
      </c>
      <c r="AL220" t="str">
        <f t="shared" si="69"/>
        <v>April</v>
      </c>
      <c r="AM220">
        <f t="shared" si="70"/>
        <v>2023</v>
      </c>
      <c r="AN220" t="str">
        <f t="shared" si="71"/>
        <v>30Plastocon Industries Pvt Ltd</v>
      </c>
      <c r="AO220">
        <f>IF(COUNTIF($AN$2:AN220, AN220)=1, 1, 0)</f>
        <v>0</v>
      </c>
      <c r="AP220" t="str">
        <f t="shared" si="72"/>
        <v>&gt;3</v>
      </c>
      <c r="AQ220" t="str">
        <f t="shared" si="73"/>
        <v>&gt;3</v>
      </c>
      <c r="AR220" t="str">
        <f t="shared" si="74"/>
        <v>&lt;=3</v>
      </c>
    </row>
    <row r="221" spans="1:44" x14ac:dyDescent="0.3">
      <c r="A221" t="s">
        <v>33</v>
      </c>
      <c r="B221" t="s">
        <v>122</v>
      </c>
      <c r="C221" t="s">
        <v>562</v>
      </c>
      <c r="D221">
        <v>1639</v>
      </c>
      <c r="E221">
        <v>23310061</v>
      </c>
      <c r="F221" t="s">
        <v>565</v>
      </c>
      <c r="G221" t="s">
        <v>566</v>
      </c>
      <c r="H221">
        <v>200</v>
      </c>
      <c r="I221">
        <v>930</v>
      </c>
      <c r="J221">
        <v>186000</v>
      </c>
      <c r="K221" t="str">
        <f>IFERROR(IF(B221&lt;&gt;"", TEXT(VLOOKUP(B221, 'Expected Date'!A:B, 2, FALSE) + DATE(RIGHT(C221,2),MID(C221,4,2),LEFT(C221,2)), "dd/mm/yy"), ""), "")</f>
        <v>15/05/23</v>
      </c>
      <c r="L221" t="s">
        <v>38</v>
      </c>
      <c r="M221" t="s">
        <v>39</v>
      </c>
      <c r="N221" t="s">
        <v>318</v>
      </c>
      <c r="O221" t="s">
        <v>209</v>
      </c>
      <c r="P221">
        <v>23390099</v>
      </c>
      <c r="Q221" t="s">
        <v>565</v>
      </c>
      <c r="R221" t="s">
        <v>566</v>
      </c>
      <c r="S221">
        <v>20</v>
      </c>
      <c r="T221">
        <v>930</v>
      </c>
      <c r="U221">
        <v>18600</v>
      </c>
      <c r="V221" t="str">
        <f t="shared" si="75"/>
        <v>Accepted</v>
      </c>
      <c r="W221">
        <f>IFERROR(VLOOKUP(N221, Payment_Terms!A:B, 2, FALSE), "Payment term not found!")</f>
        <v>30</v>
      </c>
      <c r="X221" t="str">
        <f>IFERROR(VLOOKUP(R221, Item_Category!A:B, 2, FALSE), "Uncategorized")</f>
        <v>Pallets</v>
      </c>
      <c r="Y221" s="5">
        <f t="shared" si="76"/>
        <v>0</v>
      </c>
      <c r="Z221">
        <f t="shared" si="62"/>
        <v>5</v>
      </c>
      <c r="AA221">
        <f t="shared" si="63"/>
        <v>-10</v>
      </c>
      <c r="AB221">
        <f t="shared" si="64"/>
        <v>5</v>
      </c>
      <c r="AC221" s="10">
        <f t="shared" si="65"/>
        <v>5</v>
      </c>
      <c r="AD221" s="5">
        <f t="shared" si="59"/>
        <v>1</v>
      </c>
      <c r="AE221" s="5">
        <f t="shared" si="60"/>
        <v>1</v>
      </c>
      <c r="AF221" s="5">
        <f t="shared" si="66"/>
        <v>0</v>
      </c>
      <c r="AG221">
        <f>IF(B221&lt;&gt;"", COUNTIFS($B$2:B221, B221), "")</f>
        <v>15</v>
      </c>
      <c r="AH221">
        <f t="shared" si="67"/>
        <v>5</v>
      </c>
      <c r="AI221" t="str">
        <f>VLOOKUP(B221, Currency!A:B, 2, FALSE)</f>
        <v>INR</v>
      </c>
      <c r="AJ221">
        <f t="shared" si="61"/>
        <v>5</v>
      </c>
      <c r="AK221">
        <f t="shared" si="68"/>
        <v>4</v>
      </c>
      <c r="AL221" t="str">
        <f t="shared" si="69"/>
        <v>April</v>
      </c>
      <c r="AM221">
        <f t="shared" si="70"/>
        <v>2023</v>
      </c>
      <c r="AN221" t="str">
        <f t="shared" si="71"/>
        <v>30Plastocon Industries Pvt Ltd</v>
      </c>
      <c r="AO221">
        <f>IF(COUNTIF($AN$2:AN221, AN221)=1, 1, 0)</f>
        <v>0</v>
      </c>
      <c r="AP221" t="str">
        <f t="shared" si="72"/>
        <v>&gt;3</v>
      </c>
      <c r="AQ221" t="str">
        <f t="shared" si="73"/>
        <v>&gt;3</v>
      </c>
      <c r="AR221" t="str">
        <f t="shared" si="74"/>
        <v>&gt;3</v>
      </c>
    </row>
    <row r="222" spans="1:44" x14ac:dyDescent="0.3">
      <c r="A222" t="s">
        <v>33</v>
      </c>
      <c r="B222" t="s">
        <v>122</v>
      </c>
      <c r="C222" t="s">
        <v>562</v>
      </c>
      <c r="D222">
        <v>1639</v>
      </c>
      <c r="E222">
        <v>23310061</v>
      </c>
      <c r="F222" t="s">
        <v>565</v>
      </c>
      <c r="G222" t="s">
        <v>566</v>
      </c>
      <c r="H222">
        <v>200</v>
      </c>
      <c r="I222">
        <v>930</v>
      </c>
      <c r="J222">
        <v>186000</v>
      </c>
      <c r="K222" t="str">
        <f>IFERROR(IF(B222&lt;&gt;"", TEXT(VLOOKUP(B222, 'Expected Date'!A:B, 2, FALSE) + DATE(RIGHT(C222,2),MID(C222,4,2),LEFT(C222,2)), "dd/mm/yy"), ""), "")</f>
        <v>15/05/23</v>
      </c>
      <c r="L222" t="s">
        <v>38</v>
      </c>
      <c r="M222" t="s">
        <v>39</v>
      </c>
      <c r="N222" t="s">
        <v>318</v>
      </c>
      <c r="O222" t="s">
        <v>357</v>
      </c>
      <c r="P222">
        <v>23390199</v>
      </c>
      <c r="Q222" t="s">
        <v>565</v>
      </c>
      <c r="R222" t="s">
        <v>566</v>
      </c>
      <c r="S222">
        <v>50</v>
      </c>
      <c r="T222">
        <v>930</v>
      </c>
      <c r="U222">
        <v>46500</v>
      </c>
      <c r="V222" t="str">
        <f t="shared" si="75"/>
        <v>Accepted</v>
      </c>
      <c r="W222">
        <f>IFERROR(VLOOKUP(N222, Payment_Terms!A:B, 2, FALSE), "Payment term not found!")</f>
        <v>30</v>
      </c>
      <c r="X222" t="str">
        <f>IFERROR(VLOOKUP(R222, Item_Category!A:B, 2, FALSE), "Uncategorized")</f>
        <v>Pallets</v>
      </c>
      <c r="Y222" s="5">
        <f t="shared" si="76"/>
        <v>0</v>
      </c>
      <c r="Z222">
        <f t="shared" si="62"/>
        <v>5</v>
      </c>
      <c r="AA222">
        <f t="shared" si="63"/>
        <v>15</v>
      </c>
      <c r="AB222">
        <f t="shared" si="64"/>
        <v>1</v>
      </c>
      <c r="AC222" s="10">
        <f t="shared" si="65"/>
        <v>30</v>
      </c>
      <c r="AD222" s="5">
        <f t="shared" si="59"/>
        <v>1</v>
      </c>
      <c r="AE222" s="5">
        <f t="shared" si="60"/>
        <v>1</v>
      </c>
      <c r="AF222" s="5">
        <f t="shared" si="66"/>
        <v>0</v>
      </c>
      <c r="AG222">
        <f>IF(B222&lt;&gt;"", COUNTIFS($B$2:B222, B222), "")</f>
        <v>16</v>
      </c>
      <c r="AH222">
        <f t="shared" si="67"/>
        <v>5</v>
      </c>
      <c r="AI222" t="str">
        <f>VLOOKUP(B222, Currency!A:B, 2, FALSE)</f>
        <v>INR</v>
      </c>
      <c r="AJ222">
        <f t="shared" si="61"/>
        <v>4</v>
      </c>
      <c r="AK222">
        <f t="shared" si="68"/>
        <v>4</v>
      </c>
      <c r="AL222" t="str">
        <f t="shared" si="69"/>
        <v>April</v>
      </c>
      <c r="AM222">
        <f t="shared" si="70"/>
        <v>2023</v>
      </c>
      <c r="AN222" t="str">
        <f t="shared" si="71"/>
        <v>30Plastocon Industries Pvt Ltd</v>
      </c>
      <c r="AO222">
        <f>IF(COUNTIF($AN$2:AN222, AN222)=1, 1, 0)</f>
        <v>0</v>
      </c>
      <c r="AP222" t="str">
        <f t="shared" si="72"/>
        <v>&gt;3</v>
      </c>
      <c r="AQ222" t="str">
        <f t="shared" si="73"/>
        <v>&gt;3</v>
      </c>
      <c r="AR222" t="str">
        <f t="shared" si="74"/>
        <v>&lt;=3</v>
      </c>
    </row>
    <row r="223" spans="1:44" x14ac:dyDescent="0.3">
      <c r="A223" t="s">
        <v>33</v>
      </c>
      <c r="B223" t="s">
        <v>513</v>
      </c>
      <c r="C223" t="s">
        <v>58</v>
      </c>
      <c r="D223">
        <v>3493</v>
      </c>
      <c r="E223">
        <v>23310271</v>
      </c>
      <c r="F223" t="s">
        <v>563</v>
      </c>
      <c r="G223" t="s">
        <v>515</v>
      </c>
      <c r="H223">
        <v>2500</v>
      </c>
      <c r="I223">
        <v>24</v>
      </c>
      <c r="J223">
        <v>60000</v>
      </c>
      <c r="K223" t="str">
        <f>IFERROR(IF(B223&lt;&gt;"", TEXT(VLOOKUP(B223, 'Expected Date'!A:B, 2, FALSE) + DATE(RIGHT(C223,2),MID(C223,4,2),LEFT(C223,2)), "dd/mm/yy"), ""), "")</f>
        <v>03/08/23</v>
      </c>
      <c r="L223" t="s">
        <v>38</v>
      </c>
      <c r="M223" t="s">
        <v>48</v>
      </c>
      <c r="N223" t="s">
        <v>342</v>
      </c>
      <c r="O223" t="s">
        <v>52</v>
      </c>
      <c r="P223">
        <v>23390441</v>
      </c>
      <c r="Q223" t="s">
        <v>563</v>
      </c>
      <c r="R223" t="s">
        <v>564</v>
      </c>
      <c r="S223">
        <v>1000</v>
      </c>
      <c r="T223">
        <v>24</v>
      </c>
      <c r="U223">
        <v>24000</v>
      </c>
      <c r="V223" t="str">
        <f t="shared" si="75"/>
        <v>Accepted</v>
      </c>
      <c r="W223">
        <f>IFERROR(VLOOKUP(N223, Payment_Terms!A:B, 2, FALSE), "Payment term not found!")</f>
        <v>30</v>
      </c>
      <c r="X223" t="str">
        <f>IFERROR(VLOOKUP(R223, Item_Category!A:B, 2, FALSE), "Uncategorized")</f>
        <v xml:space="preserve">Caustic Soda </v>
      </c>
      <c r="Y223" s="5">
        <f t="shared" si="76"/>
        <v>0</v>
      </c>
      <c r="Z223">
        <f t="shared" si="62"/>
        <v>5</v>
      </c>
      <c r="AA223">
        <f t="shared" si="63"/>
        <v>13</v>
      </c>
      <c r="AB223">
        <f t="shared" si="64"/>
        <v>1</v>
      </c>
      <c r="AC223" s="10">
        <f t="shared" si="65"/>
        <v>15</v>
      </c>
      <c r="AD223" s="5">
        <f t="shared" si="59"/>
        <v>1</v>
      </c>
      <c r="AE223" s="5">
        <f t="shared" si="60"/>
        <v>1</v>
      </c>
      <c r="AF223" s="5">
        <f t="shared" si="66"/>
        <v>0</v>
      </c>
      <c r="AG223">
        <f>IF(B223&lt;&gt;"", COUNTIFS($B$2:B223, B223), "")</f>
        <v>23</v>
      </c>
      <c r="AH223">
        <f t="shared" si="67"/>
        <v>5</v>
      </c>
      <c r="AI223" t="str">
        <f>VLOOKUP(B223, Currency!A:B, 2, FALSE)</f>
        <v>INR</v>
      </c>
      <c r="AJ223">
        <f t="shared" si="61"/>
        <v>4</v>
      </c>
      <c r="AK223">
        <f t="shared" si="68"/>
        <v>8</v>
      </c>
      <c r="AL223" t="str">
        <f t="shared" si="69"/>
        <v>August</v>
      </c>
      <c r="AM223">
        <f t="shared" si="70"/>
        <v>2023</v>
      </c>
      <c r="AN223" t="str">
        <f t="shared" si="71"/>
        <v>30J.K.Marketing</v>
      </c>
      <c r="AO223">
        <f>IF(COUNTIF($AN$2:AN223, AN223)=1, 1, 0)</f>
        <v>0</v>
      </c>
      <c r="AP223" t="str">
        <f t="shared" si="72"/>
        <v>&gt;3</v>
      </c>
      <c r="AQ223" t="str">
        <f t="shared" si="73"/>
        <v>&gt;3</v>
      </c>
      <c r="AR223" t="str">
        <f t="shared" si="74"/>
        <v>&lt;=3</v>
      </c>
    </row>
    <row r="224" spans="1:44" x14ac:dyDescent="0.3">
      <c r="A224" t="s">
        <v>33</v>
      </c>
      <c r="B224" t="str">
        <f>B104</f>
        <v>Ami Enterprises</v>
      </c>
      <c r="C224" t="s">
        <v>194</v>
      </c>
      <c r="D224">
        <v>4745</v>
      </c>
      <c r="E224">
        <v>23310394</v>
      </c>
      <c r="F224" t="s">
        <v>572</v>
      </c>
      <c r="G224" t="s">
        <v>595</v>
      </c>
      <c r="H224">
        <v>2086</v>
      </c>
      <c r="I224">
        <v>33.5</v>
      </c>
      <c r="J224">
        <v>69881</v>
      </c>
      <c r="K224" t="str">
        <f>IFERROR(IF(B224&lt;&gt;"", TEXT(VLOOKUP(B224, 'Expected Date'!A:B, 2, FALSE) + DATE(RIGHT(C224,2),MID(C224,4,2),LEFT(C224,2)), "dd/mm/yy"), ""), "")</f>
        <v>06/10/23</v>
      </c>
      <c r="L224" t="s">
        <v>38</v>
      </c>
      <c r="M224" t="s">
        <v>39</v>
      </c>
      <c r="N224" t="s">
        <v>342</v>
      </c>
      <c r="O224" t="s">
        <v>536</v>
      </c>
      <c r="P224">
        <v>23390630</v>
      </c>
      <c r="Q224" t="s">
        <v>572</v>
      </c>
      <c r="R224" t="s">
        <v>573</v>
      </c>
      <c r="S224">
        <v>2086</v>
      </c>
      <c r="T224">
        <v>33.5</v>
      </c>
      <c r="U224">
        <v>69881</v>
      </c>
      <c r="V224" t="str">
        <f t="shared" si="75"/>
        <v>Accepted</v>
      </c>
      <c r="W224">
        <f>IFERROR(VLOOKUP(N224, Payment_Terms!A:B, 2, FALSE), "Payment term not found!")</f>
        <v>30</v>
      </c>
      <c r="X224" t="str">
        <f>IFERROR(VLOOKUP(R224, Item_Category!A:B, 2, FALSE), "Uncategorized")</f>
        <v>Bags</v>
      </c>
      <c r="Y224" s="5">
        <f t="shared" si="76"/>
        <v>0</v>
      </c>
      <c r="Z224">
        <f t="shared" si="62"/>
        <v>5</v>
      </c>
      <c r="AA224">
        <f t="shared" si="63"/>
        <v>-9</v>
      </c>
      <c r="AB224">
        <f t="shared" si="64"/>
        <v>5</v>
      </c>
      <c r="AC224" s="10">
        <f t="shared" si="65"/>
        <v>1</v>
      </c>
      <c r="AD224" s="5">
        <f t="shared" si="59"/>
        <v>1</v>
      </c>
      <c r="AE224" s="5">
        <f t="shared" si="60"/>
        <v>1</v>
      </c>
      <c r="AF224" s="5">
        <f t="shared" si="66"/>
        <v>0</v>
      </c>
      <c r="AG224">
        <f>IF(B224&lt;&gt;"", COUNTIFS($B$2:B224, B224), "")</f>
        <v>10</v>
      </c>
      <c r="AH224">
        <f t="shared" si="67"/>
        <v>5</v>
      </c>
      <c r="AI224" t="str">
        <f>VLOOKUP(B224, Currency!A:B, 2, FALSE)</f>
        <v>INR</v>
      </c>
      <c r="AJ224">
        <f t="shared" si="61"/>
        <v>5</v>
      </c>
      <c r="AK224">
        <f t="shared" si="68"/>
        <v>9</v>
      </c>
      <c r="AL224" t="str">
        <f t="shared" si="69"/>
        <v>September</v>
      </c>
      <c r="AM224">
        <f t="shared" si="70"/>
        <v>2023</v>
      </c>
      <c r="AN224" t="str">
        <f t="shared" si="71"/>
        <v>30Ami Enterprises</v>
      </c>
      <c r="AO224">
        <f>IF(COUNTIF($AN$2:AN224, AN224)=1, 1, 0)</f>
        <v>0</v>
      </c>
      <c r="AP224" t="str">
        <f t="shared" si="72"/>
        <v>&gt;3</v>
      </c>
      <c r="AQ224" t="str">
        <f t="shared" si="73"/>
        <v>&gt;3</v>
      </c>
      <c r="AR224" t="str">
        <f t="shared" si="74"/>
        <v>&gt;3</v>
      </c>
    </row>
  </sheetData>
  <autoFilter ref="A1:AR1" xr:uid="{479021C3-AE4C-4DA6-9D80-7BE937CD023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8E6F-5E84-4A21-B68E-4F83552E7011}">
  <sheetPr>
    <tabColor rgb="FF0070C0"/>
  </sheetPr>
  <dimension ref="A1:AR83"/>
  <sheetViews>
    <sheetView workbookViewId="0"/>
  </sheetViews>
  <sheetFormatPr defaultRowHeight="14.4" x14ac:dyDescent="0.3"/>
  <cols>
    <col min="1" max="1" width="15.33203125" customWidth="1"/>
    <col min="2" max="2" width="52.33203125" bestFit="1" customWidth="1"/>
    <col min="3" max="3" width="9.88671875" bestFit="1" customWidth="1"/>
    <col min="4" max="4" width="20.88671875" bestFit="1" customWidth="1"/>
    <col min="5" max="5" width="9" bestFit="1" customWidth="1"/>
    <col min="6" max="6" width="13.109375" bestFit="1" customWidth="1"/>
    <col min="7" max="7" width="55.33203125" bestFit="1" customWidth="1"/>
    <col min="8" max="8" width="10.33203125" bestFit="1" customWidth="1"/>
    <col min="9" max="9" width="7.33203125" customWidth="1"/>
    <col min="10" max="10" width="8" customWidth="1"/>
    <col min="11" max="11" width="15" customWidth="1"/>
    <col min="12" max="12" width="12.44140625" customWidth="1"/>
    <col min="13" max="13" width="7.5546875" customWidth="1"/>
    <col min="14" max="14" width="31.6640625" customWidth="1"/>
    <col min="15" max="15" width="12.33203125" customWidth="1"/>
    <col min="16" max="16" width="10.6640625" customWidth="1"/>
    <col min="17" max="17" width="13.109375" customWidth="1"/>
    <col min="18" max="18" width="55.33203125" customWidth="1"/>
    <col min="19" max="19" width="10.33203125" bestFit="1" customWidth="1"/>
    <col min="20" max="20" width="7.33203125" bestFit="1" customWidth="1"/>
    <col min="21" max="21" width="12.33203125" customWidth="1"/>
    <col min="22" max="22" width="17.33203125" customWidth="1"/>
    <col min="23" max="23" width="20" customWidth="1"/>
    <col min="24" max="24" width="53.44140625" customWidth="1"/>
    <col min="25" max="25" width="20.6640625" style="5" customWidth="1"/>
    <col min="26" max="26" width="15.6640625" customWidth="1"/>
    <col min="27" max="27" width="21.33203125" customWidth="1"/>
    <col min="28" max="28" width="16" customWidth="1"/>
    <col min="29" max="29" width="18.33203125" customWidth="1"/>
    <col min="30" max="30" width="18.33203125" style="5" customWidth="1"/>
    <col min="31" max="31" width="22.21875" style="5" customWidth="1"/>
    <col min="32" max="32" width="26.6640625" style="5" customWidth="1"/>
    <col min="33" max="33" width="18.33203125" customWidth="1"/>
    <col min="34" max="35" width="15.6640625" customWidth="1"/>
    <col min="36" max="38" width="17.33203125" customWidth="1"/>
    <col min="39" max="39" width="11.33203125" customWidth="1"/>
    <col min="40" max="40" width="46.33203125" customWidth="1"/>
    <col min="41" max="41" width="19.109375" customWidth="1"/>
    <col min="42" max="42" width="19" customWidth="1"/>
    <col min="43" max="43" width="19.44140625" customWidth="1"/>
    <col min="44" max="44" width="21.664062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7</v>
      </c>
      <c r="T1" s="1" t="s">
        <v>8</v>
      </c>
      <c r="U1" s="1" t="s">
        <v>9</v>
      </c>
      <c r="V1" s="1" t="s">
        <v>17</v>
      </c>
      <c r="W1" s="1" t="s">
        <v>18</v>
      </c>
      <c r="X1" s="3" t="s">
        <v>19</v>
      </c>
      <c r="Y1" s="6" t="s">
        <v>20</v>
      </c>
      <c r="Z1" s="3" t="s">
        <v>21</v>
      </c>
      <c r="AA1" s="3" t="s">
        <v>339</v>
      </c>
      <c r="AB1" s="3" t="s">
        <v>23</v>
      </c>
      <c r="AC1" s="3" t="s">
        <v>24</v>
      </c>
      <c r="AD1" s="6" t="s">
        <v>25</v>
      </c>
      <c r="AE1" s="6" t="s">
        <v>868</v>
      </c>
      <c r="AF1" s="6" t="s">
        <v>865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869</v>
      </c>
      <c r="AL1" s="3" t="s">
        <v>866</v>
      </c>
      <c r="AM1" s="3" t="s">
        <v>30</v>
      </c>
      <c r="AN1" s="3" t="s">
        <v>31</v>
      </c>
      <c r="AO1" s="3" t="s">
        <v>32</v>
      </c>
      <c r="AP1" s="3" t="s">
        <v>873</v>
      </c>
      <c r="AQ1" s="3" t="s">
        <v>874</v>
      </c>
      <c r="AR1" s="3" t="s">
        <v>875</v>
      </c>
    </row>
    <row r="2" spans="1:44" x14ac:dyDescent="0.3">
      <c r="A2" t="s">
        <v>33</v>
      </c>
      <c r="B2" t="s">
        <v>609</v>
      </c>
      <c r="C2" t="s">
        <v>408</v>
      </c>
      <c r="D2">
        <v>3592</v>
      </c>
      <c r="E2">
        <v>23410117</v>
      </c>
      <c r="F2" t="s">
        <v>610</v>
      </c>
      <c r="G2" t="s">
        <v>611</v>
      </c>
      <c r="H2">
        <v>0.5</v>
      </c>
      <c r="I2">
        <v>131000</v>
      </c>
      <c r="J2">
        <v>65500</v>
      </c>
      <c r="K2" t="str">
        <f>IFERROR(IF(B2&lt;&gt;"", TEXT(VLOOKUP(B2, 'Expected Date'!A:B, 2, FALSE) + DATE(RIGHT(C2,2),MID(C2,4,2),LEFT(C2,2)), "dd/mm/yy"), ""), "")</f>
        <v>18/08/23</v>
      </c>
      <c r="L2" t="s">
        <v>38</v>
      </c>
      <c r="M2" t="s">
        <v>48</v>
      </c>
      <c r="N2" t="s">
        <v>470</v>
      </c>
      <c r="O2" t="s">
        <v>288</v>
      </c>
      <c r="P2">
        <v>23490178</v>
      </c>
      <c r="Q2" t="s">
        <v>610</v>
      </c>
      <c r="R2" t="s">
        <v>611</v>
      </c>
      <c r="S2">
        <v>0.5</v>
      </c>
      <c r="T2">
        <v>131000</v>
      </c>
      <c r="U2">
        <v>65500</v>
      </c>
      <c r="V2" t="s">
        <v>42</v>
      </c>
      <c r="W2">
        <f>IFERROR(VLOOKUP(N2, Payment_Terms!A:B, 2, FALSE), "Payment term not found!")</f>
        <v>30</v>
      </c>
      <c r="X2" t="str">
        <f>IFERROR(VLOOKUP(R2, Item_Category!A:B, 2, FALSE), "Uncategorized")</f>
        <v>Vitamin B12 (Cyanocobalamin)</v>
      </c>
      <c r="Y2" s="5">
        <f>IFERROR(IF(AND(E2&lt;&gt;"", G2&lt;&gt;""), MAX(0, (H2-SUMIFS(S:S, E:E, E2, G:G, G2))/H2), ""), (H2-S2)/H2)</f>
        <v>0</v>
      </c>
      <c r="Z2">
        <f>IF(Y2&lt;=0%,5,(IF(AND(Y2&gt;0%,Y2&lt;=2%),4,IF(AND(Y2&gt;2%,Y2&lt;=5%),3,IF(AND(Y2&gt;5%,Y2&lt;10%),2,1)))))</f>
        <v>5</v>
      </c>
      <c r="AA2">
        <f>DATE(RIGHT(O2,2),MID(O2,4,2),LEFT(O2,2)) - DATE(RIGHT(K2,2),MID(K2,4,2),LEFT(K2,2))</f>
        <v>0</v>
      </c>
      <c r="AB2">
        <f>IF(AA2 &lt;= 2, 5, IF(AA2 &lt;= 4, 4, IF(AA2 &lt;= 7, 3, IF(AA2&lt;=10,2,1))))</f>
        <v>5</v>
      </c>
      <c r="AC2" s="10">
        <f>ABS(DATE(RIGHT(O2,2),MID(O2,4,2),LEFT(O2,2)) - DATE(RIGHT(C2,2),MID(C2,4,2),LEFT(C2,2)))</f>
        <v>10</v>
      </c>
      <c r="AD2" s="5">
        <f t="shared" ref="AD2:AD33" si="0">IF(V2="Accepted",1,0)</f>
        <v>1</v>
      </c>
      <c r="AE2" s="5">
        <f t="shared" ref="AE2:AE33" si="1">ROUNDUP((SUMIFS(S:S, B:B, B2, V:V, "Accepted")/SUMIF(B:B,B2,S:S)),2)</f>
        <v>1</v>
      </c>
      <c r="AF2" s="5">
        <f>ROUNDUP(ABS(100%-AE2),2)</f>
        <v>0</v>
      </c>
      <c r="AG2">
        <f>IF(B2&lt;&gt;"", COUNTIFS($B$2:B2, B2), "")</f>
        <v>1</v>
      </c>
      <c r="AH2">
        <f>IF(AF2=0%,5,IF(AND(AF2&gt;0%,AF2&lt;=2%),4,IF(AND(AF2&gt;2%,AF2&lt;=5%),3,IF(AND(AF2&gt;5%,AF2&lt;10%),2,1))))</f>
        <v>5</v>
      </c>
      <c r="AI2" t="str">
        <f>VLOOKUP(B2, Currency!A:B, 2, FALSE)</f>
        <v>INR</v>
      </c>
      <c r="AJ2">
        <f t="shared" ref="AJ2:AJ33" si="2">_xlfn.CEILING.MATH(((0.4*AH2)+(0.3*Z2)+(0.3*AB2)),1)</f>
        <v>5</v>
      </c>
      <c r="AK2">
        <f>MONTH(DATE(RIGHT(C2,2),MID(C2,4,2),LEFT(C2,2)))</f>
        <v>8</v>
      </c>
      <c r="AL2" t="str">
        <f>TEXT(DATE(RIGHT(C2,2),MID(C2,4,2),LEFT(C2,2)),"mmmm")</f>
        <v>August</v>
      </c>
      <c r="AM2">
        <f>YEAR(DATE(VALUE(MID(C2,7,2))+2000, MID(C2,4,2), MID(C2,1,2)))</f>
        <v>2023</v>
      </c>
      <c r="AN2" t="str">
        <f t="shared" ref="AN2:AN33" si="3">W2&amp;B2</f>
        <v>30HUFORT HEALTHCARE PRIVATE LIMITED</v>
      </c>
      <c r="AO2">
        <f>IF(COUNTIF($AN$2:AN2, AN2)=1, 1, 0)</f>
        <v>1</v>
      </c>
      <c r="AP2" t="str">
        <f>IF(AH2&lt;=3,"&lt;=3","&gt;3")</f>
        <v>&gt;3</v>
      </c>
      <c r="AQ2" t="str">
        <f>IF(Z2&lt;=3,"&lt;=3","&gt;3")</f>
        <v>&gt;3</v>
      </c>
      <c r="AR2" t="str">
        <f>IF(AB2&lt;=3,"&lt;=3","&gt;3")</f>
        <v>&gt;3</v>
      </c>
    </row>
    <row r="3" spans="1:44" x14ac:dyDescent="0.3">
      <c r="A3" t="s">
        <v>33</v>
      </c>
      <c r="B3" t="s">
        <v>612</v>
      </c>
      <c r="C3" t="s">
        <v>272</v>
      </c>
      <c r="D3">
        <v>4593</v>
      </c>
      <c r="E3">
        <v>23410214</v>
      </c>
      <c r="F3" t="s">
        <v>613</v>
      </c>
      <c r="G3" t="s">
        <v>614</v>
      </c>
      <c r="H3">
        <v>1</v>
      </c>
      <c r="I3">
        <v>11500</v>
      </c>
      <c r="J3">
        <v>11500</v>
      </c>
      <c r="K3" t="str">
        <f>IFERROR(IF(B3&lt;&gt;"", TEXT(VLOOKUP(B3, 'Expected Date'!A:B, 2, FALSE) + DATE(RIGHT(C3,2),MID(C3,4,2),LEFT(C3,2)), "dd/mm/yy"), ""), "")</f>
        <v>05/10/23</v>
      </c>
      <c r="L3" t="s">
        <v>38</v>
      </c>
      <c r="M3" t="s">
        <v>48</v>
      </c>
      <c r="N3" t="s">
        <v>470</v>
      </c>
      <c r="O3" t="s">
        <v>527</v>
      </c>
      <c r="P3">
        <v>23490277</v>
      </c>
      <c r="Q3" t="s">
        <v>613</v>
      </c>
      <c r="R3" t="s">
        <v>614</v>
      </c>
      <c r="S3">
        <v>1</v>
      </c>
      <c r="T3">
        <v>11500</v>
      </c>
      <c r="U3">
        <v>11500</v>
      </c>
      <c r="V3" t="str">
        <f>V2</f>
        <v>Accepted</v>
      </c>
      <c r="W3">
        <f>IFERROR(VLOOKUP(N3, Payment_Terms!A:B, 2, FALSE), "Payment term not found!")</f>
        <v>30</v>
      </c>
      <c r="X3" t="str">
        <f>IFERROR(VLOOKUP(R3, Item_Category!A:B, 2, FALSE), "Uncategorized")</f>
        <v>Lycopene</v>
      </c>
      <c r="Y3" s="5">
        <f t="shared" ref="Y3:Y66" si="4">IFERROR(IF(AND(E3&lt;&gt;"", G3&lt;&gt;""), MAX(0, (H3-SUMIFS(S:S, E:E, E3, G:G, G3))/H3), ""), (H3-S3)/H3)</f>
        <v>0</v>
      </c>
      <c r="Z3">
        <f t="shared" ref="Z3:Z66" si="5">IF(Y3&lt;=0%,5,(IF(AND(Y3&gt;0%,Y3&lt;=2%),4,IF(AND(Y3&gt;2%,Y3&lt;=5%),3,IF(AND(Y3&gt;5%,Y3&lt;10%),2,1)))))</f>
        <v>5</v>
      </c>
      <c r="AA3">
        <f t="shared" ref="AA3:AA66" si="6">DATE(RIGHT(O3,2),MID(O3,4,2),LEFT(O3,2)) - DATE(RIGHT(K3,2),MID(K3,4,2),LEFT(K3,2))</f>
        <v>1</v>
      </c>
      <c r="AB3">
        <f t="shared" ref="AB3:AB66" si="7">IF(AA3 &lt;= 2, 5, IF(AA3 &lt;= 4, 4, IF(AA3 &lt;= 7, 3, IF(AA3&lt;=10,2,1))))</f>
        <v>5</v>
      </c>
      <c r="AC3" s="10">
        <f t="shared" ref="AC3:AC66" si="8">ABS(DATE(RIGHT(O3,2),MID(O3,4,2),LEFT(O3,2)) - DATE(RIGHT(C3,2),MID(C3,4,2),LEFT(C3,2)))</f>
        <v>11</v>
      </c>
      <c r="AD3" s="5">
        <f t="shared" si="0"/>
        <v>1</v>
      </c>
      <c r="AE3" s="5">
        <f t="shared" si="1"/>
        <v>1</v>
      </c>
      <c r="AF3" s="5">
        <f t="shared" ref="AF3:AF66" si="9">ROUNDUP(ABS(100%-AE3),2)</f>
        <v>0</v>
      </c>
      <c r="AG3">
        <f>IF(B3&lt;&gt;"", COUNTIFS($B$2:B3, B3), "")</f>
        <v>1</v>
      </c>
      <c r="AH3">
        <f t="shared" ref="AH3:AH66" si="10">IF(AF3=0%,5,IF(AND(AF3&gt;0%,AF3&lt;=2%),4,IF(AND(AF3&gt;2%,AF3&lt;=5%),3,IF(AND(AF3&gt;5%,AF3&lt;10%),2,1))))</f>
        <v>5</v>
      </c>
      <c r="AI3" t="str">
        <f>VLOOKUP(B3, Currency!A:B, 2, FALSE)</f>
        <v>INR</v>
      </c>
      <c r="AJ3">
        <f t="shared" si="2"/>
        <v>5</v>
      </c>
      <c r="AK3">
        <f t="shared" ref="AK3:AK66" si="11">MONTH(DATE(RIGHT(C3,2),MID(C3,4,2),LEFT(C3,2)))</f>
        <v>9</v>
      </c>
      <c r="AL3" t="str">
        <f t="shared" ref="AL3:AL66" si="12">TEXT(DATE(RIGHT(C3,2),MID(C3,4,2),LEFT(C3,2)),"mmmm")</f>
        <v>September</v>
      </c>
      <c r="AM3">
        <f t="shared" ref="AM3:AM66" si="13">YEAR(DATE(VALUE(MID(C3,7,2))+2000, MID(C3,4,2), MID(C3,1,2)))</f>
        <v>2023</v>
      </c>
      <c r="AN3" t="str">
        <f t="shared" si="3"/>
        <v>30KP MANISH GLOBAL INGREDIENTS PRIVATE LIMITED</v>
      </c>
      <c r="AO3">
        <f>IF(COUNTIF($AN$2:AN3, AN3)=1, 1, 0)</f>
        <v>1</v>
      </c>
      <c r="AP3" t="str">
        <f t="shared" ref="AP3:AP66" si="14">IF(AH3&lt;=3,"&lt;=3","&gt;3")</f>
        <v>&gt;3</v>
      </c>
      <c r="AQ3" t="str">
        <f t="shared" ref="AQ3:AQ66" si="15">IF(Z3&lt;=3,"&lt;=3","&gt;3")</f>
        <v>&gt;3</v>
      </c>
      <c r="AR3" t="str">
        <f t="shared" ref="AR3:AR66" si="16">IF(AB3&lt;=3,"&lt;=3","&gt;3")</f>
        <v>&gt;3</v>
      </c>
    </row>
    <row r="4" spans="1:44" x14ac:dyDescent="0.3">
      <c r="A4" t="s">
        <v>33</v>
      </c>
      <c r="B4" t="s">
        <v>615</v>
      </c>
      <c r="C4" t="s">
        <v>74</v>
      </c>
      <c r="D4">
        <v>3691</v>
      </c>
      <c r="E4">
        <v>23410134</v>
      </c>
      <c r="F4" t="s">
        <v>616</v>
      </c>
      <c r="G4" t="s">
        <v>617</v>
      </c>
      <c r="H4">
        <v>500</v>
      </c>
      <c r="I4">
        <v>72</v>
      </c>
      <c r="J4">
        <v>36000</v>
      </c>
      <c r="K4" t="str">
        <f>IFERROR(IF(B4&lt;&gt;"", TEXT(VLOOKUP(B4, 'Expected Date'!A:B, 2, FALSE) + DATE(RIGHT(C4,2),MID(C4,4,2),LEFT(C4,2)), "dd/mm/yy"), ""), "")</f>
        <v>21/08/23</v>
      </c>
      <c r="L4" t="s">
        <v>38</v>
      </c>
      <c r="M4" t="s">
        <v>618</v>
      </c>
      <c r="N4" t="s">
        <v>237</v>
      </c>
      <c r="O4" t="s">
        <v>246</v>
      </c>
      <c r="P4">
        <v>23490234</v>
      </c>
      <c r="Q4" t="s">
        <v>616</v>
      </c>
      <c r="R4" t="s">
        <v>617</v>
      </c>
      <c r="S4">
        <v>500</v>
      </c>
      <c r="T4">
        <v>72</v>
      </c>
      <c r="U4">
        <v>36000</v>
      </c>
      <c r="V4" t="str">
        <f t="shared" ref="V4:V67" si="17">V3</f>
        <v>Accepted</v>
      </c>
      <c r="W4">
        <f>IFERROR(VLOOKUP(N4, Payment_Terms!A:B, 2, FALSE), "Payment term not found!")</f>
        <v>0</v>
      </c>
      <c r="X4" t="str">
        <f>IFERROR(VLOOKUP(R4, Item_Category!A:B, 2, FALSE), "Uncategorized")</f>
        <v>Pouch</v>
      </c>
      <c r="Y4" s="5">
        <f t="shared" si="4"/>
        <v>0</v>
      </c>
      <c r="Z4">
        <f t="shared" si="5"/>
        <v>5</v>
      </c>
      <c r="AA4">
        <f t="shared" si="6"/>
        <v>22</v>
      </c>
      <c r="AB4">
        <f t="shared" si="7"/>
        <v>1</v>
      </c>
      <c r="AC4" s="10">
        <f t="shared" si="8"/>
        <v>32</v>
      </c>
      <c r="AD4" s="5">
        <f t="shared" si="0"/>
        <v>1</v>
      </c>
      <c r="AE4" s="5">
        <f t="shared" si="1"/>
        <v>1</v>
      </c>
      <c r="AF4" s="5">
        <f t="shared" si="9"/>
        <v>0</v>
      </c>
      <c r="AG4">
        <f>IF(B4&lt;&gt;"", COUNTIFS($B$2:B4, B4), "")</f>
        <v>1</v>
      </c>
      <c r="AH4">
        <f t="shared" si="10"/>
        <v>5</v>
      </c>
      <c r="AI4" t="str">
        <f>VLOOKUP(B4, Currency!A:B, 2, FALSE)</f>
        <v>INR</v>
      </c>
      <c r="AJ4">
        <f t="shared" si="2"/>
        <v>4</v>
      </c>
      <c r="AK4">
        <f t="shared" si="11"/>
        <v>8</v>
      </c>
      <c r="AL4" t="str">
        <f t="shared" si="12"/>
        <v>August</v>
      </c>
      <c r="AM4">
        <f t="shared" si="13"/>
        <v>2023</v>
      </c>
      <c r="AN4" t="str">
        <f t="shared" si="3"/>
        <v>0Safepack Industries Limited</v>
      </c>
      <c r="AO4">
        <f>IF(COUNTIF($AN$2:AN4, AN4)=1, 1, 0)</f>
        <v>1</v>
      </c>
      <c r="AP4" t="str">
        <f t="shared" si="14"/>
        <v>&gt;3</v>
      </c>
      <c r="AQ4" t="str">
        <f t="shared" si="15"/>
        <v>&gt;3</v>
      </c>
      <c r="AR4" t="str">
        <f t="shared" si="16"/>
        <v>&lt;=3</v>
      </c>
    </row>
    <row r="5" spans="1:44" x14ac:dyDescent="0.3">
      <c r="A5" t="s">
        <v>111</v>
      </c>
      <c r="B5" t="s">
        <v>619</v>
      </c>
      <c r="C5" t="s">
        <v>74</v>
      </c>
      <c r="D5">
        <v>3682</v>
      </c>
      <c r="E5">
        <v>23410125</v>
      </c>
      <c r="F5" t="s">
        <v>620</v>
      </c>
      <c r="G5" t="s">
        <v>621</v>
      </c>
      <c r="H5">
        <v>5</v>
      </c>
      <c r="I5">
        <v>425</v>
      </c>
      <c r="J5">
        <v>2125</v>
      </c>
      <c r="K5" t="str">
        <f>IFERROR(IF(B5&lt;&gt;"", TEXT(VLOOKUP(B5, 'Expected Date'!A:B, 2, FALSE) + DATE(RIGHT(C5,2),MID(C5,4,2),LEFT(C5,2)), "dd/mm/yy"), ""), "")</f>
        <v>21/08/23</v>
      </c>
      <c r="L5" t="s">
        <v>38</v>
      </c>
      <c r="M5" t="s">
        <v>48</v>
      </c>
      <c r="N5" t="s">
        <v>237</v>
      </c>
      <c r="O5" t="s">
        <v>246</v>
      </c>
      <c r="P5">
        <v>23490242</v>
      </c>
      <c r="Q5" t="s">
        <v>620</v>
      </c>
      <c r="R5" t="s">
        <v>621</v>
      </c>
      <c r="S5">
        <v>5</v>
      </c>
      <c r="T5">
        <v>425</v>
      </c>
      <c r="U5">
        <v>2125</v>
      </c>
      <c r="V5" t="str">
        <f t="shared" si="17"/>
        <v>Accepted</v>
      </c>
      <c r="W5">
        <f>IFERROR(VLOOKUP(N5, Payment_Terms!A:B, 2, FALSE), "Payment term not found!")</f>
        <v>0</v>
      </c>
      <c r="X5" t="str">
        <f>IFERROR(VLOOKUP(R5, Item_Category!A:B, 2, FALSE), "Uncategorized")</f>
        <v>EDTA sodium</v>
      </c>
      <c r="Y5" s="5">
        <f t="shared" si="4"/>
        <v>0</v>
      </c>
      <c r="Z5">
        <f t="shared" si="5"/>
        <v>5</v>
      </c>
      <c r="AA5">
        <f t="shared" si="6"/>
        <v>22</v>
      </c>
      <c r="AB5">
        <f t="shared" si="7"/>
        <v>1</v>
      </c>
      <c r="AC5" s="10">
        <f t="shared" si="8"/>
        <v>32</v>
      </c>
      <c r="AD5" s="5">
        <f t="shared" si="0"/>
        <v>1</v>
      </c>
      <c r="AE5" s="5">
        <f t="shared" si="1"/>
        <v>1</v>
      </c>
      <c r="AF5" s="5">
        <f t="shared" si="9"/>
        <v>0</v>
      </c>
      <c r="AG5">
        <f>IF(B5&lt;&gt;"", COUNTIFS($B$2:B5, B5), "")</f>
        <v>1</v>
      </c>
      <c r="AH5">
        <f t="shared" si="10"/>
        <v>5</v>
      </c>
      <c r="AI5" t="str">
        <f>VLOOKUP(B5, Currency!A:B, 2, FALSE)</f>
        <v>INR</v>
      </c>
      <c r="AJ5">
        <f t="shared" si="2"/>
        <v>4</v>
      </c>
      <c r="AK5">
        <f t="shared" si="11"/>
        <v>8</v>
      </c>
      <c r="AL5" t="str">
        <f t="shared" si="12"/>
        <v>August</v>
      </c>
      <c r="AM5">
        <f t="shared" si="13"/>
        <v>2023</v>
      </c>
      <c r="AN5" t="str">
        <f t="shared" si="3"/>
        <v>0New Alliance Fine Chem Pvt Ltd</v>
      </c>
      <c r="AO5">
        <f>IF(COUNTIF($AN$2:AN5, AN5)=1, 1, 0)</f>
        <v>1</v>
      </c>
      <c r="AP5" t="str">
        <f t="shared" si="14"/>
        <v>&gt;3</v>
      </c>
      <c r="AQ5" t="str">
        <f t="shared" si="15"/>
        <v>&gt;3</v>
      </c>
      <c r="AR5" t="str">
        <f t="shared" si="16"/>
        <v>&lt;=3</v>
      </c>
    </row>
    <row r="6" spans="1:44" x14ac:dyDescent="0.3">
      <c r="A6" t="s">
        <v>33</v>
      </c>
      <c r="B6" t="s">
        <v>622</v>
      </c>
      <c r="C6" t="s">
        <v>288</v>
      </c>
      <c r="D6">
        <v>3844</v>
      </c>
      <c r="E6">
        <v>23410147</v>
      </c>
      <c r="F6" t="s">
        <v>623</v>
      </c>
      <c r="G6" t="s">
        <v>624</v>
      </c>
      <c r="H6">
        <v>25</v>
      </c>
      <c r="I6">
        <v>370</v>
      </c>
      <c r="J6">
        <v>9250</v>
      </c>
      <c r="K6" t="str">
        <f>IFERROR(IF(B6&lt;&gt;"", TEXT(VLOOKUP(B6, 'Expected Date'!A:B, 2, FALSE) + DATE(RIGHT(C6,2),MID(C6,4,2),LEFT(C6,2)), "dd/mm/yy"), ""), "")</f>
        <v>28/08/23</v>
      </c>
      <c r="L6" t="s">
        <v>38</v>
      </c>
      <c r="M6" t="s">
        <v>48</v>
      </c>
      <c r="N6" t="s">
        <v>237</v>
      </c>
      <c r="O6" t="s">
        <v>106</v>
      </c>
      <c r="P6">
        <v>23490232</v>
      </c>
      <c r="Q6" t="s">
        <v>623</v>
      </c>
      <c r="R6" t="s">
        <v>624</v>
      </c>
      <c r="S6">
        <v>25</v>
      </c>
      <c r="T6">
        <v>370</v>
      </c>
      <c r="U6">
        <v>18500</v>
      </c>
      <c r="V6" t="str">
        <f t="shared" si="17"/>
        <v>Accepted</v>
      </c>
      <c r="W6">
        <f>IFERROR(VLOOKUP(N6, Payment_Terms!A:B, 2, FALSE), "Payment term not found!")</f>
        <v>0</v>
      </c>
      <c r="X6" t="str">
        <f>IFERROR(VLOOKUP(R6, Item_Category!A:B, 2, FALSE), "Uncategorized")</f>
        <v>Copper Nitrate</v>
      </c>
      <c r="Y6" s="5">
        <f t="shared" si="4"/>
        <v>0</v>
      </c>
      <c r="Z6">
        <f t="shared" si="5"/>
        <v>5</v>
      </c>
      <c r="AA6">
        <f t="shared" si="6"/>
        <v>12</v>
      </c>
      <c r="AB6">
        <f t="shared" si="7"/>
        <v>1</v>
      </c>
      <c r="AC6" s="10">
        <f t="shared" si="8"/>
        <v>22</v>
      </c>
      <c r="AD6" s="5">
        <f t="shared" si="0"/>
        <v>1</v>
      </c>
      <c r="AE6" s="5">
        <f t="shared" si="1"/>
        <v>1</v>
      </c>
      <c r="AF6" s="5">
        <f t="shared" si="9"/>
        <v>0</v>
      </c>
      <c r="AG6">
        <f>IF(B6&lt;&gt;"", COUNTIFS($B$2:B6, B6), "")</f>
        <v>1</v>
      </c>
      <c r="AH6">
        <f t="shared" si="10"/>
        <v>5</v>
      </c>
      <c r="AI6" t="str">
        <f>VLOOKUP(B6, Currency!A:B, 2, FALSE)</f>
        <v>INR</v>
      </c>
      <c r="AJ6">
        <f t="shared" si="2"/>
        <v>4</v>
      </c>
      <c r="AK6">
        <f t="shared" si="11"/>
        <v>8</v>
      </c>
      <c r="AL6" t="str">
        <f t="shared" si="12"/>
        <v>August</v>
      </c>
      <c r="AM6">
        <f t="shared" si="13"/>
        <v>2023</v>
      </c>
      <c r="AN6" t="str">
        <f t="shared" si="3"/>
        <v>0S K ENTERPRISES</v>
      </c>
      <c r="AO6">
        <f>IF(COUNTIF($AN$2:AN6, AN6)=1, 1, 0)</f>
        <v>1</v>
      </c>
      <c r="AP6" t="str">
        <f t="shared" si="14"/>
        <v>&gt;3</v>
      </c>
      <c r="AQ6" t="str">
        <f t="shared" si="15"/>
        <v>&gt;3</v>
      </c>
      <c r="AR6" t="str">
        <f t="shared" si="16"/>
        <v>&lt;=3</v>
      </c>
    </row>
    <row r="7" spans="1:44" x14ac:dyDescent="0.3">
      <c r="A7" t="s">
        <v>111</v>
      </c>
      <c r="B7" t="s">
        <v>619</v>
      </c>
      <c r="C7" t="s">
        <v>74</v>
      </c>
      <c r="D7">
        <v>3682</v>
      </c>
      <c r="E7">
        <v>23410125</v>
      </c>
      <c r="F7" t="s">
        <v>620</v>
      </c>
      <c r="G7" t="s">
        <v>621</v>
      </c>
      <c r="H7">
        <v>5</v>
      </c>
      <c r="I7">
        <v>425</v>
      </c>
      <c r="J7">
        <v>2125</v>
      </c>
      <c r="K7" t="str">
        <f>IFERROR(IF(B7&lt;&gt;"", TEXT(VLOOKUP(B7, 'Expected Date'!A:B, 2, FALSE) + DATE(RIGHT(C7,2),MID(C7,4,2),LEFT(C7,2)), "dd/mm/yy"), ""), "")</f>
        <v>21/08/23</v>
      </c>
      <c r="L7" t="s">
        <v>38</v>
      </c>
      <c r="M7" t="s">
        <v>48</v>
      </c>
      <c r="N7" t="s">
        <v>237</v>
      </c>
      <c r="O7" t="s">
        <v>246</v>
      </c>
      <c r="P7">
        <v>23490239</v>
      </c>
      <c r="Q7" t="s">
        <v>620</v>
      </c>
      <c r="R7" t="s">
        <v>621</v>
      </c>
      <c r="S7">
        <v>5</v>
      </c>
      <c r="T7">
        <v>425</v>
      </c>
      <c r="U7">
        <v>2125</v>
      </c>
      <c r="V7" t="str">
        <f t="shared" si="17"/>
        <v>Accepted</v>
      </c>
      <c r="W7">
        <f>IFERROR(VLOOKUP(N7, Payment_Terms!A:B, 2, FALSE), "Payment term not found!")</f>
        <v>0</v>
      </c>
      <c r="X7" t="str">
        <f>IFERROR(VLOOKUP(R7, Item_Category!A:B, 2, FALSE), "Uncategorized")</f>
        <v>EDTA sodium</v>
      </c>
      <c r="Y7" s="5">
        <f t="shared" si="4"/>
        <v>0</v>
      </c>
      <c r="Z7">
        <f t="shared" si="5"/>
        <v>5</v>
      </c>
      <c r="AA7">
        <f t="shared" si="6"/>
        <v>22</v>
      </c>
      <c r="AB7">
        <f t="shared" si="7"/>
        <v>1</v>
      </c>
      <c r="AC7" s="10">
        <f t="shared" si="8"/>
        <v>32</v>
      </c>
      <c r="AD7" s="5">
        <f t="shared" si="0"/>
        <v>1</v>
      </c>
      <c r="AE7" s="5">
        <f t="shared" si="1"/>
        <v>1</v>
      </c>
      <c r="AF7" s="5">
        <f t="shared" si="9"/>
        <v>0</v>
      </c>
      <c r="AG7">
        <f>IF(B7&lt;&gt;"", COUNTIFS($B$2:B7, B7), "")</f>
        <v>2</v>
      </c>
      <c r="AH7">
        <f t="shared" si="10"/>
        <v>5</v>
      </c>
      <c r="AI7" t="str">
        <f>VLOOKUP(B7, Currency!A:B, 2, FALSE)</f>
        <v>INR</v>
      </c>
      <c r="AJ7">
        <f t="shared" si="2"/>
        <v>4</v>
      </c>
      <c r="AK7">
        <f t="shared" si="11"/>
        <v>8</v>
      </c>
      <c r="AL7" t="str">
        <f t="shared" si="12"/>
        <v>August</v>
      </c>
      <c r="AM7">
        <f t="shared" si="13"/>
        <v>2023</v>
      </c>
      <c r="AN7" t="str">
        <f t="shared" si="3"/>
        <v>0New Alliance Fine Chem Pvt Ltd</v>
      </c>
      <c r="AO7">
        <f>IF(COUNTIF($AN$2:AN7, AN7)=1, 1, 0)</f>
        <v>0</v>
      </c>
      <c r="AP7" t="str">
        <f t="shared" si="14"/>
        <v>&gt;3</v>
      </c>
      <c r="AQ7" t="str">
        <f t="shared" si="15"/>
        <v>&gt;3</v>
      </c>
      <c r="AR7" t="str">
        <f t="shared" si="16"/>
        <v>&lt;=3</v>
      </c>
    </row>
    <row r="8" spans="1:44" x14ac:dyDescent="0.3">
      <c r="A8" t="s">
        <v>33</v>
      </c>
      <c r="B8" t="s">
        <v>625</v>
      </c>
      <c r="C8" t="s">
        <v>543</v>
      </c>
      <c r="D8">
        <v>3384</v>
      </c>
      <c r="E8">
        <v>23410109</v>
      </c>
      <c r="F8" t="s">
        <v>626</v>
      </c>
      <c r="G8" t="s">
        <v>627</v>
      </c>
      <c r="H8">
        <v>25</v>
      </c>
      <c r="I8">
        <v>270</v>
      </c>
      <c r="J8">
        <v>6750</v>
      </c>
      <c r="K8" t="str">
        <f>IFERROR(IF(B8&lt;&gt;"", TEXT(VLOOKUP(B8, 'Expected Date'!A:B, 2, FALSE) + DATE(RIGHT(C8,2),MID(C8,4,2),LEFT(C8,2)), "dd/mm/yy"), ""), "")</f>
        <v>07/08/23</v>
      </c>
      <c r="L8" t="s">
        <v>38</v>
      </c>
      <c r="M8" t="s">
        <v>628</v>
      </c>
      <c r="N8" t="s">
        <v>381</v>
      </c>
      <c r="O8" t="s">
        <v>288</v>
      </c>
      <c r="P8">
        <v>23490179</v>
      </c>
      <c r="Q8" t="s">
        <v>626</v>
      </c>
      <c r="R8" t="s">
        <v>627</v>
      </c>
      <c r="S8">
        <v>25</v>
      </c>
      <c r="T8">
        <v>270</v>
      </c>
      <c r="U8">
        <v>6750</v>
      </c>
      <c r="V8" t="str">
        <f t="shared" si="17"/>
        <v>Accepted</v>
      </c>
      <c r="W8">
        <f>IFERROR(VLOOKUP(N8, Payment_Terms!A:B, 2, FALSE), "Payment term not found!")</f>
        <v>30</v>
      </c>
      <c r="X8" t="str">
        <f>IFERROR(VLOOKUP(R8, Item_Category!A:B, 2, FALSE), "Uncategorized")</f>
        <v>Ferric pyrophosphate</v>
      </c>
      <c r="Y8" s="5">
        <f t="shared" si="4"/>
        <v>0</v>
      </c>
      <c r="Z8">
        <f t="shared" si="5"/>
        <v>5</v>
      </c>
      <c r="AA8">
        <f t="shared" si="6"/>
        <v>11</v>
      </c>
      <c r="AB8">
        <f t="shared" si="7"/>
        <v>1</v>
      </c>
      <c r="AC8" s="10">
        <f t="shared" si="8"/>
        <v>21</v>
      </c>
      <c r="AD8" s="5">
        <f t="shared" si="0"/>
        <v>1</v>
      </c>
      <c r="AE8" s="5">
        <f t="shared" si="1"/>
        <v>1</v>
      </c>
      <c r="AF8" s="5">
        <f t="shared" si="9"/>
        <v>0</v>
      </c>
      <c r="AG8">
        <f>IF(B8&lt;&gt;"", COUNTIFS($B$2:B8, B8), "")</f>
        <v>1</v>
      </c>
      <c r="AH8">
        <f t="shared" si="10"/>
        <v>5</v>
      </c>
      <c r="AI8" t="str">
        <f>VLOOKUP(B8, Currency!A:B, 2, FALSE)</f>
        <v>INR</v>
      </c>
      <c r="AJ8">
        <f t="shared" si="2"/>
        <v>4</v>
      </c>
      <c r="AK8">
        <f t="shared" si="11"/>
        <v>7</v>
      </c>
      <c r="AL8" t="str">
        <f t="shared" si="12"/>
        <v>July</v>
      </c>
      <c r="AM8">
        <f t="shared" si="13"/>
        <v>2023</v>
      </c>
      <c r="AN8" t="str">
        <f t="shared" si="3"/>
        <v>30ARIHANT PURECHEM PVT. LTD.</v>
      </c>
      <c r="AO8">
        <f>IF(COUNTIF($AN$2:AN8, AN8)=1, 1, 0)</f>
        <v>1</v>
      </c>
      <c r="AP8" t="str">
        <f t="shared" si="14"/>
        <v>&gt;3</v>
      </c>
      <c r="AQ8" t="str">
        <f t="shared" si="15"/>
        <v>&gt;3</v>
      </c>
      <c r="AR8" t="str">
        <f t="shared" si="16"/>
        <v>&lt;=3</v>
      </c>
    </row>
    <row r="9" spans="1:44" x14ac:dyDescent="0.3">
      <c r="A9" t="s">
        <v>33</v>
      </c>
      <c r="B9" t="s">
        <v>629</v>
      </c>
      <c r="C9" t="s">
        <v>105</v>
      </c>
      <c r="D9">
        <v>4027</v>
      </c>
      <c r="E9">
        <v>23410165</v>
      </c>
      <c r="F9" t="s">
        <v>630</v>
      </c>
      <c r="G9" t="s">
        <v>631</v>
      </c>
      <c r="H9">
        <v>25</v>
      </c>
      <c r="I9">
        <v>25</v>
      </c>
      <c r="J9">
        <v>625</v>
      </c>
      <c r="K9" t="str">
        <f>IFERROR(IF(B9&lt;&gt;"", TEXT(VLOOKUP(B9, 'Expected Date'!A:B, 2, FALSE) + DATE(RIGHT(C9,2),MID(C9,4,2),LEFT(C9,2)), "dd/mm/yy"), ""), "")</f>
        <v>04/09/23</v>
      </c>
      <c r="L9" t="s">
        <v>38</v>
      </c>
      <c r="M9" t="s">
        <v>48</v>
      </c>
      <c r="N9" t="s">
        <v>237</v>
      </c>
      <c r="O9" t="s">
        <v>106</v>
      </c>
      <c r="P9">
        <v>23490231</v>
      </c>
      <c r="Q9" t="s">
        <v>630</v>
      </c>
      <c r="R9" t="s">
        <v>631</v>
      </c>
      <c r="S9">
        <v>25</v>
      </c>
      <c r="T9">
        <v>25</v>
      </c>
      <c r="U9">
        <v>625</v>
      </c>
      <c r="V9" t="str">
        <f t="shared" si="17"/>
        <v>Accepted</v>
      </c>
      <c r="W9">
        <f>IFERROR(VLOOKUP(N9, Payment_Terms!A:B, 2, FALSE), "Payment term not found!")</f>
        <v>0</v>
      </c>
      <c r="X9" t="str">
        <f>IFERROR(VLOOKUP(R9, Item_Category!A:B, 2, FALSE), "Uncategorized")</f>
        <v>Sodium Chloride</v>
      </c>
      <c r="Y9" s="5">
        <f t="shared" si="4"/>
        <v>0</v>
      </c>
      <c r="Z9">
        <f t="shared" si="5"/>
        <v>5</v>
      </c>
      <c r="AA9">
        <f t="shared" si="6"/>
        <v>5</v>
      </c>
      <c r="AB9">
        <f t="shared" si="7"/>
        <v>3</v>
      </c>
      <c r="AC9" s="10">
        <f t="shared" si="8"/>
        <v>15</v>
      </c>
      <c r="AD9" s="5">
        <f t="shared" si="0"/>
        <v>1</v>
      </c>
      <c r="AE9" s="5">
        <f t="shared" si="1"/>
        <v>1</v>
      </c>
      <c r="AF9" s="5">
        <f t="shared" si="9"/>
        <v>0</v>
      </c>
      <c r="AG9">
        <f>IF(B9&lt;&gt;"", COUNTIFS($B$2:B9, B9), "")</f>
        <v>1</v>
      </c>
      <c r="AH9">
        <f t="shared" si="10"/>
        <v>5</v>
      </c>
      <c r="AI9" t="str">
        <f>VLOOKUP(B9, Currency!A:B, 2, FALSE)</f>
        <v>INR</v>
      </c>
      <c r="AJ9">
        <f t="shared" si="2"/>
        <v>5</v>
      </c>
      <c r="AK9">
        <f t="shared" si="11"/>
        <v>8</v>
      </c>
      <c r="AL9" t="str">
        <f t="shared" si="12"/>
        <v>August</v>
      </c>
      <c r="AM9">
        <f t="shared" si="13"/>
        <v>2023</v>
      </c>
      <c r="AN9" t="str">
        <f t="shared" si="3"/>
        <v>0M N CHEMICALS LTD</v>
      </c>
      <c r="AO9">
        <f>IF(COUNTIF($AN$2:AN9, AN9)=1, 1, 0)</f>
        <v>1</v>
      </c>
      <c r="AP9" t="str">
        <f t="shared" si="14"/>
        <v>&gt;3</v>
      </c>
      <c r="AQ9" t="str">
        <f t="shared" si="15"/>
        <v>&gt;3</v>
      </c>
      <c r="AR9" t="str">
        <f t="shared" si="16"/>
        <v>&lt;=3</v>
      </c>
    </row>
    <row r="10" spans="1:44" x14ac:dyDescent="0.3">
      <c r="A10" t="s">
        <v>33</v>
      </c>
      <c r="B10" t="s">
        <v>632</v>
      </c>
      <c r="C10" t="s">
        <v>72</v>
      </c>
      <c r="D10">
        <v>2576</v>
      </c>
      <c r="E10">
        <v>23410067</v>
      </c>
      <c r="F10" t="s">
        <v>633</v>
      </c>
      <c r="G10" t="s">
        <v>634</v>
      </c>
      <c r="H10">
        <v>10000</v>
      </c>
      <c r="I10">
        <v>53</v>
      </c>
      <c r="J10">
        <v>530000</v>
      </c>
      <c r="K10" t="str">
        <f>IFERROR(IF(B10&lt;&gt;"", TEXT(VLOOKUP(B10, 'Expected Date'!A:B, 2, FALSE) + DATE(RIGHT(C10,2),MID(C10,4,2),LEFT(C10,2)), "dd/mm/yy"), ""), "")</f>
        <v>03/07/23</v>
      </c>
      <c r="L10" t="s">
        <v>38</v>
      </c>
      <c r="M10" t="s">
        <v>48</v>
      </c>
      <c r="N10" t="s">
        <v>237</v>
      </c>
      <c r="O10" t="s">
        <v>252</v>
      </c>
      <c r="P10">
        <v>23490097</v>
      </c>
      <c r="Q10" t="s">
        <v>633</v>
      </c>
      <c r="R10" t="s">
        <v>634</v>
      </c>
      <c r="S10">
        <v>10000</v>
      </c>
      <c r="T10">
        <v>53</v>
      </c>
      <c r="U10">
        <v>530000</v>
      </c>
      <c r="V10" t="str">
        <f t="shared" si="17"/>
        <v>Accepted</v>
      </c>
      <c r="W10">
        <f>IFERROR(VLOOKUP(N10, Payment_Terms!A:B, 2, FALSE), "Payment term not found!")</f>
        <v>0</v>
      </c>
      <c r="X10" t="str">
        <f>IFERROR(VLOOKUP(R10, Item_Category!A:B, 2, FALSE), "Uncategorized")</f>
        <v>Ferrous sulphate -general grade</v>
      </c>
      <c r="Y10" s="5">
        <f t="shared" si="4"/>
        <v>0</v>
      </c>
      <c r="Z10">
        <f t="shared" si="5"/>
        <v>5</v>
      </c>
      <c r="AA10">
        <f t="shared" si="6"/>
        <v>-3</v>
      </c>
      <c r="AB10">
        <f t="shared" si="7"/>
        <v>5</v>
      </c>
      <c r="AC10" s="10">
        <f t="shared" si="8"/>
        <v>7</v>
      </c>
      <c r="AD10" s="5">
        <f t="shared" si="0"/>
        <v>1</v>
      </c>
      <c r="AE10" s="5">
        <f t="shared" si="1"/>
        <v>1</v>
      </c>
      <c r="AF10" s="5">
        <f t="shared" si="9"/>
        <v>0</v>
      </c>
      <c r="AG10">
        <f>IF(B10&lt;&gt;"", COUNTIFS($B$2:B10, B10), "")</f>
        <v>1</v>
      </c>
      <c r="AH10">
        <f t="shared" si="10"/>
        <v>5</v>
      </c>
      <c r="AI10" t="str">
        <f>VLOOKUP(B10, Currency!A:B, 2, FALSE)</f>
        <v>INR</v>
      </c>
      <c r="AJ10">
        <f t="shared" si="2"/>
        <v>5</v>
      </c>
      <c r="AK10">
        <f t="shared" si="11"/>
        <v>6</v>
      </c>
      <c r="AL10" t="str">
        <f t="shared" si="12"/>
        <v>June</v>
      </c>
      <c r="AM10">
        <f t="shared" si="13"/>
        <v>2023</v>
      </c>
      <c r="AN10" t="str">
        <f t="shared" si="3"/>
        <v>0SMRITI CHEMICALS</v>
      </c>
      <c r="AO10">
        <f>IF(COUNTIF($AN$2:AN10, AN10)=1, 1, 0)</f>
        <v>1</v>
      </c>
      <c r="AP10" t="str">
        <f t="shared" si="14"/>
        <v>&gt;3</v>
      </c>
      <c r="AQ10" t="str">
        <f t="shared" si="15"/>
        <v>&gt;3</v>
      </c>
      <c r="AR10" t="str">
        <f t="shared" si="16"/>
        <v>&gt;3</v>
      </c>
    </row>
    <row r="11" spans="1:44" x14ac:dyDescent="0.3">
      <c r="A11" t="s">
        <v>33</v>
      </c>
      <c r="B11" t="s">
        <v>635</v>
      </c>
      <c r="C11" t="s">
        <v>121</v>
      </c>
      <c r="D11">
        <v>3644</v>
      </c>
      <c r="E11">
        <v>23410121</v>
      </c>
      <c r="F11" t="s">
        <v>636</v>
      </c>
      <c r="G11" t="s">
        <v>637</v>
      </c>
      <c r="H11">
        <v>25</v>
      </c>
      <c r="I11">
        <v>200</v>
      </c>
      <c r="J11">
        <v>5000</v>
      </c>
      <c r="K11" t="str">
        <f>IFERROR(IF(B11&lt;&gt;"", TEXT(VLOOKUP(B11, 'Expected Date'!A:B, 2, FALSE) + DATE(RIGHT(C11,2),MID(C11,4,2),LEFT(C11,2)), "dd/mm/yy"), ""), "")</f>
        <v>20/08/23</v>
      </c>
      <c r="L11" t="s">
        <v>38</v>
      </c>
      <c r="M11" t="s">
        <v>48</v>
      </c>
      <c r="N11" t="s">
        <v>638</v>
      </c>
      <c r="O11" t="s">
        <v>246</v>
      </c>
      <c r="P11">
        <v>23490238</v>
      </c>
      <c r="Q11" t="s">
        <v>636</v>
      </c>
      <c r="R11" t="s">
        <v>637</v>
      </c>
      <c r="S11">
        <v>25</v>
      </c>
      <c r="T11">
        <v>200</v>
      </c>
      <c r="U11">
        <v>5000</v>
      </c>
      <c r="V11" t="str">
        <f t="shared" si="17"/>
        <v>Accepted</v>
      </c>
      <c r="W11">
        <f>IFERROR(VLOOKUP(N11, Payment_Terms!A:B, 2, FALSE), "Payment term not found!")</f>
        <v>0</v>
      </c>
      <c r="X11" t="str">
        <f>IFERROR(VLOOKUP(R11, Item_Category!A:B, 2, FALSE), "Uncategorized")</f>
        <v>lysine HCL</v>
      </c>
      <c r="Y11" s="5">
        <f t="shared" si="4"/>
        <v>0</v>
      </c>
      <c r="Z11">
        <f t="shared" si="5"/>
        <v>5</v>
      </c>
      <c r="AA11">
        <f t="shared" si="6"/>
        <v>23</v>
      </c>
      <c r="AB11">
        <f t="shared" si="7"/>
        <v>1</v>
      </c>
      <c r="AC11" s="10">
        <f t="shared" si="8"/>
        <v>33</v>
      </c>
      <c r="AD11" s="5">
        <f t="shared" si="0"/>
        <v>1</v>
      </c>
      <c r="AE11" s="5">
        <f t="shared" si="1"/>
        <v>1</v>
      </c>
      <c r="AF11" s="5">
        <f t="shared" si="9"/>
        <v>0</v>
      </c>
      <c r="AG11">
        <f>IF(B11&lt;&gt;"", COUNTIFS($B$2:B11, B11), "")</f>
        <v>1</v>
      </c>
      <c r="AH11">
        <f t="shared" si="10"/>
        <v>5</v>
      </c>
      <c r="AI11" t="str">
        <f>VLOOKUP(B11, Currency!A:B, 2, FALSE)</f>
        <v>INR</v>
      </c>
      <c r="AJ11">
        <f t="shared" si="2"/>
        <v>4</v>
      </c>
      <c r="AK11">
        <f t="shared" si="11"/>
        <v>8</v>
      </c>
      <c r="AL11" t="str">
        <f t="shared" si="12"/>
        <v>August</v>
      </c>
      <c r="AM11">
        <f t="shared" si="13"/>
        <v>2023</v>
      </c>
      <c r="AN11" t="str">
        <f t="shared" si="3"/>
        <v>0MSC Chemicals</v>
      </c>
      <c r="AO11">
        <f>IF(COUNTIF($AN$2:AN11, AN11)=1, 1, 0)</f>
        <v>1</v>
      </c>
      <c r="AP11" t="str">
        <f t="shared" si="14"/>
        <v>&gt;3</v>
      </c>
      <c r="AQ11" t="str">
        <f t="shared" si="15"/>
        <v>&gt;3</v>
      </c>
      <c r="AR11" t="str">
        <f t="shared" si="16"/>
        <v>&lt;=3</v>
      </c>
    </row>
    <row r="12" spans="1:44" x14ac:dyDescent="0.3">
      <c r="A12" t="s">
        <v>33</v>
      </c>
      <c r="B12" t="s">
        <v>639</v>
      </c>
      <c r="C12" t="s">
        <v>288</v>
      </c>
      <c r="D12">
        <v>3858</v>
      </c>
      <c r="E12">
        <v>23410148</v>
      </c>
      <c r="F12" t="s">
        <v>640</v>
      </c>
      <c r="G12" t="s">
        <v>641</v>
      </c>
      <c r="H12">
        <v>50</v>
      </c>
      <c r="I12">
        <v>210</v>
      </c>
      <c r="J12">
        <v>10500</v>
      </c>
      <c r="K12" t="str">
        <f>IFERROR(IF(B12&lt;&gt;"", TEXT(VLOOKUP(B12, 'Expected Date'!A:B, 2, FALSE) + DATE(RIGHT(C12,2),MID(C12,4,2),LEFT(C12,2)), "dd/mm/yy"), ""), "")</f>
        <v>26/08/23</v>
      </c>
      <c r="L12" t="s">
        <v>38</v>
      </c>
      <c r="M12" t="s">
        <v>48</v>
      </c>
      <c r="N12" t="s">
        <v>237</v>
      </c>
      <c r="O12" t="s">
        <v>106</v>
      </c>
      <c r="P12">
        <v>23490229</v>
      </c>
      <c r="Q12" t="s">
        <v>640</v>
      </c>
      <c r="R12" t="s">
        <v>641</v>
      </c>
      <c r="S12">
        <v>50</v>
      </c>
      <c r="T12">
        <v>210</v>
      </c>
      <c r="U12">
        <v>10500</v>
      </c>
      <c r="V12" t="str">
        <f t="shared" si="17"/>
        <v>Accepted</v>
      </c>
      <c r="W12">
        <f>IFERROR(VLOOKUP(N12, Payment_Terms!A:B, 2, FALSE), "Payment term not found!")</f>
        <v>0</v>
      </c>
      <c r="X12" t="str">
        <f>IFERROR(VLOOKUP(R12, Item_Category!A:B, 2, FALSE), "Uncategorized")</f>
        <v>Potassium Sulphate</v>
      </c>
      <c r="Y12" s="5">
        <f t="shared" si="4"/>
        <v>0</v>
      </c>
      <c r="Z12">
        <f t="shared" si="5"/>
        <v>5</v>
      </c>
      <c r="AA12">
        <f t="shared" si="6"/>
        <v>14</v>
      </c>
      <c r="AB12">
        <f t="shared" si="7"/>
        <v>1</v>
      </c>
      <c r="AC12" s="10">
        <f t="shared" si="8"/>
        <v>22</v>
      </c>
      <c r="AD12" s="5">
        <f t="shared" si="0"/>
        <v>1</v>
      </c>
      <c r="AE12" s="5">
        <f t="shared" si="1"/>
        <v>1</v>
      </c>
      <c r="AF12" s="5">
        <f t="shared" si="9"/>
        <v>0</v>
      </c>
      <c r="AG12">
        <f>IF(B12&lt;&gt;"", COUNTIFS($B$2:B12, B12), "")</f>
        <v>1</v>
      </c>
      <c r="AH12">
        <f t="shared" si="10"/>
        <v>5</v>
      </c>
      <c r="AI12" t="str">
        <f>VLOOKUP(B12, Currency!A:B, 2, FALSE)</f>
        <v>INR</v>
      </c>
      <c r="AJ12">
        <f t="shared" si="2"/>
        <v>4</v>
      </c>
      <c r="AK12">
        <f t="shared" si="11"/>
        <v>8</v>
      </c>
      <c r="AL12" t="str">
        <f t="shared" si="12"/>
        <v>August</v>
      </c>
      <c r="AM12">
        <f t="shared" si="13"/>
        <v>2023</v>
      </c>
      <c r="AN12" t="str">
        <f t="shared" si="3"/>
        <v>0VISHNUPRIYA CHEMICALS PRIVATE LIMITED</v>
      </c>
      <c r="AO12">
        <f>IF(COUNTIF($AN$2:AN12, AN12)=1, 1, 0)</f>
        <v>1</v>
      </c>
      <c r="AP12" t="str">
        <f t="shared" si="14"/>
        <v>&gt;3</v>
      </c>
      <c r="AQ12" t="str">
        <f t="shared" si="15"/>
        <v>&gt;3</v>
      </c>
      <c r="AR12" t="str">
        <f t="shared" si="16"/>
        <v>&lt;=3</v>
      </c>
    </row>
    <row r="13" spans="1:44" x14ac:dyDescent="0.3">
      <c r="A13" t="s">
        <v>33</v>
      </c>
      <c r="B13" t="s">
        <v>642</v>
      </c>
      <c r="C13" t="s">
        <v>525</v>
      </c>
      <c r="D13">
        <v>3859</v>
      </c>
      <c r="E13">
        <v>23410149</v>
      </c>
      <c r="F13" t="s">
        <v>643</v>
      </c>
      <c r="G13" t="s">
        <v>644</v>
      </c>
      <c r="H13">
        <v>175</v>
      </c>
      <c r="I13">
        <v>545</v>
      </c>
      <c r="J13">
        <v>95375</v>
      </c>
      <c r="K13" t="str">
        <f>IFERROR(IF(B13&lt;&gt;"", TEXT(VLOOKUP(B13, 'Expected Date'!A:B, 2, FALSE) + DATE(RIGHT(C13,2),MID(C13,4,2),LEFT(C13,2)), "dd/mm/yy"), ""), "")</f>
        <v>03/09/23</v>
      </c>
      <c r="L13" t="s">
        <v>38</v>
      </c>
      <c r="M13" t="s">
        <v>48</v>
      </c>
      <c r="N13" t="s">
        <v>237</v>
      </c>
      <c r="O13" t="s">
        <v>246</v>
      </c>
      <c r="P13">
        <v>23490248</v>
      </c>
      <c r="Q13" t="s">
        <v>643</v>
      </c>
      <c r="R13" t="s">
        <v>644</v>
      </c>
      <c r="S13">
        <v>175</v>
      </c>
      <c r="T13">
        <v>545</v>
      </c>
      <c r="U13">
        <v>95375</v>
      </c>
      <c r="V13" t="str">
        <f t="shared" si="17"/>
        <v>Accepted</v>
      </c>
      <c r="W13">
        <f>IFERROR(VLOOKUP(N13, Payment_Terms!A:B, 2, FALSE), "Payment term not found!")</f>
        <v>0</v>
      </c>
      <c r="X13" t="str">
        <f>IFERROR(VLOOKUP(R13, Item_Category!A:B, 2, FALSE), "Uncategorized")</f>
        <v>Niacinamide</v>
      </c>
      <c r="Y13" s="5">
        <f t="shared" si="4"/>
        <v>0</v>
      </c>
      <c r="Z13">
        <f t="shared" si="5"/>
        <v>5</v>
      </c>
      <c r="AA13">
        <f t="shared" si="6"/>
        <v>9</v>
      </c>
      <c r="AB13">
        <f t="shared" si="7"/>
        <v>2</v>
      </c>
      <c r="AC13" s="10">
        <f t="shared" si="8"/>
        <v>24</v>
      </c>
      <c r="AD13" s="5">
        <f t="shared" si="0"/>
        <v>1</v>
      </c>
      <c r="AE13" s="5">
        <f t="shared" si="1"/>
        <v>1</v>
      </c>
      <c r="AF13" s="5">
        <f t="shared" si="9"/>
        <v>0</v>
      </c>
      <c r="AG13">
        <f>IF(B13&lt;&gt;"", COUNTIFS($B$2:B13, B13), "")</f>
        <v>1</v>
      </c>
      <c r="AH13">
        <f t="shared" si="10"/>
        <v>5</v>
      </c>
      <c r="AI13" t="str">
        <f>VLOOKUP(B13, Currency!A:B, 2, FALSE)</f>
        <v>INR</v>
      </c>
      <c r="AJ13">
        <f t="shared" si="2"/>
        <v>5</v>
      </c>
      <c r="AK13">
        <f t="shared" si="11"/>
        <v>8</v>
      </c>
      <c r="AL13" t="str">
        <f t="shared" si="12"/>
        <v>August</v>
      </c>
      <c r="AM13">
        <f t="shared" si="13"/>
        <v>2023</v>
      </c>
      <c r="AN13" t="str">
        <f t="shared" si="3"/>
        <v>0JUBILANT INGREVIALIMITED</v>
      </c>
      <c r="AO13">
        <f>IF(COUNTIF($AN$2:AN13, AN13)=1, 1, 0)</f>
        <v>1</v>
      </c>
      <c r="AP13" t="str">
        <f t="shared" si="14"/>
        <v>&gt;3</v>
      </c>
      <c r="AQ13" t="str">
        <f t="shared" si="15"/>
        <v>&gt;3</v>
      </c>
      <c r="AR13" t="str">
        <f t="shared" si="16"/>
        <v>&lt;=3</v>
      </c>
    </row>
    <row r="14" spans="1:44" x14ac:dyDescent="0.3">
      <c r="A14" t="s">
        <v>33</v>
      </c>
      <c r="B14" t="s">
        <v>645</v>
      </c>
      <c r="C14" t="s">
        <v>288</v>
      </c>
      <c r="D14">
        <v>3843</v>
      </c>
      <c r="E14">
        <v>23410146</v>
      </c>
      <c r="F14" t="s">
        <v>646</v>
      </c>
      <c r="G14" t="s">
        <v>647</v>
      </c>
      <c r="H14">
        <v>25</v>
      </c>
      <c r="I14">
        <v>170</v>
      </c>
      <c r="J14">
        <v>4250</v>
      </c>
      <c r="K14" t="str">
        <f>IFERROR(IF(B14&lt;&gt;"", TEXT(VLOOKUP(B14, 'Expected Date'!A:B, 2, FALSE) + DATE(RIGHT(C14,2),MID(C14,4,2),LEFT(C14,2)), "dd/mm/yy"), ""), "")</f>
        <v>28/08/23</v>
      </c>
      <c r="L14" t="s">
        <v>38</v>
      </c>
      <c r="M14" t="s">
        <v>48</v>
      </c>
      <c r="N14" t="s">
        <v>237</v>
      </c>
      <c r="O14" t="s">
        <v>106</v>
      </c>
      <c r="P14">
        <v>23490228</v>
      </c>
      <c r="Q14" t="s">
        <v>646</v>
      </c>
      <c r="R14" t="s">
        <v>647</v>
      </c>
      <c r="S14">
        <v>25</v>
      </c>
      <c r="T14">
        <v>170</v>
      </c>
      <c r="U14">
        <v>4250</v>
      </c>
      <c r="V14" t="str">
        <f t="shared" si="17"/>
        <v>Accepted</v>
      </c>
      <c r="W14">
        <f>IFERROR(VLOOKUP(N14, Payment_Terms!A:B, 2, FALSE), "Payment term not found!")</f>
        <v>0</v>
      </c>
      <c r="X14" t="str">
        <f>IFERROR(VLOOKUP(R14, Item_Category!A:B, 2, FALSE), "Uncategorized")</f>
        <v>Zinc Sulphate</v>
      </c>
      <c r="Y14" s="5">
        <f t="shared" si="4"/>
        <v>0</v>
      </c>
      <c r="Z14">
        <f t="shared" si="5"/>
        <v>5</v>
      </c>
      <c r="AA14">
        <f t="shared" si="6"/>
        <v>12</v>
      </c>
      <c r="AB14">
        <f t="shared" si="7"/>
        <v>1</v>
      </c>
      <c r="AC14" s="10">
        <f t="shared" si="8"/>
        <v>22</v>
      </c>
      <c r="AD14" s="5">
        <f t="shared" si="0"/>
        <v>1</v>
      </c>
      <c r="AE14" s="5">
        <f t="shared" si="1"/>
        <v>1</v>
      </c>
      <c r="AF14" s="5">
        <f t="shared" si="9"/>
        <v>0</v>
      </c>
      <c r="AG14">
        <f>IF(B14&lt;&gt;"", COUNTIFS($B$2:B14, B14), "")</f>
        <v>1</v>
      </c>
      <c r="AH14">
        <f t="shared" si="10"/>
        <v>5</v>
      </c>
      <c r="AI14" t="str">
        <f>VLOOKUP(B14, Currency!A:B, 2, FALSE)</f>
        <v>INR</v>
      </c>
      <c r="AJ14">
        <f t="shared" si="2"/>
        <v>4</v>
      </c>
      <c r="AK14">
        <f t="shared" si="11"/>
        <v>8</v>
      </c>
      <c r="AL14" t="str">
        <f t="shared" si="12"/>
        <v>August</v>
      </c>
      <c r="AM14">
        <f t="shared" si="13"/>
        <v>2023</v>
      </c>
      <c r="AN14" t="str">
        <f t="shared" si="3"/>
        <v>0Forbes Pharmaceuticals</v>
      </c>
      <c r="AO14">
        <f>IF(COUNTIF($AN$2:AN14, AN14)=1, 1, 0)</f>
        <v>1</v>
      </c>
      <c r="AP14" t="str">
        <f t="shared" si="14"/>
        <v>&gt;3</v>
      </c>
      <c r="AQ14" t="str">
        <f t="shared" si="15"/>
        <v>&gt;3</v>
      </c>
      <c r="AR14" t="str">
        <f t="shared" si="16"/>
        <v>&lt;=3</v>
      </c>
    </row>
    <row r="15" spans="1:44" x14ac:dyDescent="0.3">
      <c r="A15" t="s">
        <v>33</v>
      </c>
      <c r="B15" t="s">
        <v>648</v>
      </c>
      <c r="C15" t="s">
        <v>293</v>
      </c>
      <c r="D15">
        <v>3923</v>
      </c>
      <c r="E15">
        <v>23410154</v>
      </c>
      <c r="F15" t="s">
        <v>649</v>
      </c>
      <c r="G15" t="s">
        <v>650</v>
      </c>
      <c r="H15">
        <v>0.5</v>
      </c>
      <c r="I15">
        <v>8</v>
      </c>
      <c r="J15">
        <v>4</v>
      </c>
      <c r="K15" t="str">
        <f>IFERROR(IF(B15&lt;&gt;"", TEXT(VLOOKUP(B15, 'Expected Date'!A:B, 2, FALSE) + DATE(RIGHT(C15,2),MID(C15,4,2),LEFT(C15,2)), "dd/mm/yy"), ""), "")</f>
        <v>01/09/23</v>
      </c>
      <c r="L15" t="s">
        <v>38</v>
      </c>
      <c r="M15" t="s">
        <v>651</v>
      </c>
      <c r="N15" t="s">
        <v>470</v>
      </c>
      <c r="O15" t="s">
        <v>293</v>
      </c>
      <c r="P15">
        <v>23490182</v>
      </c>
      <c r="Q15" t="s">
        <v>649</v>
      </c>
      <c r="R15" t="s">
        <v>650</v>
      </c>
      <c r="S15">
        <v>0.5</v>
      </c>
      <c r="T15">
        <v>8</v>
      </c>
      <c r="U15">
        <v>4</v>
      </c>
      <c r="V15" t="str">
        <f t="shared" si="17"/>
        <v>Accepted</v>
      </c>
      <c r="W15">
        <f>IFERROR(VLOOKUP(N15, Payment_Terms!A:B, 2, FALSE), "Payment term not found!")</f>
        <v>30</v>
      </c>
      <c r="X15" t="str">
        <f>IFERROR(VLOOKUP(R15, Item_Category!A:B, 2, FALSE), "Uncategorized")</f>
        <v>Chromium (III) Nicotinamide</v>
      </c>
      <c r="Y15" s="5">
        <f t="shared" si="4"/>
        <v>0</v>
      </c>
      <c r="Z15">
        <f t="shared" si="5"/>
        <v>5</v>
      </c>
      <c r="AA15">
        <f t="shared" si="6"/>
        <v>-10</v>
      </c>
      <c r="AB15">
        <f t="shared" si="7"/>
        <v>5</v>
      </c>
      <c r="AC15" s="10">
        <f t="shared" si="8"/>
        <v>0</v>
      </c>
      <c r="AD15" s="5">
        <f t="shared" si="0"/>
        <v>1</v>
      </c>
      <c r="AE15" s="5">
        <f t="shared" si="1"/>
        <v>1</v>
      </c>
      <c r="AF15" s="5">
        <f t="shared" si="9"/>
        <v>0</v>
      </c>
      <c r="AG15">
        <f>IF(B15&lt;&gt;"", COUNTIFS($B$2:B15, B15), "")</f>
        <v>1</v>
      </c>
      <c r="AH15">
        <f t="shared" si="10"/>
        <v>5</v>
      </c>
      <c r="AI15" t="str">
        <f>VLOOKUP(B15, Currency!A:B, 2, FALSE)</f>
        <v>INR</v>
      </c>
      <c r="AJ15">
        <f t="shared" si="2"/>
        <v>5</v>
      </c>
      <c r="AK15">
        <f t="shared" si="11"/>
        <v>8</v>
      </c>
      <c r="AL15" t="str">
        <f t="shared" si="12"/>
        <v>August</v>
      </c>
      <c r="AM15">
        <f t="shared" si="13"/>
        <v>2023</v>
      </c>
      <c r="AN15" t="str">
        <f t="shared" si="3"/>
        <v>30CHEMLIFE INNOVATIONS PRIVATE LIMITED</v>
      </c>
      <c r="AO15">
        <f>IF(COUNTIF($AN$2:AN15, AN15)=1, 1, 0)</f>
        <v>1</v>
      </c>
      <c r="AP15" t="str">
        <f t="shared" si="14"/>
        <v>&gt;3</v>
      </c>
      <c r="AQ15" t="str">
        <f t="shared" si="15"/>
        <v>&gt;3</v>
      </c>
      <c r="AR15" t="str">
        <f t="shared" si="16"/>
        <v>&gt;3</v>
      </c>
    </row>
    <row r="16" spans="1:44" x14ac:dyDescent="0.3">
      <c r="A16" t="s">
        <v>33</v>
      </c>
      <c r="B16" t="s">
        <v>652</v>
      </c>
      <c r="C16" t="s">
        <v>71</v>
      </c>
      <c r="D16">
        <v>2569</v>
      </c>
      <c r="E16">
        <v>23410066</v>
      </c>
      <c r="F16" t="s">
        <v>653</v>
      </c>
      <c r="G16" t="s">
        <v>654</v>
      </c>
      <c r="H16">
        <v>550</v>
      </c>
      <c r="I16">
        <v>2480</v>
      </c>
      <c r="J16">
        <v>1364000</v>
      </c>
      <c r="K16" t="str">
        <f>IFERROR(IF(B16&lt;&gt;"", TEXT(VLOOKUP(B16, 'Expected Date'!A:B, 2, FALSE) + DATE(RIGHT(C16,2),MID(C16,4,2),LEFT(C16,2)), "dd/mm/yy"), ""), "")</f>
        <v>07/07/23</v>
      </c>
      <c r="L16" t="s">
        <v>38</v>
      </c>
      <c r="M16" t="s">
        <v>48</v>
      </c>
      <c r="N16" t="s">
        <v>655</v>
      </c>
      <c r="O16" t="s">
        <v>252</v>
      </c>
      <c r="P16">
        <v>23490098</v>
      </c>
      <c r="Q16" t="s">
        <v>653</v>
      </c>
      <c r="R16" t="s">
        <v>654</v>
      </c>
      <c r="S16">
        <v>550</v>
      </c>
      <c r="T16">
        <v>2480</v>
      </c>
      <c r="U16">
        <v>1364000</v>
      </c>
      <c r="V16" t="str">
        <f t="shared" si="17"/>
        <v>Accepted</v>
      </c>
      <c r="W16">
        <f>IFERROR(VLOOKUP(N16, Payment_Terms!A:B, 2, FALSE), "Payment term not found!")</f>
        <v>30</v>
      </c>
      <c r="X16" t="str">
        <f>IFERROR(VLOOKUP(R16, Item_Category!A:B, 2, FALSE), "Uncategorized")</f>
        <v>Folic Acid</v>
      </c>
      <c r="Y16" s="5">
        <f t="shared" si="4"/>
        <v>0</v>
      </c>
      <c r="Z16">
        <f t="shared" si="5"/>
        <v>5</v>
      </c>
      <c r="AA16">
        <f t="shared" si="6"/>
        <v>-7</v>
      </c>
      <c r="AB16">
        <f t="shared" si="7"/>
        <v>5</v>
      </c>
      <c r="AC16" s="10">
        <f t="shared" si="8"/>
        <v>8</v>
      </c>
      <c r="AD16" s="5">
        <f t="shared" si="0"/>
        <v>1</v>
      </c>
      <c r="AE16" s="5">
        <f t="shared" si="1"/>
        <v>1</v>
      </c>
      <c r="AF16" s="5">
        <f t="shared" si="9"/>
        <v>0</v>
      </c>
      <c r="AG16">
        <f>IF(B16&lt;&gt;"", COUNTIFS($B$2:B16, B16), "")</f>
        <v>1</v>
      </c>
      <c r="AH16">
        <f t="shared" si="10"/>
        <v>5</v>
      </c>
      <c r="AI16" t="str">
        <f>VLOOKUP(B16, Currency!A:B, 2, FALSE)</f>
        <v>INR</v>
      </c>
      <c r="AJ16">
        <f t="shared" si="2"/>
        <v>5</v>
      </c>
      <c r="AK16">
        <f t="shared" si="11"/>
        <v>6</v>
      </c>
      <c r="AL16" t="str">
        <f t="shared" si="12"/>
        <v>June</v>
      </c>
      <c r="AM16">
        <f t="shared" si="13"/>
        <v>2023</v>
      </c>
      <c r="AN16" t="str">
        <f t="shared" si="3"/>
        <v>30DIVINE PHARMA</v>
      </c>
      <c r="AO16">
        <f>IF(COUNTIF($AN$2:AN16, AN16)=1, 1, 0)</f>
        <v>1</v>
      </c>
      <c r="AP16" t="str">
        <f t="shared" si="14"/>
        <v>&gt;3</v>
      </c>
      <c r="AQ16" t="str">
        <f t="shared" si="15"/>
        <v>&gt;3</v>
      </c>
      <c r="AR16" t="str">
        <f t="shared" si="16"/>
        <v>&gt;3</v>
      </c>
    </row>
    <row r="17" spans="1:44" x14ac:dyDescent="0.3">
      <c r="A17" t="s">
        <v>33</v>
      </c>
      <c r="B17" t="s">
        <v>656</v>
      </c>
      <c r="C17" t="s">
        <v>154</v>
      </c>
      <c r="D17">
        <v>4489</v>
      </c>
      <c r="E17">
        <v>23410205</v>
      </c>
      <c r="F17" t="s">
        <v>657</v>
      </c>
      <c r="G17" t="s">
        <v>658</v>
      </c>
      <c r="H17">
        <v>0.2</v>
      </c>
      <c r="I17">
        <v>75000</v>
      </c>
      <c r="J17">
        <v>15000</v>
      </c>
      <c r="K17" t="str">
        <f>IFERROR(IF(B17&lt;&gt;"", TEXT(VLOOKUP(B17, 'Expected Date'!A:B, 2, FALSE) + DATE(RIGHT(C17,2),MID(C17,4,2),LEFT(C17,2)), "dd/mm/yy"), ""), "")</f>
        <v>05/10/23</v>
      </c>
      <c r="L17" t="s">
        <v>38</v>
      </c>
      <c r="M17" t="s">
        <v>651</v>
      </c>
      <c r="N17" t="s">
        <v>237</v>
      </c>
      <c r="O17" t="s">
        <v>527</v>
      </c>
      <c r="P17">
        <v>23490273</v>
      </c>
      <c r="Q17" t="s">
        <v>657</v>
      </c>
      <c r="R17" t="s">
        <v>658</v>
      </c>
      <c r="S17">
        <v>0.2</v>
      </c>
      <c r="T17">
        <v>75000</v>
      </c>
      <c r="U17">
        <v>15000</v>
      </c>
      <c r="V17" t="str">
        <f t="shared" si="17"/>
        <v>Accepted</v>
      </c>
      <c r="W17">
        <f>IFERROR(VLOOKUP(N17, Payment_Terms!A:B, 2, FALSE), "Payment term not found!")</f>
        <v>0</v>
      </c>
      <c r="X17" t="str">
        <f>IFERROR(VLOOKUP(R17, Item_Category!A:B, 2, FALSE), "Uncategorized")</f>
        <v>Selenious Acid</v>
      </c>
      <c r="Y17" s="5">
        <f t="shared" si="4"/>
        <v>0</v>
      </c>
      <c r="Z17">
        <f t="shared" si="5"/>
        <v>5</v>
      </c>
      <c r="AA17">
        <f t="shared" si="6"/>
        <v>1</v>
      </c>
      <c r="AB17">
        <f t="shared" si="7"/>
        <v>5</v>
      </c>
      <c r="AC17" s="10">
        <f t="shared" si="8"/>
        <v>16</v>
      </c>
      <c r="AD17" s="5">
        <f t="shared" si="0"/>
        <v>1</v>
      </c>
      <c r="AE17" s="5">
        <f t="shared" si="1"/>
        <v>1</v>
      </c>
      <c r="AF17" s="5">
        <f t="shared" si="9"/>
        <v>0</v>
      </c>
      <c r="AG17">
        <f>IF(B17&lt;&gt;"", COUNTIFS($B$2:B17, B17), "")</f>
        <v>1</v>
      </c>
      <c r="AH17">
        <f t="shared" si="10"/>
        <v>5</v>
      </c>
      <c r="AI17" t="str">
        <f>VLOOKUP(B17, Currency!A:B, 2, FALSE)</f>
        <v>INR</v>
      </c>
      <c r="AJ17">
        <f t="shared" si="2"/>
        <v>5</v>
      </c>
      <c r="AK17">
        <f t="shared" si="11"/>
        <v>9</v>
      </c>
      <c r="AL17" t="str">
        <f t="shared" si="12"/>
        <v>September</v>
      </c>
      <c r="AM17">
        <f t="shared" si="13"/>
        <v>2023</v>
      </c>
      <c r="AN17" t="str">
        <f t="shared" si="3"/>
        <v>0MACSEN DRUGS</v>
      </c>
      <c r="AO17">
        <f>IF(COUNTIF($AN$2:AN17, AN17)=1, 1, 0)</f>
        <v>1</v>
      </c>
      <c r="AP17" t="str">
        <f t="shared" si="14"/>
        <v>&gt;3</v>
      </c>
      <c r="AQ17" t="str">
        <f t="shared" si="15"/>
        <v>&gt;3</v>
      </c>
      <c r="AR17" t="str">
        <f t="shared" si="16"/>
        <v>&gt;3</v>
      </c>
    </row>
    <row r="18" spans="1:44" x14ac:dyDescent="0.3">
      <c r="A18" t="s">
        <v>33</v>
      </c>
      <c r="B18" t="s">
        <v>659</v>
      </c>
      <c r="C18" t="s">
        <v>74</v>
      </c>
      <c r="D18">
        <v>3686</v>
      </c>
      <c r="E18">
        <v>23410129</v>
      </c>
      <c r="F18" t="s">
        <v>660</v>
      </c>
      <c r="G18" t="s">
        <v>654</v>
      </c>
      <c r="H18">
        <v>150</v>
      </c>
      <c r="I18">
        <v>2500</v>
      </c>
      <c r="J18">
        <v>375000</v>
      </c>
      <c r="K18" t="str">
        <f>IFERROR(IF(B18&lt;&gt;"", TEXT(VLOOKUP(B18, 'Expected Date'!A:B, 2, FALSE) + DATE(RIGHT(C18,2),MID(C18,4,2),LEFT(C18,2)), "dd/mm/yy"), ""), "")</f>
        <v>19/08/23</v>
      </c>
      <c r="L18" t="s">
        <v>38</v>
      </c>
      <c r="M18" t="s">
        <v>48</v>
      </c>
      <c r="N18" t="s">
        <v>661</v>
      </c>
      <c r="O18" t="s">
        <v>199</v>
      </c>
      <c r="P18">
        <v>23490193</v>
      </c>
      <c r="Q18" t="s">
        <v>660</v>
      </c>
      <c r="R18" t="s">
        <v>654</v>
      </c>
      <c r="S18">
        <v>150</v>
      </c>
      <c r="T18">
        <v>2500</v>
      </c>
      <c r="U18">
        <v>375000</v>
      </c>
      <c r="V18" t="str">
        <f t="shared" si="17"/>
        <v>Accepted</v>
      </c>
      <c r="W18">
        <f>IFERROR(VLOOKUP(N18, Payment_Terms!A:B, 2, FALSE), "Payment term not found!")</f>
        <v>0</v>
      </c>
      <c r="X18" t="str">
        <f>IFERROR(VLOOKUP(R18, Item_Category!A:B, 2, FALSE), "Uncategorized")</f>
        <v>Folic Acid</v>
      </c>
      <c r="Y18" s="5">
        <f t="shared" si="4"/>
        <v>0</v>
      </c>
      <c r="Z18">
        <f t="shared" si="5"/>
        <v>5</v>
      </c>
      <c r="AA18">
        <f t="shared" si="6"/>
        <v>7</v>
      </c>
      <c r="AB18">
        <f t="shared" si="7"/>
        <v>3</v>
      </c>
      <c r="AC18" s="10">
        <f t="shared" si="8"/>
        <v>15</v>
      </c>
      <c r="AD18" s="5">
        <f t="shared" si="0"/>
        <v>1</v>
      </c>
      <c r="AE18" s="5">
        <f t="shared" si="1"/>
        <v>1</v>
      </c>
      <c r="AF18" s="5">
        <f t="shared" si="9"/>
        <v>0</v>
      </c>
      <c r="AG18">
        <f>IF(B18&lt;&gt;"", COUNTIFS($B$2:B18, B18), "")</f>
        <v>1</v>
      </c>
      <c r="AH18">
        <f t="shared" si="10"/>
        <v>5</v>
      </c>
      <c r="AI18" t="str">
        <f>VLOOKUP(B18, Currency!A:B, 2, FALSE)</f>
        <v>INR</v>
      </c>
      <c r="AJ18">
        <f t="shared" si="2"/>
        <v>5</v>
      </c>
      <c r="AK18">
        <f t="shared" si="11"/>
        <v>8</v>
      </c>
      <c r="AL18" t="str">
        <f t="shared" si="12"/>
        <v>August</v>
      </c>
      <c r="AM18">
        <f t="shared" si="13"/>
        <v>2023</v>
      </c>
      <c r="AN18" t="str">
        <f t="shared" si="3"/>
        <v>0VITAL THEARAPEUTICS PVT LTD</v>
      </c>
      <c r="AO18">
        <f>IF(COUNTIF($AN$2:AN18, AN18)=1, 1, 0)</f>
        <v>1</v>
      </c>
      <c r="AP18" t="str">
        <f t="shared" si="14"/>
        <v>&gt;3</v>
      </c>
      <c r="AQ18" t="str">
        <f t="shared" si="15"/>
        <v>&gt;3</v>
      </c>
      <c r="AR18" t="str">
        <f t="shared" si="16"/>
        <v>&lt;=3</v>
      </c>
    </row>
    <row r="19" spans="1:44" x14ac:dyDescent="0.3">
      <c r="A19" t="s">
        <v>33</v>
      </c>
      <c r="B19" t="s">
        <v>663</v>
      </c>
      <c r="C19" t="s">
        <v>293</v>
      </c>
      <c r="D19">
        <v>3925</v>
      </c>
      <c r="E19">
        <v>23410156</v>
      </c>
      <c r="F19" t="s">
        <v>664</v>
      </c>
      <c r="G19" t="s">
        <v>665</v>
      </c>
      <c r="H19">
        <v>0.5</v>
      </c>
      <c r="I19">
        <v>8</v>
      </c>
      <c r="J19">
        <v>4</v>
      </c>
      <c r="K19" t="str">
        <f>IFERROR(IF(B19&lt;&gt;"", TEXT(VLOOKUP(B19, 'Expected Date'!A:B, 2, FALSE) + DATE(RIGHT(C19,2),MID(C19,4,2),LEFT(C19,2)), "dd/mm/yy"), ""), "")</f>
        <v>30/08/23</v>
      </c>
      <c r="L19" t="s">
        <v>38</v>
      </c>
      <c r="M19" t="s">
        <v>48</v>
      </c>
      <c r="N19" t="s">
        <v>470</v>
      </c>
      <c r="O19" t="s">
        <v>293</v>
      </c>
      <c r="P19">
        <v>23490186</v>
      </c>
      <c r="Q19" t="s">
        <v>664</v>
      </c>
      <c r="R19" t="s">
        <v>665</v>
      </c>
      <c r="S19">
        <v>0.5</v>
      </c>
      <c r="T19">
        <v>8</v>
      </c>
      <c r="U19">
        <v>4</v>
      </c>
      <c r="V19" t="str">
        <f t="shared" si="17"/>
        <v>Accepted</v>
      </c>
      <c r="W19">
        <f>IFERROR(VLOOKUP(N19, Payment_Terms!A:B, 2, FALSE), "Payment term not found!")</f>
        <v>30</v>
      </c>
      <c r="X19" t="str">
        <f>IFERROR(VLOOKUP(R19, Item_Category!A:B, 2, FALSE), "Uncategorized")</f>
        <v>Copper Sulphate Anhydrous</v>
      </c>
      <c r="Y19" s="5">
        <f t="shared" si="4"/>
        <v>0</v>
      </c>
      <c r="Z19">
        <f t="shared" si="5"/>
        <v>5</v>
      </c>
      <c r="AA19">
        <f t="shared" si="6"/>
        <v>-8</v>
      </c>
      <c r="AB19">
        <f t="shared" si="7"/>
        <v>5</v>
      </c>
      <c r="AC19" s="10">
        <f t="shared" si="8"/>
        <v>0</v>
      </c>
      <c r="AD19" s="5">
        <f t="shared" si="0"/>
        <v>1</v>
      </c>
      <c r="AE19" s="5">
        <f t="shared" si="1"/>
        <v>1</v>
      </c>
      <c r="AF19" s="5">
        <f t="shared" si="9"/>
        <v>0</v>
      </c>
      <c r="AG19">
        <f>IF(B19&lt;&gt;"", COUNTIFS($B$2:B19, B19), "")</f>
        <v>1</v>
      </c>
      <c r="AH19">
        <f t="shared" si="10"/>
        <v>5</v>
      </c>
      <c r="AI19" t="str">
        <f>VLOOKUP(B19, Currency!A:B, 2, FALSE)</f>
        <v>INR</v>
      </c>
      <c r="AJ19">
        <f t="shared" si="2"/>
        <v>5</v>
      </c>
      <c r="AK19">
        <f t="shared" si="11"/>
        <v>8</v>
      </c>
      <c r="AL19" t="str">
        <f t="shared" si="12"/>
        <v>August</v>
      </c>
      <c r="AM19">
        <f t="shared" si="13"/>
        <v>2023</v>
      </c>
      <c r="AN19" t="str">
        <f t="shared" si="3"/>
        <v>30Valaji Pharma Chem</v>
      </c>
      <c r="AO19">
        <f>IF(COUNTIF($AN$2:AN19, AN19)=1, 1, 0)</f>
        <v>1</v>
      </c>
      <c r="AP19" t="str">
        <f t="shared" si="14"/>
        <v>&gt;3</v>
      </c>
      <c r="AQ19" t="str">
        <f t="shared" si="15"/>
        <v>&gt;3</v>
      </c>
      <c r="AR19" t="str">
        <f t="shared" si="16"/>
        <v>&gt;3</v>
      </c>
    </row>
    <row r="20" spans="1:44" x14ac:dyDescent="0.3">
      <c r="A20" t="s">
        <v>33</v>
      </c>
      <c r="B20" t="s">
        <v>666</v>
      </c>
      <c r="C20" t="s">
        <v>293</v>
      </c>
      <c r="D20">
        <v>3924</v>
      </c>
      <c r="E20">
        <v>23410155</v>
      </c>
      <c r="F20" t="s">
        <v>667</v>
      </c>
      <c r="G20" t="s">
        <v>668</v>
      </c>
      <c r="H20">
        <v>0.5</v>
      </c>
      <c r="I20">
        <v>5</v>
      </c>
      <c r="J20">
        <v>2.5</v>
      </c>
      <c r="K20" t="str">
        <f>IFERROR(IF(B20&lt;&gt;"", TEXT(VLOOKUP(B20, 'Expected Date'!A:B, 2, FALSE) + DATE(RIGHT(C20,2),MID(C20,4,2),LEFT(C20,2)), "dd/mm/yy"), ""), "")</f>
        <v>06/09/23</v>
      </c>
      <c r="L20" t="s">
        <v>38</v>
      </c>
      <c r="M20" t="s">
        <v>651</v>
      </c>
      <c r="N20" t="s">
        <v>470</v>
      </c>
      <c r="O20" t="s">
        <v>293</v>
      </c>
      <c r="P20">
        <v>23490185</v>
      </c>
      <c r="Q20" t="s">
        <v>667</v>
      </c>
      <c r="R20" t="s">
        <v>668</v>
      </c>
      <c r="S20">
        <v>0.5</v>
      </c>
      <c r="T20">
        <v>5</v>
      </c>
      <c r="U20">
        <v>2.5</v>
      </c>
      <c r="V20" t="str">
        <f t="shared" si="17"/>
        <v>Accepted</v>
      </c>
      <c r="W20">
        <f>IFERROR(VLOOKUP(N20, Payment_Terms!A:B, 2, FALSE), "Payment term not found!")</f>
        <v>30</v>
      </c>
      <c r="X20" t="str">
        <f>IFERROR(VLOOKUP(R20, Item_Category!A:B, 2, FALSE), "Uncategorized")</f>
        <v>Sodium Molybdate</v>
      </c>
      <c r="Y20" s="5">
        <f t="shared" si="4"/>
        <v>0</v>
      </c>
      <c r="Z20">
        <f t="shared" si="5"/>
        <v>5</v>
      </c>
      <c r="AA20">
        <f t="shared" si="6"/>
        <v>-15</v>
      </c>
      <c r="AB20">
        <f t="shared" si="7"/>
        <v>5</v>
      </c>
      <c r="AC20" s="10">
        <f t="shared" si="8"/>
        <v>0</v>
      </c>
      <c r="AD20" s="5">
        <f t="shared" si="0"/>
        <v>1</v>
      </c>
      <c r="AE20" s="5">
        <f t="shared" si="1"/>
        <v>1</v>
      </c>
      <c r="AF20" s="5">
        <f t="shared" si="9"/>
        <v>0</v>
      </c>
      <c r="AG20">
        <f>IF(B20&lt;&gt;"", COUNTIFS($B$2:B20, B20), "")</f>
        <v>1</v>
      </c>
      <c r="AH20">
        <f t="shared" si="10"/>
        <v>5</v>
      </c>
      <c r="AI20" t="str">
        <f>VLOOKUP(B20, Currency!A:B, 2, FALSE)</f>
        <v>INR</v>
      </c>
      <c r="AJ20">
        <f t="shared" si="2"/>
        <v>5</v>
      </c>
      <c r="AK20">
        <f t="shared" si="11"/>
        <v>8</v>
      </c>
      <c r="AL20" t="str">
        <f t="shared" si="12"/>
        <v>August</v>
      </c>
      <c r="AM20">
        <f t="shared" si="13"/>
        <v>2023</v>
      </c>
      <c r="AN20" t="str">
        <f t="shared" si="3"/>
        <v>30DHRUV CHEMICALS</v>
      </c>
      <c r="AO20">
        <f>IF(COUNTIF($AN$2:AN20, AN20)=1, 1, 0)</f>
        <v>1</v>
      </c>
      <c r="AP20" t="str">
        <f t="shared" si="14"/>
        <v>&gt;3</v>
      </c>
      <c r="AQ20" t="str">
        <f t="shared" si="15"/>
        <v>&gt;3</v>
      </c>
      <c r="AR20" t="str">
        <f t="shared" si="16"/>
        <v>&gt;3</v>
      </c>
    </row>
    <row r="21" spans="1:44" x14ac:dyDescent="0.3">
      <c r="A21" t="s">
        <v>33</v>
      </c>
      <c r="B21" t="s">
        <v>669</v>
      </c>
      <c r="C21" t="s">
        <v>293</v>
      </c>
      <c r="D21">
        <v>3926</v>
      </c>
      <c r="E21">
        <v>23410157</v>
      </c>
      <c r="F21" t="s">
        <v>670</v>
      </c>
      <c r="G21" t="s">
        <v>671</v>
      </c>
      <c r="H21">
        <v>0.5</v>
      </c>
      <c r="I21">
        <v>5</v>
      </c>
      <c r="J21">
        <v>2.5</v>
      </c>
      <c r="K21" t="str">
        <f>IFERROR(IF(B21&lt;&gt;"", TEXT(VLOOKUP(B21, 'Expected Date'!A:B, 2, FALSE) + DATE(RIGHT(C21,2),MID(C21,4,2),LEFT(C21,2)), "dd/mm/yy"), ""), "")</f>
        <v>30/08/23</v>
      </c>
      <c r="L21" t="s">
        <v>38</v>
      </c>
      <c r="M21" t="s">
        <v>48</v>
      </c>
      <c r="N21" t="s">
        <v>470</v>
      </c>
      <c r="O21" t="s">
        <v>293</v>
      </c>
      <c r="P21">
        <v>23490184</v>
      </c>
      <c r="Q21" t="s">
        <v>670</v>
      </c>
      <c r="R21" t="s">
        <v>671</v>
      </c>
      <c r="S21">
        <v>0.5</v>
      </c>
      <c r="T21">
        <v>5</v>
      </c>
      <c r="U21">
        <v>2.5</v>
      </c>
      <c r="V21" t="str">
        <f t="shared" si="17"/>
        <v>Accepted</v>
      </c>
      <c r="W21">
        <f>IFERROR(VLOOKUP(N21, Payment_Terms!A:B, 2, FALSE), "Payment term not found!")</f>
        <v>30</v>
      </c>
      <c r="X21" t="str">
        <f>IFERROR(VLOOKUP(R21, Item_Category!A:B, 2, FALSE), "Uncategorized")</f>
        <v>Potassium Iodide</v>
      </c>
      <c r="Y21" s="5">
        <f t="shared" si="4"/>
        <v>0</v>
      </c>
      <c r="Z21">
        <f t="shared" si="5"/>
        <v>5</v>
      </c>
      <c r="AA21">
        <f t="shared" si="6"/>
        <v>-8</v>
      </c>
      <c r="AB21">
        <f t="shared" si="7"/>
        <v>5</v>
      </c>
      <c r="AC21" s="10">
        <f t="shared" si="8"/>
        <v>0</v>
      </c>
      <c r="AD21" s="5">
        <f t="shared" si="0"/>
        <v>1</v>
      </c>
      <c r="AE21" s="5">
        <f t="shared" si="1"/>
        <v>1</v>
      </c>
      <c r="AF21" s="5">
        <f t="shared" si="9"/>
        <v>0</v>
      </c>
      <c r="AG21">
        <f>IF(B21&lt;&gt;"", COUNTIFS($B$2:B21, B21), "")</f>
        <v>1</v>
      </c>
      <c r="AH21">
        <f t="shared" si="10"/>
        <v>5</v>
      </c>
      <c r="AI21" t="str">
        <f>VLOOKUP(B21, Currency!A:B, 2, FALSE)</f>
        <v>INR</v>
      </c>
      <c r="AJ21">
        <f t="shared" si="2"/>
        <v>5</v>
      </c>
      <c r="AK21">
        <f t="shared" si="11"/>
        <v>8</v>
      </c>
      <c r="AL21" t="str">
        <f t="shared" si="12"/>
        <v>August</v>
      </c>
      <c r="AM21">
        <f t="shared" si="13"/>
        <v>2023</v>
      </c>
      <c r="AN21" t="str">
        <f t="shared" si="3"/>
        <v>30CALIBRE CHEMICALS PVT. LTD.</v>
      </c>
      <c r="AO21">
        <f>IF(COUNTIF($AN$2:AN21, AN21)=1, 1, 0)</f>
        <v>1</v>
      </c>
      <c r="AP21" t="str">
        <f t="shared" si="14"/>
        <v>&gt;3</v>
      </c>
      <c r="AQ21" t="str">
        <f t="shared" si="15"/>
        <v>&gt;3</v>
      </c>
      <c r="AR21" t="str">
        <f t="shared" si="16"/>
        <v>&gt;3</v>
      </c>
    </row>
    <row r="22" spans="1:44" x14ac:dyDescent="0.3">
      <c r="A22" t="s">
        <v>33</v>
      </c>
      <c r="B22" t="s">
        <v>609</v>
      </c>
      <c r="C22" t="s">
        <v>272</v>
      </c>
      <c r="D22">
        <v>4591</v>
      </c>
      <c r="E22">
        <v>23410212</v>
      </c>
      <c r="F22" t="s">
        <v>672</v>
      </c>
      <c r="G22" t="s">
        <v>673</v>
      </c>
      <c r="H22">
        <v>1</v>
      </c>
      <c r="I22">
        <v>14500</v>
      </c>
      <c r="J22">
        <v>14500</v>
      </c>
      <c r="K22" t="str">
        <f>IFERROR(IF(B22&lt;&gt;"", TEXT(VLOOKUP(B22, 'Expected Date'!A:B, 2, FALSE) + DATE(RIGHT(C22,2),MID(C22,4,2),LEFT(C22,2)), "dd/mm/yy"), ""), "")</f>
        <v>05/10/23</v>
      </c>
      <c r="L22" t="s">
        <v>38</v>
      </c>
      <c r="M22" t="s">
        <v>48</v>
      </c>
      <c r="N22" t="s">
        <v>470</v>
      </c>
      <c r="O22" t="s">
        <v>527</v>
      </c>
      <c r="P22">
        <v>23490274</v>
      </c>
      <c r="Q22" t="s">
        <v>672</v>
      </c>
      <c r="R22" t="s">
        <v>673</v>
      </c>
      <c r="S22">
        <v>1</v>
      </c>
      <c r="T22">
        <v>14500</v>
      </c>
      <c r="U22">
        <v>14500</v>
      </c>
      <c r="V22" t="str">
        <f t="shared" si="17"/>
        <v>Accepted</v>
      </c>
      <c r="W22">
        <f>IFERROR(VLOOKUP(N22, Payment_Terms!A:B, 2, FALSE), "Payment term not found!")</f>
        <v>30</v>
      </c>
      <c r="X22" t="str">
        <f>IFERROR(VLOOKUP(R22, Item_Category!A:B, 2, FALSE), "Uncategorized")</f>
        <v>Vitamin K</v>
      </c>
      <c r="Y22" s="5">
        <f t="shared" si="4"/>
        <v>0</v>
      </c>
      <c r="Z22">
        <f t="shared" si="5"/>
        <v>5</v>
      </c>
      <c r="AA22">
        <f t="shared" si="6"/>
        <v>1</v>
      </c>
      <c r="AB22">
        <f t="shared" si="7"/>
        <v>5</v>
      </c>
      <c r="AC22" s="10">
        <f t="shared" si="8"/>
        <v>11</v>
      </c>
      <c r="AD22" s="5">
        <f t="shared" si="0"/>
        <v>1</v>
      </c>
      <c r="AE22" s="5">
        <f t="shared" si="1"/>
        <v>1</v>
      </c>
      <c r="AF22" s="5">
        <f t="shared" si="9"/>
        <v>0</v>
      </c>
      <c r="AG22">
        <f>IF(B22&lt;&gt;"", COUNTIFS($B$2:B22, B22), "")</f>
        <v>2</v>
      </c>
      <c r="AH22">
        <f t="shared" si="10"/>
        <v>5</v>
      </c>
      <c r="AI22" t="str">
        <f>VLOOKUP(B22, Currency!A:B, 2, FALSE)</f>
        <v>INR</v>
      </c>
      <c r="AJ22">
        <f t="shared" si="2"/>
        <v>5</v>
      </c>
      <c r="AK22">
        <f t="shared" si="11"/>
        <v>9</v>
      </c>
      <c r="AL22" t="str">
        <f t="shared" si="12"/>
        <v>September</v>
      </c>
      <c r="AM22">
        <f t="shared" si="13"/>
        <v>2023</v>
      </c>
      <c r="AN22" t="str">
        <f t="shared" si="3"/>
        <v>30HUFORT HEALTHCARE PRIVATE LIMITED</v>
      </c>
      <c r="AO22">
        <f>IF(COUNTIF($AN$2:AN22, AN22)=1, 1, 0)</f>
        <v>0</v>
      </c>
      <c r="AP22" t="str">
        <f t="shared" si="14"/>
        <v>&gt;3</v>
      </c>
      <c r="AQ22" t="str">
        <f t="shared" si="15"/>
        <v>&gt;3</v>
      </c>
      <c r="AR22" t="str">
        <f t="shared" si="16"/>
        <v>&gt;3</v>
      </c>
    </row>
    <row r="23" spans="1:44" x14ac:dyDescent="0.3">
      <c r="A23" t="s">
        <v>111</v>
      </c>
      <c r="B23" t="s">
        <v>674</v>
      </c>
      <c r="C23" t="s">
        <v>293</v>
      </c>
      <c r="D23">
        <v>3927</v>
      </c>
      <c r="E23">
        <v>23410158</v>
      </c>
      <c r="F23" t="s">
        <v>675</v>
      </c>
      <c r="G23" t="s">
        <v>676</v>
      </c>
      <c r="H23">
        <v>25</v>
      </c>
      <c r="I23">
        <v>375</v>
      </c>
      <c r="J23">
        <v>9375</v>
      </c>
      <c r="K23" t="str">
        <f>IFERROR(IF(B23&lt;&gt;"", TEXT(VLOOKUP(B23, 'Expected Date'!A:B, 2, FALSE) + DATE(RIGHT(C23,2),MID(C23,4,2),LEFT(C23,2)), "dd/mm/yy"), ""), "")</f>
        <v>03/09/23</v>
      </c>
      <c r="L23" t="s">
        <v>38</v>
      </c>
      <c r="M23" t="s">
        <v>48</v>
      </c>
      <c r="N23" t="s">
        <v>237</v>
      </c>
      <c r="O23" t="s">
        <v>106</v>
      </c>
      <c r="P23">
        <v>23490230</v>
      </c>
      <c r="Q23" t="s">
        <v>675</v>
      </c>
      <c r="R23" t="s">
        <v>676</v>
      </c>
      <c r="S23">
        <v>25</v>
      </c>
      <c r="T23">
        <v>375</v>
      </c>
      <c r="U23">
        <v>9375</v>
      </c>
      <c r="V23" t="str">
        <f t="shared" si="17"/>
        <v>Accepted</v>
      </c>
      <c r="W23">
        <f>IFERROR(VLOOKUP(N23, Payment_Terms!A:B, 2, FALSE), "Payment term not found!")</f>
        <v>0</v>
      </c>
      <c r="X23" t="str">
        <f>IFERROR(VLOOKUP(R23, Item_Category!A:B, 2, FALSE), "Uncategorized")</f>
        <v>Magnesium Phosphate Dibasic</v>
      </c>
      <c r="Y23" s="5">
        <f t="shared" si="4"/>
        <v>0</v>
      </c>
      <c r="Z23">
        <f t="shared" si="5"/>
        <v>5</v>
      </c>
      <c r="AA23">
        <f t="shared" si="6"/>
        <v>6</v>
      </c>
      <c r="AB23">
        <f t="shared" si="7"/>
        <v>3</v>
      </c>
      <c r="AC23" s="10">
        <f t="shared" si="8"/>
        <v>18</v>
      </c>
      <c r="AD23" s="5">
        <f t="shared" si="0"/>
        <v>1</v>
      </c>
      <c r="AE23" s="5">
        <f t="shared" si="1"/>
        <v>1</v>
      </c>
      <c r="AF23" s="5">
        <f t="shared" si="9"/>
        <v>0</v>
      </c>
      <c r="AG23">
        <f>IF(B23&lt;&gt;"", COUNTIFS($B$2:B23, B23), "")</f>
        <v>1</v>
      </c>
      <c r="AH23">
        <f t="shared" si="10"/>
        <v>5</v>
      </c>
      <c r="AI23" t="str">
        <f>VLOOKUP(B23, Currency!A:B, 2, FALSE)</f>
        <v>INR</v>
      </c>
      <c r="AJ23">
        <f t="shared" si="2"/>
        <v>5</v>
      </c>
      <c r="AK23">
        <f t="shared" si="11"/>
        <v>8</v>
      </c>
      <c r="AL23" t="str">
        <f t="shared" si="12"/>
        <v>August</v>
      </c>
      <c r="AM23">
        <f t="shared" si="13"/>
        <v>2023</v>
      </c>
      <c r="AN23" t="str">
        <f t="shared" si="3"/>
        <v>0KRONOX LAB SCIENCES LIMITED</v>
      </c>
      <c r="AO23">
        <f>IF(COUNTIF($AN$2:AN23, AN23)=1, 1, 0)</f>
        <v>1</v>
      </c>
      <c r="AP23" t="str">
        <f t="shared" si="14"/>
        <v>&gt;3</v>
      </c>
      <c r="AQ23" t="str">
        <f t="shared" si="15"/>
        <v>&gt;3</v>
      </c>
      <c r="AR23" t="str">
        <f t="shared" si="16"/>
        <v>&lt;=3</v>
      </c>
    </row>
    <row r="24" spans="1:44" x14ac:dyDescent="0.3">
      <c r="A24" t="s">
        <v>33</v>
      </c>
      <c r="B24" t="s">
        <v>639</v>
      </c>
      <c r="C24" t="s">
        <v>288</v>
      </c>
      <c r="D24">
        <v>3858</v>
      </c>
      <c r="E24">
        <v>23410148</v>
      </c>
      <c r="F24" t="s">
        <v>677</v>
      </c>
      <c r="G24" t="s">
        <v>678</v>
      </c>
      <c r="H24">
        <v>25</v>
      </c>
      <c r="I24">
        <v>120</v>
      </c>
      <c r="J24">
        <v>3000</v>
      </c>
      <c r="K24" t="str">
        <f>IFERROR(IF(B24&lt;&gt;"", TEXT(VLOOKUP(B24, 'Expected Date'!A:B, 2, FALSE) + DATE(RIGHT(C24,2),MID(C24,4,2),LEFT(C24,2)), "dd/mm/yy"), ""), "")</f>
        <v>26/08/23</v>
      </c>
      <c r="L24" t="s">
        <v>38</v>
      </c>
      <c r="M24" t="s">
        <v>48</v>
      </c>
      <c r="N24" t="s">
        <v>237</v>
      </c>
      <c r="O24" t="s">
        <v>106</v>
      </c>
      <c r="P24">
        <v>23490229</v>
      </c>
      <c r="Q24" t="s">
        <v>677</v>
      </c>
      <c r="R24" t="s">
        <v>678</v>
      </c>
      <c r="S24">
        <v>25</v>
      </c>
      <c r="T24">
        <v>120</v>
      </c>
      <c r="U24">
        <v>3000</v>
      </c>
      <c r="V24" t="str">
        <f t="shared" si="17"/>
        <v>Accepted</v>
      </c>
      <c r="W24">
        <f>IFERROR(VLOOKUP(N24, Payment_Terms!A:B, 2, FALSE), "Payment term not found!")</f>
        <v>0</v>
      </c>
      <c r="X24" t="str">
        <f>IFERROR(VLOOKUP(R24, Item_Category!A:B, 2, FALSE), "Uncategorized")</f>
        <v>Calcium Sulphate Anhydrous</v>
      </c>
      <c r="Y24" s="5">
        <f t="shared" si="4"/>
        <v>0</v>
      </c>
      <c r="Z24">
        <f t="shared" si="5"/>
        <v>5</v>
      </c>
      <c r="AA24">
        <f t="shared" si="6"/>
        <v>14</v>
      </c>
      <c r="AB24">
        <f t="shared" si="7"/>
        <v>1</v>
      </c>
      <c r="AC24" s="10">
        <f t="shared" si="8"/>
        <v>22</v>
      </c>
      <c r="AD24" s="5">
        <f t="shared" si="0"/>
        <v>1</v>
      </c>
      <c r="AE24" s="5">
        <f t="shared" si="1"/>
        <v>1</v>
      </c>
      <c r="AF24" s="5">
        <f t="shared" si="9"/>
        <v>0</v>
      </c>
      <c r="AG24">
        <f>IF(B24&lt;&gt;"", COUNTIFS($B$2:B24, B24), "")</f>
        <v>2</v>
      </c>
      <c r="AH24">
        <f t="shared" si="10"/>
        <v>5</v>
      </c>
      <c r="AI24" t="str">
        <f>VLOOKUP(B24, Currency!A:B, 2, FALSE)</f>
        <v>INR</v>
      </c>
      <c r="AJ24">
        <f t="shared" si="2"/>
        <v>4</v>
      </c>
      <c r="AK24">
        <f t="shared" si="11"/>
        <v>8</v>
      </c>
      <c r="AL24" t="str">
        <f t="shared" si="12"/>
        <v>August</v>
      </c>
      <c r="AM24">
        <f t="shared" si="13"/>
        <v>2023</v>
      </c>
      <c r="AN24" t="str">
        <f t="shared" si="3"/>
        <v>0VISHNUPRIYA CHEMICALS PRIVATE LIMITED</v>
      </c>
      <c r="AO24">
        <f>IF(COUNTIF($AN$2:AN24, AN24)=1, 1, 0)</f>
        <v>0</v>
      </c>
      <c r="AP24" t="str">
        <f t="shared" si="14"/>
        <v>&gt;3</v>
      </c>
      <c r="AQ24" t="str">
        <f t="shared" si="15"/>
        <v>&gt;3</v>
      </c>
      <c r="AR24" t="str">
        <f t="shared" si="16"/>
        <v>&lt;=3</v>
      </c>
    </row>
    <row r="25" spans="1:44" x14ac:dyDescent="0.3">
      <c r="A25" t="s">
        <v>33</v>
      </c>
      <c r="B25" t="s">
        <v>679</v>
      </c>
      <c r="C25" t="s">
        <v>52</v>
      </c>
      <c r="D25">
        <v>3751</v>
      </c>
      <c r="E25">
        <v>23410138</v>
      </c>
      <c r="F25" t="s">
        <v>680</v>
      </c>
      <c r="G25" t="s">
        <v>681</v>
      </c>
      <c r="H25">
        <v>10</v>
      </c>
      <c r="I25">
        <v>600</v>
      </c>
      <c r="J25">
        <v>6000</v>
      </c>
      <c r="K25" t="str">
        <f>IFERROR(IF(B25&lt;&gt;"", TEXT(VLOOKUP(B25, 'Expected Date'!A:B, 2, FALSE) + DATE(RIGHT(C25,2),MID(C25,4,2),LEFT(C25,2)), "dd/mm/yy"), ""), "")</f>
        <v>21/08/23</v>
      </c>
      <c r="L25" t="s">
        <v>38</v>
      </c>
      <c r="M25" t="s">
        <v>618</v>
      </c>
      <c r="N25" t="s">
        <v>470</v>
      </c>
      <c r="O25" t="s">
        <v>199</v>
      </c>
      <c r="P25">
        <v>23490199</v>
      </c>
      <c r="Q25" t="s">
        <v>680</v>
      </c>
      <c r="R25" t="s">
        <v>681</v>
      </c>
      <c r="S25">
        <v>10</v>
      </c>
      <c r="T25">
        <v>600</v>
      </c>
      <c r="U25">
        <v>6000</v>
      </c>
      <c r="V25" t="str">
        <f t="shared" si="17"/>
        <v>Accepted</v>
      </c>
      <c r="W25">
        <f>IFERROR(VLOOKUP(N25, Payment_Terms!A:B, 2, FALSE), "Payment term not found!")</f>
        <v>30</v>
      </c>
      <c r="X25" t="str">
        <f>IFERROR(VLOOKUP(R25, Item_Category!A:B, 2, FALSE), "Uncategorized")</f>
        <v>Green Colour HDPE Drum with lid and side handle (50ltr Capacity)</v>
      </c>
      <c r="Y25" s="5">
        <f t="shared" si="4"/>
        <v>0</v>
      </c>
      <c r="Z25">
        <f t="shared" si="5"/>
        <v>5</v>
      </c>
      <c r="AA25">
        <f t="shared" si="6"/>
        <v>5</v>
      </c>
      <c r="AB25">
        <f t="shared" si="7"/>
        <v>3</v>
      </c>
      <c r="AC25" s="10">
        <f t="shared" si="8"/>
        <v>10</v>
      </c>
      <c r="AD25" s="5">
        <f t="shared" si="0"/>
        <v>1</v>
      </c>
      <c r="AE25" s="5">
        <f t="shared" si="1"/>
        <v>1</v>
      </c>
      <c r="AF25" s="5">
        <f t="shared" si="9"/>
        <v>0</v>
      </c>
      <c r="AG25">
        <f>IF(B25&lt;&gt;"", COUNTIFS($B$2:B25, B25), "")</f>
        <v>1</v>
      </c>
      <c r="AH25">
        <f t="shared" si="10"/>
        <v>5</v>
      </c>
      <c r="AI25" t="str">
        <f>VLOOKUP(B25, Currency!A:B, 2, FALSE)</f>
        <v>INR</v>
      </c>
      <c r="AJ25">
        <f t="shared" si="2"/>
        <v>5</v>
      </c>
      <c r="AK25">
        <f t="shared" si="11"/>
        <v>8</v>
      </c>
      <c r="AL25" t="str">
        <f t="shared" si="12"/>
        <v>August</v>
      </c>
      <c r="AM25">
        <f t="shared" si="13"/>
        <v>2023</v>
      </c>
      <c r="AN25" t="str">
        <f t="shared" si="3"/>
        <v>30Akruthi Enterprises</v>
      </c>
      <c r="AO25">
        <f>IF(COUNTIF($AN$2:AN25, AN25)=1, 1, 0)</f>
        <v>1</v>
      </c>
      <c r="AP25" t="str">
        <f t="shared" si="14"/>
        <v>&gt;3</v>
      </c>
      <c r="AQ25" t="str">
        <f t="shared" si="15"/>
        <v>&gt;3</v>
      </c>
      <c r="AR25" t="str">
        <f t="shared" si="16"/>
        <v>&lt;=3</v>
      </c>
    </row>
    <row r="26" spans="1:44" x14ac:dyDescent="0.3">
      <c r="A26" t="s">
        <v>33</v>
      </c>
      <c r="B26" t="s">
        <v>663</v>
      </c>
      <c r="C26" t="s">
        <v>227</v>
      </c>
      <c r="D26">
        <v>3299</v>
      </c>
      <c r="E26">
        <v>23410102</v>
      </c>
      <c r="F26" t="s">
        <v>682</v>
      </c>
      <c r="G26" t="s">
        <v>683</v>
      </c>
      <c r="H26">
        <v>50</v>
      </c>
      <c r="I26">
        <v>175</v>
      </c>
      <c r="J26">
        <v>8750</v>
      </c>
      <c r="K26" t="str">
        <f>IFERROR(IF(B26&lt;&gt;"", TEXT(VLOOKUP(B26, 'Expected Date'!A:B, 2, FALSE) + DATE(RIGHT(C26,2),MID(C26,4,2),LEFT(C26,2)), "dd/mm/yy"), ""), "")</f>
        <v>02/08/23</v>
      </c>
      <c r="L26" t="s">
        <v>38</v>
      </c>
      <c r="M26" t="s">
        <v>48</v>
      </c>
      <c r="N26" t="s">
        <v>237</v>
      </c>
      <c r="O26" t="s">
        <v>408</v>
      </c>
      <c r="P26">
        <v>23490155</v>
      </c>
      <c r="Q26" t="s">
        <v>682</v>
      </c>
      <c r="R26" t="s">
        <v>683</v>
      </c>
      <c r="S26">
        <v>50</v>
      </c>
      <c r="T26">
        <v>175</v>
      </c>
      <c r="U26">
        <v>8750</v>
      </c>
      <c r="V26" t="str">
        <f t="shared" si="17"/>
        <v>Accepted</v>
      </c>
      <c r="W26">
        <f>IFERROR(VLOOKUP(N26, Payment_Terms!A:B, 2, FALSE), "Payment term not found!")</f>
        <v>0</v>
      </c>
      <c r="X26" t="str">
        <f>IFERROR(VLOOKUP(R26, Item_Category!A:B, 2, FALSE), "Uncategorized")</f>
        <v>Potassium carbonate anhydrous</v>
      </c>
      <c r="Y26" s="5">
        <f t="shared" si="4"/>
        <v>0</v>
      </c>
      <c r="Z26">
        <f t="shared" si="5"/>
        <v>5</v>
      </c>
      <c r="AA26">
        <f t="shared" si="6"/>
        <v>6</v>
      </c>
      <c r="AB26">
        <f t="shared" si="7"/>
        <v>3</v>
      </c>
      <c r="AC26" s="10">
        <f t="shared" si="8"/>
        <v>14</v>
      </c>
      <c r="AD26" s="5">
        <f t="shared" si="0"/>
        <v>1</v>
      </c>
      <c r="AE26" s="5">
        <f t="shared" si="1"/>
        <v>1</v>
      </c>
      <c r="AF26" s="5">
        <f t="shared" si="9"/>
        <v>0</v>
      </c>
      <c r="AG26">
        <f>IF(B26&lt;&gt;"", COUNTIFS($B$2:B26, B26), "")</f>
        <v>2</v>
      </c>
      <c r="AH26">
        <f t="shared" si="10"/>
        <v>5</v>
      </c>
      <c r="AI26" t="str">
        <f>VLOOKUP(B26, Currency!A:B, 2, FALSE)</f>
        <v>INR</v>
      </c>
      <c r="AJ26">
        <f t="shared" si="2"/>
        <v>5</v>
      </c>
      <c r="AK26">
        <f t="shared" si="11"/>
        <v>7</v>
      </c>
      <c r="AL26" t="str">
        <f t="shared" si="12"/>
        <v>July</v>
      </c>
      <c r="AM26">
        <f t="shared" si="13"/>
        <v>2023</v>
      </c>
      <c r="AN26" t="str">
        <f t="shared" si="3"/>
        <v>0Valaji Pharma Chem</v>
      </c>
      <c r="AO26">
        <f>IF(COUNTIF($AN$2:AN26, AN26)=1, 1, 0)</f>
        <v>1</v>
      </c>
      <c r="AP26" t="str">
        <f t="shared" si="14"/>
        <v>&gt;3</v>
      </c>
      <c r="AQ26" t="str">
        <f t="shared" si="15"/>
        <v>&gt;3</v>
      </c>
      <c r="AR26" t="str">
        <f t="shared" si="16"/>
        <v>&lt;=3</v>
      </c>
    </row>
    <row r="27" spans="1:44" x14ac:dyDescent="0.3">
      <c r="A27" t="s">
        <v>33</v>
      </c>
      <c r="B27" t="s">
        <v>659</v>
      </c>
      <c r="C27" t="s">
        <v>172</v>
      </c>
      <c r="D27">
        <v>1178</v>
      </c>
      <c r="E27">
        <v>23410003</v>
      </c>
      <c r="F27" t="s">
        <v>653</v>
      </c>
      <c r="G27" t="s">
        <v>654</v>
      </c>
      <c r="H27">
        <v>250</v>
      </c>
      <c r="I27">
        <v>2600</v>
      </c>
      <c r="J27">
        <v>650000</v>
      </c>
      <c r="K27" t="str">
        <f>IFERROR(IF(B27&lt;&gt;"", TEXT(VLOOKUP(B27, 'Expected Date'!A:B, 2, FALSE) + DATE(RIGHT(C27,2),MID(C27,4,2),LEFT(C27,2)), "dd/mm/yy"), ""), "")</f>
        <v>14/04/23</v>
      </c>
      <c r="L27" t="s">
        <v>38</v>
      </c>
      <c r="M27" t="s">
        <v>48</v>
      </c>
      <c r="N27" t="s">
        <v>684</v>
      </c>
      <c r="O27" t="s">
        <v>65</v>
      </c>
      <c r="P27">
        <v>23490007</v>
      </c>
      <c r="Q27" t="s">
        <v>653</v>
      </c>
      <c r="R27" t="s">
        <v>654</v>
      </c>
      <c r="S27">
        <v>250</v>
      </c>
      <c r="T27">
        <v>2600</v>
      </c>
      <c r="U27">
        <v>650000</v>
      </c>
      <c r="V27" t="str">
        <f t="shared" si="17"/>
        <v>Accepted</v>
      </c>
      <c r="W27">
        <f>IFERROR(VLOOKUP(N27, Payment_Terms!A:B, 2, FALSE), "Payment term not found!")</f>
        <v>0</v>
      </c>
      <c r="X27" t="str">
        <f>IFERROR(VLOOKUP(R27, Item_Category!A:B, 2, FALSE), "Uncategorized")</f>
        <v>Folic Acid</v>
      </c>
      <c r="Y27" s="5">
        <f t="shared" si="4"/>
        <v>0</v>
      </c>
      <c r="Z27">
        <f t="shared" si="5"/>
        <v>5</v>
      </c>
      <c r="AA27">
        <f t="shared" si="6"/>
        <v>5</v>
      </c>
      <c r="AB27">
        <f t="shared" si="7"/>
        <v>3</v>
      </c>
      <c r="AC27" s="10">
        <f t="shared" si="8"/>
        <v>13</v>
      </c>
      <c r="AD27" s="5">
        <f t="shared" si="0"/>
        <v>1</v>
      </c>
      <c r="AE27" s="5">
        <f t="shared" si="1"/>
        <v>1</v>
      </c>
      <c r="AF27" s="5">
        <f t="shared" si="9"/>
        <v>0</v>
      </c>
      <c r="AG27">
        <f>IF(B27&lt;&gt;"", COUNTIFS($B$2:B27, B27), "")</f>
        <v>2</v>
      </c>
      <c r="AH27">
        <f t="shared" si="10"/>
        <v>5</v>
      </c>
      <c r="AI27" t="str">
        <f>VLOOKUP(B27, Currency!A:B, 2, FALSE)</f>
        <v>INR</v>
      </c>
      <c r="AJ27">
        <f t="shared" si="2"/>
        <v>5</v>
      </c>
      <c r="AK27">
        <f t="shared" si="11"/>
        <v>4</v>
      </c>
      <c r="AL27" t="str">
        <f t="shared" si="12"/>
        <v>April</v>
      </c>
      <c r="AM27">
        <f t="shared" si="13"/>
        <v>2023</v>
      </c>
      <c r="AN27" t="str">
        <f t="shared" si="3"/>
        <v>0VITAL THEARAPEUTICS PVT LTD</v>
      </c>
      <c r="AO27">
        <f>IF(COUNTIF($AN$2:AN27, AN27)=1, 1, 0)</f>
        <v>0</v>
      </c>
      <c r="AP27" t="str">
        <f t="shared" si="14"/>
        <v>&gt;3</v>
      </c>
      <c r="AQ27" t="str">
        <f t="shared" si="15"/>
        <v>&gt;3</v>
      </c>
      <c r="AR27" t="str">
        <f t="shared" si="16"/>
        <v>&lt;=3</v>
      </c>
    </row>
    <row r="28" spans="1:44" x14ac:dyDescent="0.3">
      <c r="A28" t="s">
        <v>33</v>
      </c>
      <c r="B28" t="s">
        <v>685</v>
      </c>
      <c r="C28" t="s">
        <v>272</v>
      </c>
      <c r="D28">
        <v>4592</v>
      </c>
      <c r="E28">
        <v>23410213</v>
      </c>
      <c r="F28" t="s">
        <v>686</v>
      </c>
      <c r="G28" t="s">
        <v>687</v>
      </c>
      <c r="H28">
        <v>1</v>
      </c>
      <c r="I28">
        <v>2100</v>
      </c>
      <c r="J28">
        <v>2100</v>
      </c>
      <c r="K28" t="str">
        <f>IFERROR(IF(B28&lt;&gt;"", TEXT(VLOOKUP(B28, 'Expected Date'!A:B, 2, FALSE) + DATE(RIGHT(C28,2),MID(C28,4,2),LEFT(C28,2)), "dd/mm/yy"), ""), "")</f>
        <v>07/10/23</v>
      </c>
      <c r="L28" t="s">
        <v>38</v>
      </c>
      <c r="M28" t="s">
        <v>48</v>
      </c>
      <c r="N28" t="s">
        <v>237</v>
      </c>
      <c r="O28" t="s">
        <v>527</v>
      </c>
      <c r="P28">
        <v>23490276</v>
      </c>
      <c r="Q28" t="s">
        <v>686</v>
      </c>
      <c r="R28" t="s">
        <v>687</v>
      </c>
      <c r="S28">
        <v>1</v>
      </c>
      <c r="T28">
        <v>2100</v>
      </c>
      <c r="U28">
        <v>2100</v>
      </c>
      <c r="V28" t="str">
        <f t="shared" si="17"/>
        <v>Accepted</v>
      </c>
      <c r="W28">
        <f>IFERROR(VLOOKUP(N28, Payment_Terms!A:B, 2, FALSE), "Payment term not found!")</f>
        <v>0</v>
      </c>
      <c r="X28" t="str">
        <f>IFERROR(VLOOKUP(R28, Item_Category!A:B, 2, FALSE), "Uncategorized")</f>
        <v>HCL</v>
      </c>
      <c r="Y28" s="5">
        <f t="shared" si="4"/>
        <v>0</v>
      </c>
      <c r="Z28">
        <f t="shared" si="5"/>
        <v>5</v>
      </c>
      <c r="AA28">
        <f t="shared" si="6"/>
        <v>-1</v>
      </c>
      <c r="AB28">
        <f t="shared" si="7"/>
        <v>5</v>
      </c>
      <c r="AC28" s="10">
        <f t="shared" si="8"/>
        <v>11</v>
      </c>
      <c r="AD28" s="5">
        <f t="shared" si="0"/>
        <v>1</v>
      </c>
      <c r="AE28" s="5">
        <f t="shared" si="1"/>
        <v>1</v>
      </c>
      <c r="AF28" s="5">
        <f t="shared" si="9"/>
        <v>0</v>
      </c>
      <c r="AG28">
        <f>IF(B28&lt;&gt;"", COUNTIFS($B$2:B28, B28), "")</f>
        <v>1</v>
      </c>
      <c r="AH28">
        <f t="shared" si="10"/>
        <v>5</v>
      </c>
      <c r="AI28" t="str">
        <f>VLOOKUP(B28, Currency!A:B, 2, FALSE)</f>
        <v>INR</v>
      </c>
      <c r="AJ28">
        <f t="shared" si="2"/>
        <v>5</v>
      </c>
      <c r="AK28">
        <f t="shared" si="11"/>
        <v>9</v>
      </c>
      <c r="AL28" t="str">
        <f t="shared" si="12"/>
        <v>September</v>
      </c>
      <c r="AM28">
        <f t="shared" si="13"/>
        <v>2023</v>
      </c>
      <c r="AN28" t="str">
        <f t="shared" si="3"/>
        <v>0KARNATAKA CHEMICAL INDUSTRIES</v>
      </c>
      <c r="AO28">
        <f>IF(COUNTIF($AN$2:AN28, AN28)=1, 1, 0)</f>
        <v>1</v>
      </c>
      <c r="AP28" t="str">
        <f t="shared" si="14"/>
        <v>&gt;3</v>
      </c>
      <c r="AQ28" t="str">
        <f t="shared" si="15"/>
        <v>&gt;3</v>
      </c>
      <c r="AR28" t="str">
        <f t="shared" si="16"/>
        <v>&gt;3</v>
      </c>
    </row>
    <row r="29" spans="1:44" x14ac:dyDescent="0.3">
      <c r="A29" t="s">
        <v>33</v>
      </c>
      <c r="B29" t="s">
        <v>688</v>
      </c>
      <c r="C29" t="s">
        <v>394</v>
      </c>
      <c r="D29">
        <v>3772</v>
      </c>
      <c r="E29">
        <v>23410140</v>
      </c>
      <c r="F29" t="s">
        <v>689</v>
      </c>
      <c r="G29" t="s">
        <v>690</v>
      </c>
      <c r="H29">
        <v>10</v>
      </c>
      <c r="I29">
        <v>1350</v>
      </c>
      <c r="J29">
        <v>13500</v>
      </c>
      <c r="K29" t="str">
        <f>IFERROR(IF(B29&lt;&gt;"", TEXT(VLOOKUP(B29, 'Expected Date'!A:B, 2, FALSE) + DATE(RIGHT(C29,2),MID(C29,4,2),LEFT(C29,2)), "dd/mm/yy"), ""), "")</f>
        <v>27/08/23</v>
      </c>
      <c r="L29" t="s">
        <v>38</v>
      </c>
      <c r="M29" t="s">
        <v>618</v>
      </c>
      <c r="N29" t="s">
        <v>691</v>
      </c>
      <c r="O29" t="s">
        <v>246</v>
      </c>
      <c r="P29">
        <v>23490237</v>
      </c>
      <c r="Q29" t="s">
        <v>689</v>
      </c>
      <c r="R29" t="s">
        <v>690</v>
      </c>
      <c r="S29">
        <v>10</v>
      </c>
      <c r="T29">
        <v>1350</v>
      </c>
      <c r="U29">
        <v>13500</v>
      </c>
      <c r="V29" t="str">
        <f t="shared" si="17"/>
        <v>Accepted</v>
      </c>
      <c r="W29">
        <f>IFERROR(VLOOKUP(N29, Payment_Terms!A:B, 2, FALSE), "Payment term not found!")</f>
        <v>0</v>
      </c>
      <c r="X29" t="str">
        <f>IFERROR(VLOOKUP(R29, Item_Category!A:B, 2, FALSE), "Uncategorized")</f>
        <v>Printed Strapping Roll Size 12mm Width transparent</v>
      </c>
      <c r="Y29" s="5">
        <f t="shared" si="4"/>
        <v>0</v>
      </c>
      <c r="Z29">
        <f t="shared" si="5"/>
        <v>5</v>
      </c>
      <c r="AA29">
        <f t="shared" si="6"/>
        <v>16</v>
      </c>
      <c r="AB29">
        <f t="shared" si="7"/>
        <v>1</v>
      </c>
      <c r="AC29" s="10">
        <f t="shared" si="8"/>
        <v>26</v>
      </c>
      <c r="AD29" s="5">
        <f t="shared" si="0"/>
        <v>1</v>
      </c>
      <c r="AE29" s="5">
        <f t="shared" si="1"/>
        <v>1</v>
      </c>
      <c r="AF29" s="5">
        <f t="shared" si="9"/>
        <v>0</v>
      </c>
      <c r="AG29">
        <f>IF(B29&lt;&gt;"", COUNTIFS($B$2:B29, B29), "")</f>
        <v>1</v>
      </c>
      <c r="AH29">
        <f t="shared" si="10"/>
        <v>5</v>
      </c>
      <c r="AI29" t="str">
        <f>VLOOKUP(B29, Currency!A:B, 2, FALSE)</f>
        <v>INR</v>
      </c>
      <c r="AJ29">
        <f t="shared" si="2"/>
        <v>4</v>
      </c>
      <c r="AK29">
        <f t="shared" si="11"/>
        <v>8</v>
      </c>
      <c r="AL29" t="str">
        <f t="shared" si="12"/>
        <v>August</v>
      </c>
      <c r="AM29">
        <f t="shared" si="13"/>
        <v>2023</v>
      </c>
      <c r="AN29" t="str">
        <f t="shared" si="3"/>
        <v>0Annapurna Sales Company</v>
      </c>
      <c r="AO29">
        <f>IF(COUNTIF($AN$2:AN29, AN29)=1, 1, 0)</f>
        <v>1</v>
      </c>
      <c r="AP29" t="str">
        <f t="shared" si="14"/>
        <v>&gt;3</v>
      </c>
      <c r="AQ29" t="str">
        <f t="shared" si="15"/>
        <v>&gt;3</v>
      </c>
      <c r="AR29" t="str">
        <f t="shared" si="16"/>
        <v>&lt;=3</v>
      </c>
    </row>
    <row r="30" spans="1:44" x14ac:dyDescent="0.3">
      <c r="A30" t="s">
        <v>33</v>
      </c>
      <c r="B30" t="s">
        <v>692</v>
      </c>
      <c r="C30" t="s">
        <v>394</v>
      </c>
      <c r="D30">
        <v>3795</v>
      </c>
      <c r="E30">
        <v>23410142</v>
      </c>
      <c r="F30" t="s">
        <v>693</v>
      </c>
      <c r="G30" t="s">
        <v>694</v>
      </c>
      <c r="H30">
        <v>100</v>
      </c>
      <c r="I30">
        <v>16</v>
      </c>
      <c r="J30">
        <v>1600</v>
      </c>
      <c r="K30" t="str">
        <f>IFERROR(IF(B30&lt;&gt;"", TEXT(VLOOKUP(B30, 'Expected Date'!A:B, 2, FALSE) + DATE(RIGHT(C30,2),MID(C30,4,2),LEFT(C30,2)), "dd/mm/yy"), ""), "")</f>
        <v>22/08/23</v>
      </c>
      <c r="L30" t="s">
        <v>38</v>
      </c>
      <c r="M30" t="s">
        <v>618</v>
      </c>
      <c r="N30" t="s">
        <v>691</v>
      </c>
      <c r="O30" t="s">
        <v>199</v>
      </c>
      <c r="P30">
        <v>23490198</v>
      </c>
      <c r="Q30" t="s">
        <v>693</v>
      </c>
      <c r="R30" t="s">
        <v>694</v>
      </c>
      <c r="S30">
        <v>100</v>
      </c>
      <c r="T30">
        <v>16</v>
      </c>
      <c r="U30">
        <v>1600</v>
      </c>
      <c r="V30" t="str">
        <f t="shared" si="17"/>
        <v>Accepted</v>
      </c>
      <c r="W30">
        <f>IFERROR(VLOOKUP(N30, Payment_Terms!A:B, 2, FALSE), "Payment term not found!")</f>
        <v>0</v>
      </c>
      <c r="X30" t="str">
        <f>IFERROR(VLOOKUP(R30, Item_Category!A:B, 2, FALSE), "Uncategorized")</f>
        <v>Edge Board - 50 X 50 X 5 X 960</v>
      </c>
      <c r="Y30" s="5">
        <f t="shared" si="4"/>
        <v>0</v>
      </c>
      <c r="Z30">
        <f t="shared" si="5"/>
        <v>5</v>
      </c>
      <c r="AA30">
        <f t="shared" si="6"/>
        <v>4</v>
      </c>
      <c r="AB30">
        <f t="shared" si="7"/>
        <v>4</v>
      </c>
      <c r="AC30" s="10">
        <f t="shared" si="8"/>
        <v>9</v>
      </c>
      <c r="AD30" s="5">
        <f t="shared" si="0"/>
        <v>1</v>
      </c>
      <c r="AE30" s="5">
        <f t="shared" si="1"/>
        <v>1</v>
      </c>
      <c r="AF30" s="5">
        <f t="shared" si="9"/>
        <v>0</v>
      </c>
      <c r="AG30">
        <f>IF(B30&lt;&gt;"", COUNTIFS($B$2:B30, B30), "")</f>
        <v>1</v>
      </c>
      <c r="AH30">
        <f t="shared" si="10"/>
        <v>5</v>
      </c>
      <c r="AI30" t="str">
        <f>VLOOKUP(B30, Currency!A:B, 2, FALSE)</f>
        <v>INR</v>
      </c>
      <c r="AJ30">
        <f t="shared" si="2"/>
        <v>5</v>
      </c>
      <c r="AK30">
        <f t="shared" si="11"/>
        <v>8</v>
      </c>
      <c r="AL30" t="str">
        <f t="shared" si="12"/>
        <v>August</v>
      </c>
      <c r="AM30">
        <f t="shared" si="13"/>
        <v>2023</v>
      </c>
      <c r="AN30" t="str">
        <f t="shared" si="3"/>
        <v>0EDGE PACK SOLUTIONS</v>
      </c>
      <c r="AO30">
        <f>IF(COUNTIF($AN$2:AN30, AN30)=1, 1, 0)</f>
        <v>1</v>
      </c>
      <c r="AP30" t="str">
        <f t="shared" si="14"/>
        <v>&gt;3</v>
      </c>
      <c r="AQ30" t="str">
        <f t="shared" si="15"/>
        <v>&gt;3</v>
      </c>
      <c r="AR30" t="str">
        <f t="shared" si="16"/>
        <v>&gt;3</v>
      </c>
    </row>
    <row r="31" spans="1:44" x14ac:dyDescent="0.3">
      <c r="A31" t="s">
        <v>33</v>
      </c>
      <c r="B31" t="s">
        <v>695</v>
      </c>
      <c r="C31" t="s">
        <v>365</v>
      </c>
      <c r="D31">
        <v>3416</v>
      </c>
      <c r="E31">
        <v>23410111</v>
      </c>
      <c r="F31" t="s">
        <v>696</v>
      </c>
      <c r="G31" t="s">
        <v>697</v>
      </c>
      <c r="H31">
        <v>1</v>
      </c>
      <c r="I31">
        <v>3750</v>
      </c>
      <c r="J31">
        <v>3750</v>
      </c>
      <c r="K31" t="str">
        <f>IFERROR(IF(B31&lt;&gt;"", TEXT(VLOOKUP(B31, 'Expected Date'!A:B, 2, FALSE) + DATE(RIGHT(C31,2),MID(C31,4,2),LEFT(C31,2)), "dd/mm/yy"), ""), "")</f>
        <v>10/08/23</v>
      </c>
      <c r="L31" t="s">
        <v>38</v>
      </c>
      <c r="M31" t="s">
        <v>628</v>
      </c>
      <c r="N31" t="s">
        <v>698</v>
      </c>
      <c r="O31" t="s">
        <v>94</v>
      </c>
      <c r="P31">
        <v>23490153</v>
      </c>
      <c r="Q31" t="s">
        <v>696</v>
      </c>
      <c r="R31" t="s">
        <v>697</v>
      </c>
      <c r="S31">
        <v>1</v>
      </c>
      <c r="T31">
        <v>3750</v>
      </c>
      <c r="U31">
        <v>3750</v>
      </c>
      <c r="V31" t="str">
        <f t="shared" si="17"/>
        <v>Accepted</v>
      </c>
      <c r="W31">
        <f>IFERROR(VLOOKUP(N31, Payment_Terms!A:B, 2, FALSE), "Payment term not found!")</f>
        <v>30</v>
      </c>
      <c r="X31" t="str">
        <f>IFERROR(VLOOKUP(R31, Item_Category!A:B, 2, FALSE), "Uncategorized")</f>
        <v>Vitamin A Acetate 325 CWS</v>
      </c>
      <c r="Y31" s="5">
        <f t="shared" si="4"/>
        <v>0</v>
      </c>
      <c r="Z31">
        <f t="shared" si="5"/>
        <v>5</v>
      </c>
      <c r="AA31">
        <f t="shared" si="6"/>
        <v>-3</v>
      </c>
      <c r="AB31">
        <f t="shared" si="7"/>
        <v>5</v>
      </c>
      <c r="AC31" s="10">
        <f t="shared" si="8"/>
        <v>9</v>
      </c>
      <c r="AD31" s="5">
        <f t="shared" si="0"/>
        <v>1</v>
      </c>
      <c r="AE31" s="5">
        <f t="shared" si="1"/>
        <v>1</v>
      </c>
      <c r="AF31" s="5">
        <f t="shared" si="9"/>
        <v>0</v>
      </c>
      <c r="AG31">
        <f>IF(B31&lt;&gt;"", COUNTIFS($B$2:B31, B31), "")</f>
        <v>1</v>
      </c>
      <c r="AH31">
        <f t="shared" si="10"/>
        <v>5</v>
      </c>
      <c r="AI31" t="str">
        <f>VLOOKUP(B31, Currency!A:B, 2, FALSE)</f>
        <v>INR</v>
      </c>
      <c r="AJ31">
        <f t="shared" si="2"/>
        <v>5</v>
      </c>
      <c r="AK31">
        <f t="shared" si="11"/>
        <v>7</v>
      </c>
      <c r="AL31" t="str">
        <f t="shared" si="12"/>
        <v>July</v>
      </c>
      <c r="AM31">
        <f t="shared" si="13"/>
        <v>2023</v>
      </c>
      <c r="AN31" t="str">
        <f t="shared" si="3"/>
        <v>30SUDEEP NUTRITION PVT. LTD.</v>
      </c>
      <c r="AO31">
        <f>IF(COUNTIF($AN$2:AN31, AN31)=1, 1, 0)</f>
        <v>1</v>
      </c>
      <c r="AP31" t="str">
        <f t="shared" si="14"/>
        <v>&gt;3</v>
      </c>
      <c r="AQ31" t="str">
        <f t="shared" si="15"/>
        <v>&gt;3</v>
      </c>
      <c r="AR31" t="str">
        <f t="shared" si="16"/>
        <v>&gt;3</v>
      </c>
    </row>
    <row r="32" spans="1:44" x14ac:dyDescent="0.3">
      <c r="A32" t="s">
        <v>33</v>
      </c>
      <c r="B32" t="s">
        <v>358</v>
      </c>
      <c r="C32" t="s">
        <v>87</v>
      </c>
      <c r="D32">
        <v>3049</v>
      </c>
      <c r="E32">
        <v>23410089</v>
      </c>
      <c r="F32" t="s">
        <v>699</v>
      </c>
      <c r="G32" t="s">
        <v>700</v>
      </c>
      <c r="H32">
        <v>25</v>
      </c>
      <c r="I32">
        <v>145</v>
      </c>
      <c r="J32">
        <v>3625</v>
      </c>
      <c r="K32" t="str">
        <f>IFERROR(IF(B32&lt;&gt;"", TEXT(VLOOKUP(B32, 'Expected Date'!A:B, 2, FALSE) + DATE(RIGHT(C32,2),MID(C32,4,2),LEFT(C32,2)), "dd/mm/yy"), ""), "")</f>
        <v>14/07/23</v>
      </c>
      <c r="L32" t="s">
        <v>38</v>
      </c>
      <c r="M32" t="s">
        <v>48</v>
      </c>
      <c r="N32" t="s">
        <v>470</v>
      </c>
      <c r="O32" t="s">
        <v>116</v>
      </c>
      <c r="P32">
        <v>23490128</v>
      </c>
      <c r="Q32" t="s">
        <v>699</v>
      </c>
      <c r="R32" t="s">
        <v>700</v>
      </c>
      <c r="S32">
        <v>25</v>
      </c>
      <c r="T32">
        <v>145</v>
      </c>
      <c r="U32">
        <v>3625</v>
      </c>
      <c r="V32" t="str">
        <f t="shared" si="17"/>
        <v>Accepted</v>
      </c>
      <c r="W32">
        <f>IFERROR(VLOOKUP(N32, Payment_Terms!A:B, 2, FALSE), "Payment term not found!")</f>
        <v>30</v>
      </c>
      <c r="X32" t="str">
        <f>IFERROR(VLOOKUP(R32, Item_Category!A:B, 2, FALSE), "Uncategorized")</f>
        <v>Cellulose gel (Micro crystalline cellulose)</v>
      </c>
      <c r="Y32" s="5">
        <f t="shared" si="4"/>
        <v>0</v>
      </c>
      <c r="Z32">
        <f t="shared" si="5"/>
        <v>5</v>
      </c>
      <c r="AA32">
        <f t="shared" si="6"/>
        <v>4</v>
      </c>
      <c r="AB32">
        <f t="shared" si="7"/>
        <v>4</v>
      </c>
      <c r="AC32" s="10">
        <f t="shared" si="8"/>
        <v>6</v>
      </c>
      <c r="AD32" s="5">
        <f t="shared" si="0"/>
        <v>1</v>
      </c>
      <c r="AE32" s="5">
        <f t="shared" si="1"/>
        <v>1</v>
      </c>
      <c r="AF32" s="5">
        <f t="shared" si="9"/>
        <v>0</v>
      </c>
      <c r="AG32">
        <f>IF(B32&lt;&gt;"", COUNTIFS($B$2:B32, B32), "")</f>
        <v>1</v>
      </c>
      <c r="AH32">
        <f t="shared" si="10"/>
        <v>5</v>
      </c>
      <c r="AI32" t="str">
        <f>VLOOKUP(B32, Currency!A:B, 2, FALSE)</f>
        <v>INR</v>
      </c>
      <c r="AJ32">
        <f t="shared" si="2"/>
        <v>5</v>
      </c>
      <c r="AK32">
        <f t="shared" si="11"/>
        <v>7</v>
      </c>
      <c r="AL32" t="str">
        <f t="shared" si="12"/>
        <v>July</v>
      </c>
      <c r="AM32">
        <f t="shared" si="13"/>
        <v>2023</v>
      </c>
      <c r="AN32" t="str">
        <f t="shared" si="3"/>
        <v>30Sigachi Industries Limited</v>
      </c>
      <c r="AO32">
        <f>IF(COUNTIF($AN$2:AN32, AN32)=1, 1, 0)</f>
        <v>1</v>
      </c>
      <c r="AP32" t="str">
        <f t="shared" si="14"/>
        <v>&gt;3</v>
      </c>
      <c r="AQ32" t="str">
        <f t="shared" si="15"/>
        <v>&gt;3</v>
      </c>
      <c r="AR32" t="str">
        <f t="shared" si="16"/>
        <v>&gt;3</v>
      </c>
    </row>
    <row r="33" spans="1:44" x14ac:dyDescent="0.3">
      <c r="A33" t="s">
        <v>33</v>
      </c>
      <c r="B33" t="s">
        <v>645</v>
      </c>
      <c r="C33" t="s">
        <v>94</v>
      </c>
      <c r="D33">
        <v>3591</v>
      </c>
      <c r="E33">
        <v>23410116</v>
      </c>
      <c r="F33" t="s">
        <v>701</v>
      </c>
      <c r="G33" t="s">
        <v>702</v>
      </c>
      <c r="H33">
        <v>1</v>
      </c>
      <c r="I33">
        <v>5200</v>
      </c>
      <c r="J33">
        <v>5200</v>
      </c>
      <c r="K33" t="str">
        <f>IFERROR(IF(B33&lt;&gt;"", TEXT(VLOOKUP(B33, 'Expected Date'!A:B, 2, FALSE) + DATE(RIGHT(C33,2),MID(C33,4,2),LEFT(C33,2)), "dd/mm/yy"), ""), "")</f>
        <v>17/08/23</v>
      </c>
      <c r="L33" t="s">
        <v>38</v>
      </c>
      <c r="M33" t="s">
        <v>48</v>
      </c>
      <c r="N33" t="s">
        <v>237</v>
      </c>
      <c r="O33" t="s">
        <v>330</v>
      </c>
      <c r="P33">
        <v>23490260</v>
      </c>
      <c r="Q33" t="s">
        <v>701</v>
      </c>
      <c r="R33" t="s">
        <v>702</v>
      </c>
      <c r="S33">
        <v>1</v>
      </c>
      <c r="T33">
        <v>5200</v>
      </c>
      <c r="U33">
        <v>5200</v>
      </c>
      <c r="V33" t="str">
        <f t="shared" si="17"/>
        <v>Accepted</v>
      </c>
      <c r="W33">
        <f>IFERROR(VLOOKUP(N33, Payment_Terms!A:B, 2, FALSE), "Payment term not found!")</f>
        <v>0</v>
      </c>
      <c r="X33" t="str">
        <f>IFERROR(VLOOKUP(R33, Item_Category!A:B, 2, FALSE), "Uncategorized")</f>
        <v>Sodium molybdate.2H2O</v>
      </c>
      <c r="Y33" s="5">
        <f t="shared" si="4"/>
        <v>0</v>
      </c>
      <c r="Z33">
        <f t="shared" si="5"/>
        <v>5</v>
      </c>
      <c r="AA33">
        <f t="shared" si="6"/>
        <v>37</v>
      </c>
      <c r="AB33">
        <f t="shared" si="7"/>
        <v>1</v>
      </c>
      <c r="AC33" s="10">
        <f t="shared" si="8"/>
        <v>47</v>
      </c>
      <c r="AD33" s="5">
        <f t="shared" si="0"/>
        <v>1</v>
      </c>
      <c r="AE33" s="5">
        <f t="shared" si="1"/>
        <v>1</v>
      </c>
      <c r="AF33" s="5">
        <f t="shared" si="9"/>
        <v>0</v>
      </c>
      <c r="AG33">
        <f>IF(B33&lt;&gt;"", COUNTIFS($B$2:B33, B33), "")</f>
        <v>2</v>
      </c>
      <c r="AH33">
        <f t="shared" si="10"/>
        <v>5</v>
      </c>
      <c r="AI33" t="str">
        <f>VLOOKUP(B33, Currency!A:B, 2, FALSE)</f>
        <v>INR</v>
      </c>
      <c r="AJ33">
        <f t="shared" si="2"/>
        <v>4</v>
      </c>
      <c r="AK33">
        <f t="shared" si="11"/>
        <v>8</v>
      </c>
      <c r="AL33" t="str">
        <f t="shared" si="12"/>
        <v>August</v>
      </c>
      <c r="AM33">
        <f t="shared" si="13"/>
        <v>2023</v>
      </c>
      <c r="AN33" t="str">
        <f t="shared" si="3"/>
        <v>0Forbes Pharmaceuticals</v>
      </c>
      <c r="AO33">
        <f>IF(COUNTIF($AN$2:AN33, AN33)=1, 1, 0)</f>
        <v>0</v>
      </c>
      <c r="AP33" t="str">
        <f t="shared" si="14"/>
        <v>&gt;3</v>
      </c>
      <c r="AQ33" t="str">
        <f t="shared" si="15"/>
        <v>&gt;3</v>
      </c>
      <c r="AR33" t="str">
        <f t="shared" si="16"/>
        <v>&lt;=3</v>
      </c>
    </row>
    <row r="34" spans="1:44" x14ac:dyDescent="0.3">
      <c r="A34" t="s">
        <v>33</v>
      </c>
      <c r="B34" t="s">
        <v>703</v>
      </c>
      <c r="C34" t="s">
        <v>172</v>
      </c>
      <c r="D34">
        <v>1175</v>
      </c>
      <c r="E34">
        <v>23410001</v>
      </c>
      <c r="F34" t="s">
        <v>704</v>
      </c>
      <c r="G34" t="s">
        <v>705</v>
      </c>
      <c r="H34">
        <v>10000</v>
      </c>
      <c r="I34">
        <v>173</v>
      </c>
      <c r="J34">
        <v>1730000</v>
      </c>
      <c r="K34" t="str">
        <f>IFERROR(IF(B34&lt;&gt;"", TEXT(VLOOKUP(B34, 'Expected Date'!A:B, 2, FALSE) + DATE(RIGHT(C34,2),MID(C34,4,2),LEFT(C34,2)), "dd/mm/yy"), ""), "")</f>
        <v>16/04/23</v>
      </c>
      <c r="L34" t="s">
        <v>38</v>
      </c>
      <c r="M34" t="s">
        <v>48</v>
      </c>
      <c r="N34" t="s">
        <v>237</v>
      </c>
      <c r="O34" t="s">
        <v>65</v>
      </c>
      <c r="P34">
        <v>23490006</v>
      </c>
      <c r="Q34" t="s">
        <v>704</v>
      </c>
      <c r="R34" t="s">
        <v>705</v>
      </c>
      <c r="S34">
        <v>10000</v>
      </c>
      <c r="T34">
        <v>173</v>
      </c>
      <c r="U34">
        <v>1730000</v>
      </c>
      <c r="V34" t="str">
        <f t="shared" si="17"/>
        <v>Accepted</v>
      </c>
      <c r="W34">
        <f>IFERROR(VLOOKUP(N34, Payment_Terms!A:B, 2, FALSE), "Payment term not found!")</f>
        <v>0</v>
      </c>
      <c r="X34" t="str">
        <f>IFERROR(VLOOKUP(R34, Item_Category!A:B, 2, FALSE), "Uncategorized")</f>
        <v>Ferrous Fumarate</v>
      </c>
      <c r="Y34" s="5">
        <f t="shared" si="4"/>
        <v>0</v>
      </c>
      <c r="Z34">
        <f t="shared" si="5"/>
        <v>5</v>
      </c>
      <c r="AA34">
        <f t="shared" si="6"/>
        <v>3</v>
      </c>
      <c r="AB34">
        <f t="shared" si="7"/>
        <v>4</v>
      </c>
      <c r="AC34" s="10">
        <f t="shared" si="8"/>
        <v>13</v>
      </c>
      <c r="AD34" s="5">
        <f t="shared" ref="AD34:AD65" si="18">IF(V34="Accepted",1,0)</f>
        <v>1</v>
      </c>
      <c r="AE34" s="5">
        <f t="shared" ref="AE34:AE65" si="19">ROUNDUP((SUMIFS(S:S, B:B, B34, V:V, "Accepted")/SUMIF(B:B,B34,S:S)),2)</f>
        <v>1</v>
      </c>
      <c r="AF34" s="5">
        <f t="shared" si="9"/>
        <v>0</v>
      </c>
      <c r="AG34">
        <f>IF(B34&lt;&gt;"", COUNTIFS($B$2:B34, B34), "")</f>
        <v>1</v>
      </c>
      <c r="AH34">
        <f t="shared" si="10"/>
        <v>5</v>
      </c>
      <c r="AI34" t="str">
        <f>VLOOKUP(B34, Currency!A:B, 2, FALSE)</f>
        <v>INR</v>
      </c>
      <c r="AJ34">
        <f t="shared" ref="AJ34:AJ65" si="20">_xlfn.CEILING.MATH(((0.4*AH34)+(0.3*Z34)+(0.3*AB34)),1)</f>
        <v>5</v>
      </c>
      <c r="AK34">
        <f t="shared" si="11"/>
        <v>4</v>
      </c>
      <c r="AL34" t="str">
        <f t="shared" si="12"/>
        <v>April</v>
      </c>
      <c r="AM34">
        <f t="shared" si="13"/>
        <v>2023</v>
      </c>
      <c r="AN34" t="str">
        <f t="shared" ref="AN34:AN65" si="21">W34&amp;B34</f>
        <v>0Agarwal Life Science Pvt Ltd</v>
      </c>
      <c r="AO34">
        <f>IF(COUNTIF($AN$2:AN34, AN34)=1, 1, 0)</f>
        <v>1</v>
      </c>
      <c r="AP34" t="str">
        <f t="shared" si="14"/>
        <v>&gt;3</v>
      </c>
      <c r="AQ34" t="str">
        <f t="shared" si="15"/>
        <v>&gt;3</v>
      </c>
      <c r="AR34" t="str">
        <f t="shared" si="16"/>
        <v>&gt;3</v>
      </c>
    </row>
    <row r="35" spans="1:44" x14ac:dyDescent="0.3">
      <c r="A35" t="s">
        <v>33</v>
      </c>
      <c r="B35" t="s">
        <v>706</v>
      </c>
      <c r="C35" t="s">
        <v>172</v>
      </c>
      <c r="D35">
        <v>1177</v>
      </c>
      <c r="E35">
        <v>23410002</v>
      </c>
      <c r="F35" t="s">
        <v>707</v>
      </c>
      <c r="G35" t="s">
        <v>708</v>
      </c>
      <c r="H35">
        <v>150</v>
      </c>
      <c r="I35">
        <v>2150</v>
      </c>
      <c r="J35">
        <v>322500</v>
      </c>
      <c r="K35" t="str">
        <f>IFERROR(IF(B35&lt;&gt;"", TEXT(VLOOKUP(B35, 'Expected Date'!A:B, 2, FALSE) + DATE(RIGHT(C35,2),MID(C35,4,2),LEFT(C35,2)), "dd/mm/yy"), ""), "")</f>
        <v>14/04/23</v>
      </c>
      <c r="L35" t="s">
        <v>38</v>
      </c>
      <c r="M35" t="s">
        <v>48</v>
      </c>
      <c r="N35" t="s">
        <v>361</v>
      </c>
      <c r="O35" t="s">
        <v>65</v>
      </c>
      <c r="P35">
        <v>23490008</v>
      </c>
      <c r="Q35" t="s">
        <v>707</v>
      </c>
      <c r="R35" t="s">
        <v>708</v>
      </c>
      <c r="S35">
        <v>150</v>
      </c>
      <c r="T35">
        <v>2150</v>
      </c>
      <c r="U35">
        <v>322500</v>
      </c>
      <c r="V35" t="str">
        <f t="shared" si="17"/>
        <v>Accepted</v>
      </c>
      <c r="W35">
        <f>IFERROR(VLOOKUP(N35, Payment_Terms!A:B, 2, FALSE), "Payment term not found!")</f>
        <v>0</v>
      </c>
      <c r="X35" t="str">
        <f>IFERROR(VLOOKUP(R35, Item_Category!A:B, 2, FALSE), "Uncategorized")</f>
        <v>Vitamin B12 1% 99% Starch</v>
      </c>
      <c r="Y35" s="5">
        <f t="shared" si="4"/>
        <v>0</v>
      </c>
      <c r="Z35">
        <f t="shared" si="5"/>
        <v>5</v>
      </c>
      <c r="AA35">
        <f t="shared" si="6"/>
        <v>5</v>
      </c>
      <c r="AB35">
        <f t="shared" si="7"/>
        <v>3</v>
      </c>
      <c r="AC35" s="10">
        <f t="shared" si="8"/>
        <v>13</v>
      </c>
      <c r="AD35" s="5">
        <f t="shared" si="18"/>
        <v>1</v>
      </c>
      <c r="AE35" s="5">
        <f t="shared" si="19"/>
        <v>1</v>
      </c>
      <c r="AF35" s="5">
        <f t="shared" si="9"/>
        <v>0</v>
      </c>
      <c r="AG35">
        <f>IF(B35&lt;&gt;"", COUNTIFS($B$2:B35, B35), "")</f>
        <v>1</v>
      </c>
      <c r="AH35">
        <f t="shared" si="10"/>
        <v>5</v>
      </c>
      <c r="AI35" t="str">
        <f>VLOOKUP(B35, Currency!A:B, 2, FALSE)</f>
        <v>INR</v>
      </c>
      <c r="AJ35">
        <f t="shared" si="20"/>
        <v>5</v>
      </c>
      <c r="AK35">
        <f t="shared" si="11"/>
        <v>4</v>
      </c>
      <c r="AL35" t="str">
        <f t="shared" si="12"/>
        <v>April</v>
      </c>
      <c r="AM35">
        <f t="shared" si="13"/>
        <v>2023</v>
      </c>
      <c r="AN35" t="str">
        <f t="shared" si="21"/>
        <v>0VITAL THERAPEUTICS AND FORMULATIONS PRIVATE LIMITED</v>
      </c>
      <c r="AO35">
        <f>IF(COUNTIF($AN$2:AN35, AN35)=1, 1, 0)</f>
        <v>1</v>
      </c>
      <c r="AP35" t="str">
        <f t="shared" si="14"/>
        <v>&gt;3</v>
      </c>
      <c r="AQ35" t="str">
        <f t="shared" si="15"/>
        <v>&gt;3</v>
      </c>
      <c r="AR35" t="str">
        <f t="shared" si="16"/>
        <v>&lt;=3</v>
      </c>
    </row>
    <row r="36" spans="1:44" x14ac:dyDescent="0.3">
      <c r="A36" t="s">
        <v>33</v>
      </c>
      <c r="B36" t="s">
        <v>709</v>
      </c>
      <c r="C36" t="s">
        <v>194</v>
      </c>
      <c r="D36">
        <v>4628</v>
      </c>
      <c r="E36">
        <v>23410216</v>
      </c>
      <c r="F36" t="s">
        <v>710</v>
      </c>
      <c r="G36" t="s">
        <v>711</v>
      </c>
      <c r="H36">
        <v>1</v>
      </c>
      <c r="I36">
        <v>3750</v>
      </c>
      <c r="J36">
        <v>3750</v>
      </c>
      <c r="K36" t="str">
        <f>IFERROR(IF(B36&lt;&gt;"", TEXT(VLOOKUP(B36, 'Expected Date'!A:B, 2, FALSE) + DATE(RIGHT(C36,2),MID(C36,4,2),LEFT(C36,2)), "dd/mm/yy"), ""), "")</f>
        <v>06/10/23</v>
      </c>
      <c r="L36" t="s">
        <v>38</v>
      </c>
      <c r="M36" t="s">
        <v>48</v>
      </c>
      <c r="N36" t="s">
        <v>470</v>
      </c>
      <c r="O36" t="s">
        <v>527</v>
      </c>
      <c r="P36">
        <v>23490278</v>
      </c>
      <c r="Q36" t="s">
        <v>710</v>
      </c>
      <c r="R36" t="s">
        <v>711</v>
      </c>
      <c r="S36">
        <v>1</v>
      </c>
      <c r="T36">
        <v>3750</v>
      </c>
      <c r="U36">
        <v>3750</v>
      </c>
      <c r="V36" t="str">
        <f t="shared" si="17"/>
        <v>Accepted</v>
      </c>
      <c r="W36">
        <f>IFERROR(VLOOKUP(N36, Payment_Terms!A:B, 2, FALSE), "Payment term not found!")</f>
        <v>30</v>
      </c>
      <c r="X36" t="str">
        <f>IFERROR(VLOOKUP(R36, Item_Category!A:B, 2, FALSE), "Uncategorized")</f>
        <v>Calcium d Pantothenate</v>
      </c>
      <c r="Y36" s="5">
        <f t="shared" si="4"/>
        <v>0</v>
      </c>
      <c r="Z36">
        <f t="shared" si="5"/>
        <v>5</v>
      </c>
      <c r="AA36">
        <f t="shared" si="6"/>
        <v>0</v>
      </c>
      <c r="AB36">
        <f t="shared" si="7"/>
        <v>5</v>
      </c>
      <c r="AC36" s="10">
        <f t="shared" si="8"/>
        <v>10</v>
      </c>
      <c r="AD36" s="5">
        <f t="shared" si="18"/>
        <v>1</v>
      </c>
      <c r="AE36" s="5">
        <f t="shared" si="19"/>
        <v>1</v>
      </c>
      <c r="AF36" s="5">
        <f t="shared" si="9"/>
        <v>0</v>
      </c>
      <c r="AG36">
        <f>IF(B36&lt;&gt;"", COUNTIFS($B$2:B36, B36), "")</f>
        <v>1</v>
      </c>
      <c r="AH36">
        <f t="shared" si="10"/>
        <v>5</v>
      </c>
      <c r="AI36" t="str">
        <f>VLOOKUP(B36, Currency!A:B, 2, FALSE)</f>
        <v>INR</v>
      </c>
      <c r="AJ36">
        <f t="shared" si="20"/>
        <v>5</v>
      </c>
      <c r="AK36">
        <f t="shared" si="11"/>
        <v>9</v>
      </c>
      <c r="AL36" t="str">
        <f t="shared" si="12"/>
        <v>September</v>
      </c>
      <c r="AM36">
        <f t="shared" si="13"/>
        <v>2023</v>
      </c>
      <c r="AN36" t="str">
        <f t="shared" si="21"/>
        <v>30GD Nutricare</v>
      </c>
      <c r="AO36">
        <f>IF(COUNTIF($AN$2:AN36, AN36)=1, 1, 0)</f>
        <v>1</v>
      </c>
      <c r="AP36" t="str">
        <f t="shared" si="14"/>
        <v>&gt;3</v>
      </c>
      <c r="AQ36" t="str">
        <f t="shared" si="15"/>
        <v>&gt;3</v>
      </c>
      <c r="AR36" t="str">
        <f t="shared" si="16"/>
        <v>&gt;3</v>
      </c>
    </row>
    <row r="37" spans="1:44" x14ac:dyDescent="0.3">
      <c r="A37" t="s">
        <v>33</v>
      </c>
      <c r="B37" t="s">
        <v>692</v>
      </c>
      <c r="C37" t="s">
        <v>394</v>
      </c>
      <c r="D37">
        <v>3795</v>
      </c>
      <c r="E37">
        <v>23410142</v>
      </c>
      <c r="F37" t="s">
        <v>712</v>
      </c>
      <c r="G37" t="s">
        <v>713</v>
      </c>
      <c r="H37">
        <v>100</v>
      </c>
      <c r="I37">
        <v>13.5</v>
      </c>
      <c r="J37">
        <v>1350</v>
      </c>
      <c r="K37" t="str">
        <f>IFERROR(IF(B37&lt;&gt;"", TEXT(VLOOKUP(B37, 'Expected Date'!A:B, 2, FALSE) + DATE(RIGHT(C37,2),MID(C37,4,2),LEFT(C37,2)), "dd/mm/yy"), ""), "")</f>
        <v>22/08/23</v>
      </c>
      <c r="L37" t="s">
        <v>38</v>
      </c>
      <c r="M37" t="s">
        <v>618</v>
      </c>
      <c r="N37" t="s">
        <v>691</v>
      </c>
      <c r="O37" t="s">
        <v>199</v>
      </c>
      <c r="P37">
        <v>23490198</v>
      </c>
      <c r="Q37" t="s">
        <v>712</v>
      </c>
      <c r="R37" t="s">
        <v>713</v>
      </c>
      <c r="S37">
        <v>100</v>
      </c>
      <c r="T37">
        <v>13.5</v>
      </c>
      <c r="U37">
        <v>1350</v>
      </c>
      <c r="V37" t="str">
        <f t="shared" si="17"/>
        <v>Accepted</v>
      </c>
      <c r="W37">
        <f>IFERROR(VLOOKUP(N37, Payment_Terms!A:B, 2, FALSE), "Payment term not found!")</f>
        <v>0</v>
      </c>
      <c r="X37" t="str">
        <f>IFERROR(VLOOKUP(R37, Item_Category!A:B, 2, FALSE), "Uncategorized")</f>
        <v>Edge Board - 50 X 50 X 5 X 820</v>
      </c>
      <c r="Y37" s="5">
        <f t="shared" si="4"/>
        <v>0</v>
      </c>
      <c r="Z37">
        <f t="shared" si="5"/>
        <v>5</v>
      </c>
      <c r="AA37">
        <f t="shared" si="6"/>
        <v>4</v>
      </c>
      <c r="AB37">
        <f t="shared" si="7"/>
        <v>4</v>
      </c>
      <c r="AC37" s="10">
        <f t="shared" si="8"/>
        <v>9</v>
      </c>
      <c r="AD37" s="5">
        <f t="shared" si="18"/>
        <v>1</v>
      </c>
      <c r="AE37" s="5">
        <f t="shared" si="19"/>
        <v>1</v>
      </c>
      <c r="AF37" s="5">
        <f t="shared" si="9"/>
        <v>0</v>
      </c>
      <c r="AG37">
        <f>IF(B37&lt;&gt;"", COUNTIFS($B$2:B37, B37), "")</f>
        <v>2</v>
      </c>
      <c r="AH37">
        <f t="shared" si="10"/>
        <v>5</v>
      </c>
      <c r="AI37" t="str">
        <f>VLOOKUP(B37, Currency!A:B, 2, FALSE)</f>
        <v>INR</v>
      </c>
      <c r="AJ37">
        <f t="shared" si="20"/>
        <v>5</v>
      </c>
      <c r="AK37">
        <f t="shared" si="11"/>
        <v>8</v>
      </c>
      <c r="AL37" t="str">
        <f t="shared" si="12"/>
        <v>August</v>
      </c>
      <c r="AM37">
        <f t="shared" si="13"/>
        <v>2023</v>
      </c>
      <c r="AN37" t="str">
        <f t="shared" si="21"/>
        <v>0EDGE PACK SOLUTIONS</v>
      </c>
      <c r="AO37">
        <f>IF(COUNTIF($AN$2:AN37, AN37)=1, 1, 0)</f>
        <v>0</v>
      </c>
      <c r="AP37" t="str">
        <f t="shared" si="14"/>
        <v>&gt;3</v>
      </c>
      <c r="AQ37" t="str">
        <f t="shared" si="15"/>
        <v>&gt;3</v>
      </c>
      <c r="AR37" t="str">
        <f t="shared" si="16"/>
        <v>&gt;3</v>
      </c>
    </row>
    <row r="38" spans="1:44" x14ac:dyDescent="0.3">
      <c r="A38" t="s">
        <v>33</v>
      </c>
      <c r="B38" t="s">
        <v>358</v>
      </c>
      <c r="C38" t="s">
        <v>87</v>
      </c>
      <c r="D38">
        <v>3049</v>
      </c>
      <c r="E38">
        <v>23410089</v>
      </c>
      <c r="F38" t="s">
        <v>714</v>
      </c>
      <c r="G38" t="s">
        <v>715</v>
      </c>
      <c r="H38">
        <v>25</v>
      </c>
      <c r="I38">
        <v>130</v>
      </c>
      <c r="J38">
        <v>3250</v>
      </c>
      <c r="K38" t="str">
        <f>IFERROR(IF(B38&lt;&gt;"", TEXT(VLOOKUP(B38, 'Expected Date'!A:B, 2, FALSE) + DATE(RIGHT(C38,2),MID(C38,4,2),LEFT(C38,2)), "dd/mm/yy"), ""), "")</f>
        <v>14/07/23</v>
      </c>
      <c r="L38" t="s">
        <v>68</v>
      </c>
      <c r="M38" t="s">
        <v>48</v>
      </c>
      <c r="N38" t="s">
        <v>470</v>
      </c>
      <c r="O38" t="s">
        <v>116</v>
      </c>
      <c r="P38">
        <v>23490128</v>
      </c>
      <c r="Q38" t="s">
        <v>714</v>
      </c>
      <c r="R38" t="s">
        <v>715</v>
      </c>
      <c r="S38">
        <v>20</v>
      </c>
      <c r="T38">
        <v>130</v>
      </c>
      <c r="U38">
        <v>2600</v>
      </c>
      <c r="V38" t="str">
        <f t="shared" si="17"/>
        <v>Accepted</v>
      </c>
      <c r="W38">
        <f>IFERROR(VLOOKUP(N38, Payment_Terms!A:B, 2, FALSE), "Payment term not found!")</f>
        <v>30</v>
      </c>
      <c r="X38" t="str">
        <f>IFERROR(VLOOKUP(R38, Item_Category!A:B, 2, FALSE), "Uncategorized")</f>
        <v>Magnesium stearate</v>
      </c>
      <c r="Y38" s="5">
        <f t="shared" si="4"/>
        <v>0.2</v>
      </c>
      <c r="Z38">
        <f t="shared" si="5"/>
        <v>1</v>
      </c>
      <c r="AA38">
        <f t="shared" si="6"/>
        <v>4</v>
      </c>
      <c r="AB38">
        <f t="shared" si="7"/>
        <v>4</v>
      </c>
      <c r="AC38" s="10">
        <f t="shared" si="8"/>
        <v>6</v>
      </c>
      <c r="AD38" s="5">
        <f t="shared" si="18"/>
        <v>1</v>
      </c>
      <c r="AE38" s="5">
        <f t="shared" si="19"/>
        <v>1</v>
      </c>
      <c r="AF38" s="5">
        <f t="shared" si="9"/>
        <v>0</v>
      </c>
      <c r="AG38">
        <f>IF(B38&lt;&gt;"", COUNTIFS($B$2:B38, B38), "")</f>
        <v>2</v>
      </c>
      <c r="AH38">
        <f t="shared" si="10"/>
        <v>5</v>
      </c>
      <c r="AI38" t="str">
        <f>VLOOKUP(B38, Currency!A:B, 2, FALSE)</f>
        <v>INR</v>
      </c>
      <c r="AJ38">
        <f t="shared" si="20"/>
        <v>4</v>
      </c>
      <c r="AK38">
        <f t="shared" si="11"/>
        <v>7</v>
      </c>
      <c r="AL38" t="str">
        <f t="shared" si="12"/>
        <v>July</v>
      </c>
      <c r="AM38">
        <f t="shared" si="13"/>
        <v>2023</v>
      </c>
      <c r="AN38" t="str">
        <f t="shared" si="21"/>
        <v>30Sigachi Industries Limited</v>
      </c>
      <c r="AO38">
        <f>IF(COUNTIF($AN$2:AN38, AN38)=1, 1, 0)</f>
        <v>0</v>
      </c>
      <c r="AP38" t="str">
        <f t="shared" si="14"/>
        <v>&gt;3</v>
      </c>
      <c r="AQ38" t="str">
        <f t="shared" si="15"/>
        <v>&lt;=3</v>
      </c>
      <c r="AR38" t="str">
        <f t="shared" si="16"/>
        <v>&gt;3</v>
      </c>
    </row>
    <row r="39" spans="1:44" x14ac:dyDescent="0.3">
      <c r="A39" t="s">
        <v>33</v>
      </c>
      <c r="B39" t="s">
        <v>716</v>
      </c>
      <c r="C39" t="s">
        <v>455</v>
      </c>
      <c r="D39">
        <v>2958</v>
      </c>
      <c r="E39">
        <v>23410078</v>
      </c>
      <c r="F39" t="s">
        <v>717</v>
      </c>
      <c r="G39" t="s">
        <v>718</v>
      </c>
      <c r="H39">
        <v>50</v>
      </c>
      <c r="I39">
        <v>15</v>
      </c>
      <c r="J39">
        <v>750</v>
      </c>
      <c r="K39" t="str">
        <f>IFERROR(IF(B39&lt;&gt;"", TEXT(VLOOKUP(B39, 'Expected Date'!A:B, 2, FALSE) + DATE(RIGHT(C39,2),MID(C39,4,2),LEFT(C39,2)), "dd/mm/yy"), ""), "")</f>
        <v>25/07/23</v>
      </c>
      <c r="L39" t="s">
        <v>38</v>
      </c>
      <c r="M39" t="s">
        <v>48</v>
      </c>
      <c r="N39" t="s">
        <v>470</v>
      </c>
      <c r="O39" t="s">
        <v>127</v>
      </c>
      <c r="P39">
        <v>23490151</v>
      </c>
      <c r="Q39" t="s">
        <v>717</v>
      </c>
      <c r="R39" t="s">
        <v>718</v>
      </c>
      <c r="S39">
        <v>50</v>
      </c>
      <c r="T39">
        <v>15</v>
      </c>
      <c r="U39">
        <v>750</v>
      </c>
      <c r="V39" t="str">
        <f t="shared" si="17"/>
        <v>Accepted</v>
      </c>
      <c r="W39">
        <f>IFERROR(VLOOKUP(N39, Payment_Terms!A:B, 2, FALSE), "Payment term not found!")</f>
        <v>30</v>
      </c>
      <c r="X39" t="str">
        <f>IFERROR(VLOOKUP(R39, Item_Category!A:B, 2, FALSE), "Uncategorized")</f>
        <v>Calcium Carbonate Anhydrous</v>
      </c>
      <c r="Y39" s="5">
        <f t="shared" si="4"/>
        <v>0</v>
      </c>
      <c r="Z39">
        <f t="shared" si="5"/>
        <v>5</v>
      </c>
      <c r="AA39">
        <f t="shared" si="6"/>
        <v>8</v>
      </c>
      <c r="AB39">
        <f t="shared" si="7"/>
        <v>2</v>
      </c>
      <c r="AC39" s="10">
        <f t="shared" si="8"/>
        <v>23</v>
      </c>
      <c r="AD39" s="5">
        <f t="shared" si="18"/>
        <v>1</v>
      </c>
      <c r="AE39" s="5">
        <f t="shared" si="19"/>
        <v>1</v>
      </c>
      <c r="AF39" s="5">
        <f t="shared" si="9"/>
        <v>0</v>
      </c>
      <c r="AG39">
        <f>IF(B39&lt;&gt;"", COUNTIFS($B$2:B39, B39), "")</f>
        <v>1</v>
      </c>
      <c r="AH39">
        <f t="shared" si="10"/>
        <v>5</v>
      </c>
      <c r="AI39" t="str">
        <f>VLOOKUP(B39, Currency!A:B, 2, FALSE)</f>
        <v>INR</v>
      </c>
      <c r="AJ39">
        <f t="shared" si="20"/>
        <v>5</v>
      </c>
      <c r="AK39">
        <f t="shared" si="11"/>
        <v>7</v>
      </c>
      <c r="AL39" t="str">
        <f t="shared" si="12"/>
        <v>July</v>
      </c>
      <c r="AM39">
        <f t="shared" si="13"/>
        <v>2023</v>
      </c>
      <c r="AN39" t="str">
        <f t="shared" si="21"/>
        <v>30HIMACHAL POLYOLEFINS LTD .</v>
      </c>
      <c r="AO39">
        <f>IF(COUNTIF($AN$2:AN39, AN39)=1, 1, 0)</f>
        <v>1</v>
      </c>
      <c r="AP39" t="str">
        <f t="shared" si="14"/>
        <v>&gt;3</v>
      </c>
      <c r="AQ39" t="str">
        <f t="shared" si="15"/>
        <v>&gt;3</v>
      </c>
      <c r="AR39" t="str">
        <f t="shared" si="16"/>
        <v>&lt;=3</v>
      </c>
    </row>
    <row r="40" spans="1:44" x14ac:dyDescent="0.3">
      <c r="A40" t="s">
        <v>33</v>
      </c>
      <c r="B40" t="s">
        <v>234</v>
      </c>
      <c r="C40" t="s">
        <v>332</v>
      </c>
      <c r="D40">
        <v>4095</v>
      </c>
      <c r="E40">
        <v>23410175</v>
      </c>
      <c r="F40" t="s">
        <v>719</v>
      </c>
      <c r="G40" t="s">
        <v>720</v>
      </c>
      <c r="H40">
        <v>0.3</v>
      </c>
      <c r="I40">
        <v>3</v>
      </c>
      <c r="J40">
        <v>0.9</v>
      </c>
      <c r="K40" t="str">
        <f>IFERROR(IF(B40&lt;&gt;"", TEXT(VLOOKUP(B40, 'Expected Date'!A:B, 2, FALSE) + DATE(RIGHT(C40,2),MID(C40,4,2),LEFT(C40,2)), "dd/mm/yy"), ""), "")</f>
        <v>08/09/23</v>
      </c>
      <c r="L40" t="s">
        <v>38</v>
      </c>
      <c r="M40" t="s">
        <v>48</v>
      </c>
      <c r="N40" t="s">
        <v>470</v>
      </c>
      <c r="O40" t="s">
        <v>286</v>
      </c>
      <c r="P40">
        <v>23490211</v>
      </c>
      <c r="Q40" t="s">
        <v>719</v>
      </c>
      <c r="R40" t="s">
        <v>720</v>
      </c>
      <c r="S40">
        <v>0.3</v>
      </c>
      <c r="T40">
        <v>3</v>
      </c>
      <c r="U40">
        <v>0.9</v>
      </c>
      <c r="V40" t="str">
        <f t="shared" si="17"/>
        <v>Accepted</v>
      </c>
      <c r="W40">
        <f>IFERROR(VLOOKUP(N40, Payment_Terms!A:B, 2, FALSE), "Payment term not found!")</f>
        <v>30</v>
      </c>
      <c r="X40" t="str">
        <f>IFERROR(VLOOKUP(R40, Item_Category!A:B, 2, FALSE), "Uncategorized")</f>
        <v>Tri basic calcium phosphate</v>
      </c>
      <c r="Y40" s="5">
        <f t="shared" si="4"/>
        <v>0</v>
      </c>
      <c r="Z40">
        <f t="shared" si="5"/>
        <v>5</v>
      </c>
      <c r="AA40">
        <f t="shared" si="6"/>
        <v>-8</v>
      </c>
      <c r="AB40">
        <f t="shared" si="7"/>
        <v>5</v>
      </c>
      <c r="AC40" s="10">
        <f t="shared" si="8"/>
        <v>2</v>
      </c>
      <c r="AD40" s="5">
        <f t="shared" si="18"/>
        <v>1</v>
      </c>
      <c r="AE40" s="5">
        <f t="shared" si="19"/>
        <v>1</v>
      </c>
      <c r="AF40" s="5">
        <f t="shared" si="9"/>
        <v>0</v>
      </c>
      <c r="AG40">
        <f>IF(B40&lt;&gt;"", COUNTIFS($B$2:B40, B40), "")</f>
        <v>1</v>
      </c>
      <c r="AH40">
        <f t="shared" si="10"/>
        <v>5</v>
      </c>
      <c r="AI40" t="str">
        <f>VLOOKUP(B40, Currency!A:B, 2, FALSE)</f>
        <v>INR</v>
      </c>
      <c r="AJ40">
        <f t="shared" si="20"/>
        <v>5</v>
      </c>
      <c r="AK40">
        <f t="shared" si="11"/>
        <v>8</v>
      </c>
      <c r="AL40" t="str">
        <f t="shared" si="12"/>
        <v>August</v>
      </c>
      <c r="AM40">
        <f t="shared" si="13"/>
        <v>2023</v>
      </c>
      <c r="AN40" t="str">
        <f t="shared" si="21"/>
        <v>30Sbf pharma</v>
      </c>
      <c r="AO40">
        <f>IF(COUNTIF($AN$2:AN40, AN40)=1, 1, 0)</f>
        <v>1</v>
      </c>
      <c r="AP40" t="str">
        <f t="shared" si="14"/>
        <v>&gt;3</v>
      </c>
      <c r="AQ40" t="str">
        <f t="shared" si="15"/>
        <v>&gt;3</v>
      </c>
      <c r="AR40" t="str">
        <f t="shared" si="16"/>
        <v>&gt;3</v>
      </c>
    </row>
    <row r="41" spans="1:44" x14ac:dyDescent="0.3">
      <c r="A41" t="s">
        <v>111</v>
      </c>
      <c r="B41" t="s">
        <v>721</v>
      </c>
      <c r="C41" t="s">
        <v>293</v>
      </c>
      <c r="D41">
        <v>3922</v>
      </c>
      <c r="E41">
        <v>23410153</v>
      </c>
      <c r="F41" t="s">
        <v>722</v>
      </c>
      <c r="G41" t="s">
        <v>723</v>
      </c>
      <c r="H41">
        <v>0.5</v>
      </c>
      <c r="I41">
        <v>6</v>
      </c>
      <c r="J41">
        <v>3</v>
      </c>
      <c r="K41" t="str">
        <f>IFERROR(IF(B41&lt;&gt;"", TEXT(VLOOKUP(B41, 'Expected Date'!A:B, 2, FALSE) + DATE(RIGHT(C41,2),MID(C41,4,2),LEFT(C41,2)), "dd/mm/yy"), ""), "")</f>
        <v>01/09/23</v>
      </c>
      <c r="L41" t="s">
        <v>38</v>
      </c>
      <c r="M41" t="s">
        <v>48</v>
      </c>
      <c r="N41" t="s">
        <v>470</v>
      </c>
      <c r="O41" t="s">
        <v>293</v>
      </c>
      <c r="P41">
        <v>23490183</v>
      </c>
      <c r="Q41" t="s">
        <v>722</v>
      </c>
      <c r="R41" t="s">
        <v>723</v>
      </c>
      <c r="S41">
        <v>0.5</v>
      </c>
      <c r="T41">
        <v>6</v>
      </c>
      <c r="U41">
        <v>3</v>
      </c>
      <c r="V41" t="str">
        <f t="shared" si="17"/>
        <v>Accepted</v>
      </c>
      <c r="W41">
        <f>IFERROR(VLOOKUP(N41, Payment_Terms!A:B, 2, FALSE), "Payment term not found!")</f>
        <v>30</v>
      </c>
      <c r="X41" t="str">
        <f>IFERROR(VLOOKUP(R41, Item_Category!A:B, 2, FALSE), "Uncategorized")</f>
        <v>Manganese Chloride</v>
      </c>
      <c r="Y41" s="5">
        <f t="shared" si="4"/>
        <v>0</v>
      </c>
      <c r="Z41">
        <f t="shared" si="5"/>
        <v>5</v>
      </c>
      <c r="AA41">
        <f t="shared" si="6"/>
        <v>-10</v>
      </c>
      <c r="AB41">
        <f t="shared" si="7"/>
        <v>5</v>
      </c>
      <c r="AC41" s="10">
        <f t="shared" si="8"/>
        <v>0</v>
      </c>
      <c r="AD41" s="5">
        <f t="shared" si="18"/>
        <v>1</v>
      </c>
      <c r="AE41" s="5">
        <f t="shared" si="19"/>
        <v>1</v>
      </c>
      <c r="AF41" s="5">
        <f t="shared" si="9"/>
        <v>0</v>
      </c>
      <c r="AG41">
        <f>IF(B41&lt;&gt;"", COUNTIFS($B$2:B41, B41), "")</f>
        <v>1</v>
      </c>
      <c r="AH41">
        <f t="shared" si="10"/>
        <v>5</v>
      </c>
      <c r="AI41" t="str">
        <f>VLOOKUP(B41, Currency!A:B, 2, FALSE)</f>
        <v>INR</v>
      </c>
      <c r="AJ41">
        <f t="shared" si="20"/>
        <v>5</v>
      </c>
      <c r="AK41">
        <f t="shared" si="11"/>
        <v>8</v>
      </c>
      <c r="AL41" t="str">
        <f t="shared" si="12"/>
        <v>August</v>
      </c>
      <c r="AM41">
        <f t="shared" si="13"/>
        <v>2023</v>
      </c>
      <c r="AN41" t="str">
        <f t="shared" si="21"/>
        <v>30Mangalam Chemicals</v>
      </c>
      <c r="AO41">
        <f>IF(COUNTIF($AN$2:AN41, AN41)=1, 1, 0)</f>
        <v>1</v>
      </c>
      <c r="AP41" t="str">
        <f t="shared" si="14"/>
        <v>&gt;3</v>
      </c>
      <c r="AQ41" t="str">
        <f t="shared" si="15"/>
        <v>&gt;3</v>
      </c>
      <c r="AR41" t="str">
        <f t="shared" si="16"/>
        <v>&gt;3</v>
      </c>
    </row>
    <row r="42" spans="1:44" x14ac:dyDescent="0.3">
      <c r="A42" t="s">
        <v>33</v>
      </c>
      <c r="B42" t="s">
        <v>724</v>
      </c>
      <c r="C42" t="s">
        <v>332</v>
      </c>
      <c r="D42">
        <v>4097</v>
      </c>
      <c r="E42">
        <v>23410177</v>
      </c>
      <c r="F42" t="s">
        <v>725</v>
      </c>
      <c r="G42" t="s">
        <v>726</v>
      </c>
      <c r="H42">
        <v>1</v>
      </c>
      <c r="I42">
        <v>1</v>
      </c>
      <c r="J42">
        <v>1</v>
      </c>
      <c r="K42" t="str">
        <f>IFERROR(IF(B42&lt;&gt;"", TEXT(VLOOKUP(B42, 'Expected Date'!A:B, 2, FALSE) + DATE(RIGHT(C42,2),MID(C42,4,2),LEFT(C42,2)), "dd/mm/yy"), ""), "")</f>
        <v>08/09/23</v>
      </c>
      <c r="L42" t="s">
        <v>38</v>
      </c>
      <c r="M42" t="s">
        <v>651</v>
      </c>
      <c r="N42" t="s">
        <v>470</v>
      </c>
      <c r="O42" t="s">
        <v>286</v>
      </c>
      <c r="P42">
        <v>23490210</v>
      </c>
      <c r="Q42" t="s">
        <v>725</v>
      </c>
      <c r="R42" t="s">
        <v>726</v>
      </c>
      <c r="S42">
        <v>1</v>
      </c>
      <c r="T42">
        <v>1</v>
      </c>
      <c r="U42">
        <v>1</v>
      </c>
      <c r="V42" t="str">
        <f t="shared" si="17"/>
        <v>Accepted</v>
      </c>
      <c r="W42">
        <f>IFERROR(VLOOKUP(N42, Payment_Terms!A:B, 2, FALSE), "Payment term not found!")</f>
        <v>30</v>
      </c>
      <c r="X42" t="str">
        <f>IFERROR(VLOOKUP(R42, Item_Category!A:B, 2, FALSE), "Uncategorized")</f>
        <v>Wheat starch</v>
      </c>
      <c r="Y42" s="5">
        <f t="shared" si="4"/>
        <v>0</v>
      </c>
      <c r="Z42">
        <f t="shared" si="5"/>
        <v>5</v>
      </c>
      <c r="AA42">
        <f t="shared" si="6"/>
        <v>-8</v>
      </c>
      <c r="AB42">
        <f t="shared" si="7"/>
        <v>5</v>
      </c>
      <c r="AC42" s="10">
        <f t="shared" si="8"/>
        <v>2</v>
      </c>
      <c r="AD42" s="5">
        <f t="shared" si="18"/>
        <v>1</v>
      </c>
      <c r="AE42" s="5">
        <f t="shared" si="19"/>
        <v>1</v>
      </c>
      <c r="AF42" s="5">
        <f t="shared" si="9"/>
        <v>0</v>
      </c>
      <c r="AG42">
        <f>IF(B42&lt;&gt;"", COUNTIFS($B$2:B42, B42), "")</f>
        <v>1</v>
      </c>
      <c r="AH42">
        <f t="shared" si="10"/>
        <v>5</v>
      </c>
      <c r="AI42" t="str">
        <f>VLOOKUP(B42, Currency!A:B, 2, FALSE)</f>
        <v>INR</v>
      </c>
      <c r="AJ42">
        <f t="shared" si="20"/>
        <v>5</v>
      </c>
      <c r="AK42">
        <f t="shared" si="11"/>
        <v>8</v>
      </c>
      <c r="AL42" t="str">
        <f t="shared" si="12"/>
        <v>August</v>
      </c>
      <c r="AM42">
        <f t="shared" si="13"/>
        <v>2023</v>
      </c>
      <c r="AN42" t="str">
        <f t="shared" si="21"/>
        <v>30CHRISTY FRIEDGRAM INDUSTRY</v>
      </c>
      <c r="AO42">
        <f>IF(COUNTIF($AN$2:AN42, AN42)=1, 1, 0)</f>
        <v>1</v>
      </c>
      <c r="AP42" t="str">
        <f t="shared" si="14"/>
        <v>&gt;3</v>
      </c>
      <c r="AQ42" t="str">
        <f t="shared" si="15"/>
        <v>&gt;3</v>
      </c>
      <c r="AR42" t="str">
        <f t="shared" si="16"/>
        <v>&gt;3</v>
      </c>
    </row>
    <row r="43" spans="1:44" x14ac:dyDescent="0.3">
      <c r="A43" t="s">
        <v>33</v>
      </c>
      <c r="B43" t="s">
        <v>234</v>
      </c>
      <c r="C43" t="s">
        <v>332</v>
      </c>
      <c r="D43">
        <v>4095</v>
      </c>
      <c r="E43">
        <v>23410175</v>
      </c>
      <c r="F43" t="s">
        <v>727</v>
      </c>
      <c r="G43" t="s">
        <v>728</v>
      </c>
      <c r="H43">
        <v>0.3</v>
      </c>
      <c r="I43">
        <v>2</v>
      </c>
      <c r="J43">
        <v>0.6</v>
      </c>
      <c r="K43" t="str">
        <f>IFERROR(IF(B43&lt;&gt;"", TEXT(VLOOKUP(B43, 'Expected Date'!A:B, 2, FALSE) + DATE(RIGHT(C43,2),MID(C43,4,2),LEFT(C43,2)), "dd/mm/yy"), ""), "")</f>
        <v>08/09/23</v>
      </c>
      <c r="L43" t="s">
        <v>38</v>
      </c>
      <c r="M43" t="s">
        <v>48</v>
      </c>
      <c r="N43" t="s">
        <v>470</v>
      </c>
      <c r="O43" t="s">
        <v>286</v>
      </c>
      <c r="P43">
        <v>23490211</v>
      </c>
      <c r="Q43" t="s">
        <v>727</v>
      </c>
      <c r="R43" t="s">
        <v>728</v>
      </c>
      <c r="S43">
        <v>0.3</v>
      </c>
      <c r="T43">
        <v>2</v>
      </c>
      <c r="U43">
        <v>0.6</v>
      </c>
      <c r="V43" t="str">
        <f t="shared" si="17"/>
        <v>Accepted</v>
      </c>
      <c r="W43">
        <f>IFERROR(VLOOKUP(N43, Payment_Terms!A:B, 2, FALSE), "Payment term not found!")</f>
        <v>30</v>
      </c>
      <c r="X43" t="str">
        <f>IFERROR(VLOOKUP(R43, Item_Category!A:B, 2, FALSE), "Uncategorized")</f>
        <v>Dibasic calcium phosphate anhydrous</v>
      </c>
      <c r="Y43" s="5">
        <f t="shared" si="4"/>
        <v>0</v>
      </c>
      <c r="Z43">
        <f t="shared" si="5"/>
        <v>5</v>
      </c>
      <c r="AA43">
        <f t="shared" si="6"/>
        <v>-8</v>
      </c>
      <c r="AB43">
        <f t="shared" si="7"/>
        <v>5</v>
      </c>
      <c r="AC43" s="10">
        <f t="shared" si="8"/>
        <v>2</v>
      </c>
      <c r="AD43" s="5">
        <f t="shared" si="18"/>
        <v>1</v>
      </c>
      <c r="AE43" s="5">
        <f t="shared" si="19"/>
        <v>1</v>
      </c>
      <c r="AF43" s="5">
        <f t="shared" si="9"/>
        <v>0</v>
      </c>
      <c r="AG43">
        <f>IF(B43&lt;&gt;"", COUNTIFS($B$2:B43, B43), "")</f>
        <v>2</v>
      </c>
      <c r="AH43">
        <f t="shared" si="10"/>
        <v>5</v>
      </c>
      <c r="AI43" t="str">
        <f>VLOOKUP(B43, Currency!A:B, 2, FALSE)</f>
        <v>INR</v>
      </c>
      <c r="AJ43">
        <f t="shared" si="20"/>
        <v>5</v>
      </c>
      <c r="AK43">
        <f t="shared" si="11"/>
        <v>8</v>
      </c>
      <c r="AL43" t="str">
        <f t="shared" si="12"/>
        <v>August</v>
      </c>
      <c r="AM43">
        <f t="shared" si="13"/>
        <v>2023</v>
      </c>
      <c r="AN43" t="str">
        <f t="shared" si="21"/>
        <v>30Sbf pharma</v>
      </c>
      <c r="AO43">
        <f>IF(COUNTIF($AN$2:AN43, AN43)=1, 1, 0)</f>
        <v>0</v>
      </c>
      <c r="AP43" t="str">
        <f t="shared" si="14"/>
        <v>&gt;3</v>
      </c>
      <c r="AQ43" t="str">
        <f t="shared" si="15"/>
        <v>&gt;3</v>
      </c>
      <c r="AR43" t="str">
        <f t="shared" si="16"/>
        <v>&gt;3</v>
      </c>
    </row>
    <row r="44" spans="1:44" x14ac:dyDescent="0.3">
      <c r="A44" t="s">
        <v>33</v>
      </c>
      <c r="B44" t="s">
        <v>729</v>
      </c>
      <c r="C44" t="s">
        <v>52</v>
      </c>
      <c r="D44">
        <v>3741</v>
      </c>
      <c r="E44">
        <v>23410135</v>
      </c>
      <c r="F44" t="s">
        <v>730</v>
      </c>
      <c r="G44" t="s">
        <v>731</v>
      </c>
      <c r="H44">
        <v>0.5</v>
      </c>
      <c r="I44">
        <v>5000</v>
      </c>
      <c r="J44">
        <v>2500</v>
      </c>
      <c r="K44" t="str">
        <f>IFERROR(IF(B44&lt;&gt;"", TEXT(VLOOKUP(B44, 'Expected Date'!A:B, 2, FALSE) + DATE(RIGHT(C44,2),MID(C44,4,2),LEFT(C44,2)), "dd/mm/yy"), ""), "")</f>
        <v>26/08/23</v>
      </c>
      <c r="L44" t="s">
        <v>38</v>
      </c>
      <c r="M44" t="s">
        <v>48</v>
      </c>
      <c r="N44" t="s">
        <v>237</v>
      </c>
      <c r="O44" t="s">
        <v>330</v>
      </c>
      <c r="P44">
        <v>23490262</v>
      </c>
      <c r="Q44" t="s">
        <v>730</v>
      </c>
      <c r="R44" t="s">
        <v>731</v>
      </c>
      <c r="S44">
        <v>0.5</v>
      </c>
      <c r="T44">
        <v>5000</v>
      </c>
      <c r="U44">
        <v>2500</v>
      </c>
      <c r="V44" t="str">
        <f t="shared" si="17"/>
        <v>Accepted</v>
      </c>
      <c r="W44">
        <f>IFERROR(VLOOKUP(N44, Payment_Terms!A:B, 2, FALSE), "Payment term not found!")</f>
        <v>0</v>
      </c>
      <c r="X44" t="str">
        <f>IFERROR(VLOOKUP(R44, Item_Category!A:B, 2, FALSE), "Uncategorized")</f>
        <v>Sodium selenite.5H2O</v>
      </c>
      <c r="Y44" s="5">
        <f t="shared" si="4"/>
        <v>0</v>
      </c>
      <c r="Z44">
        <f t="shared" si="5"/>
        <v>5</v>
      </c>
      <c r="AA44">
        <f t="shared" si="6"/>
        <v>28</v>
      </c>
      <c r="AB44">
        <f t="shared" si="7"/>
        <v>1</v>
      </c>
      <c r="AC44" s="10">
        <f t="shared" si="8"/>
        <v>38</v>
      </c>
      <c r="AD44" s="5">
        <f t="shared" si="18"/>
        <v>1</v>
      </c>
      <c r="AE44" s="5">
        <f t="shared" si="19"/>
        <v>1</v>
      </c>
      <c r="AF44" s="5">
        <f t="shared" si="9"/>
        <v>0</v>
      </c>
      <c r="AG44">
        <f>IF(B44&lt;&gt;"", COUNTIFS($B$2:B44, B44), "")</f>
        <v>1</v>
      </c>
      <c r="AH44">
        <f t="shared" si="10"/>
        <v>5</v>
      </c>
      <c r="AI44" t="str">
        <f>VLOOKUP(B44, Currency!A:B, 2, FALSE)</f>
        <v>INR</v>
      </c>
      <c r="AJ44">
        <f t="shared" si="20"/>
        <v>4</v>
      </c>
      <c r="AK44">
        <f t="shared" si="11"/>
        <v>8</v>
      </c>
      <c r="AL44" t="str">
        <f t="shared" si="12"/>
        <v>August</v>
      </c>
      <c r="AM44">
        <f t="shared" si="13"/>
        <v>2023</v>
      </c>
      <c r="AN44" t="str">
        <f t="shared" si="21"/>
        <v>0SALVI CHEMICAL INDUSTRIES LIMITED</v>
      </c>
      <c r="AO44">
        <f>IF(COUNTIF($AN$2:AN44, AN44)=1, 1, 0)</f>
        <v>1</v>
      </c>
      <c r="AP44" t="str">
        <f t="shared" si="14"/>
        <v>&gt;3</v>
      </c>
      <c r="AQ44" t="str">
        <f t="shared" si="15"/>
        <v>&gt;3</v>
      </c>
      <c r="AR44" t="str">
        <f t="shared" si="16"/>
        <v>&lt;=3</v>
      </c>
    </row>
    <row r="45" spans="1:44" x14ac:dyDescent="0.3">
      <c r="A45" t="s">
        <v>33</v>
      </c>
      <c r="B45" t="s">
        <v>234</v>
      </c>
      <c r="C45" t="s">
        <v>455</v>
      </c>
      <c r="D45">
        <v>2970</v>
      </c>
      <c r="E45">
        <v>23410082</v>
      </c>
      <c r="F45" t="s">
        <v>732</v>
      </c>
      <c r="G45" t="s">
        <v>733</v>
      </c>
      <c r="H45">
        <v>25</v>
      </c>
      <c r="I45">
        <v>115</v>
      </c>
      <c r="J45">
        <v>2875</v>
      </c>
      <c r="K45" t="str">
        <f>IFERROR(IF(B45&lt;&gt;"", TEXT(VLOOKUP(B45, 'Expected Date'!A:B, 2, FALSE) + DATE(RIGHT(C45,2),MID(C45,4,2),LEFT(C45,2)), "dd/mm/yy"), ""), "")</f>
        <v>20/07/23</v>
      </c>
      <c r="L45" t="s">
        <v>38</v>
      </c>
      <c r="M45" t="s">
        <v>48</v>
      </c>
      <c r="N45" t="s">
        <v>470</v>
      </c>
      <c r="O45" t="s">
        <v>407</v>
      </c>
      <c r="P45">
        <v>23490142</v>
      </c>
      <c r="Q45" t="s">
        <v>732</v>
      </c>
      <c r="R45" t="s">
        <v>733</v>
      </c>
      <c r="S45">
        <v>25</v>
      </c>
      <c r="T45">
        <v>115</v>
      </c>
      <c r="U45">
        <v>2875</v>
      </c>
      <c r="V45" t="str">
        <f t="shared" si="17"/>
        <v>Accepted</v>
      </c>
      <c r="W45">
        <f>IFERROR(VLOOKUP(N45, Payment_Terms!A:B, 2, FALSE), "Payment term not found!")</f>
        <v>30</v>
      </c>
      <c r="X45" t="str">
        <f>IFERROR(VLOOKUP(R45, Item_Category!A:B, 2, FALSE), "Uncategorized")</f>
        <v>Dicalcium Phosphate anhydrous</v>
      </c>
      <c r="Y45" s="5">
        <f t="shared" si="4"/>
        <v>0</v>
      </c>
      <c r="Z45">
        <f t="shared" si="5"/>
        <v>5</v>
      </c>
      <c r="AA45">
        <f t="shared" si="6"/>
        <v>6</v>
      </c>
      <c r="AB45">
        <f t="shared" si="7"/>
        <v>3</v>
      </c>
      <c r="AC45" s="10">
        <f t="shared" si="8"/>
        <v>16</v>
      </c>
      <c r="AD45" s="5">
        <f t="shared" si="18"/>
        <v>1</v>
      </c>
      <c r="AE45" s="5">
        <f t="shared" si="19"/>
        <v>1</v>
      </c>
      <c r="AF45" s="5">
        <f t="shared" si="9"/>
        <v>0</v>
      </c>
      <c r="AG45">
        <f>IF(B45&lt;&gt;"", COUNTIFS($B$2:B45, B45), "")</f>
        <v>3</v>
      </c>
      <c r="AH45">
        <f t="shared" si="10"/>
        <v>5</v>
      </c>
      <c r="AI45" t="str">
        <f>VLOOKUP(B45, Currency!A:B, 2, FALSE)</f>
        <v>INR</v>
      </c>
      <c r="AJ45">
        <f t="shared" si="20"/>
        <v>5</v>
      </c>
      <c r="AK45">
        <f t="shared" si="11"/>
        <v>7</v>
      </c>
      <c r="AL45" t="str">
        <f t="shared" si="12"/>
        <v>July</v>
      </c>
      <c r="AM45">
        <f t="shared" si="13"/>
        <v>2023</v>
      </c>
      <c r="AN45" t="str">
        <f t="shared" si="21"/>
        <v>30Sbf pharma</v>
      </c>
      <c r="AO45">
        <f>IF(COUNTIF($AN$2:AN45, AN45)=1, 1, 0)</f>
        <v>0</v>
      </c>
      <c r="AP45" t="str">
        <f t="shared" si="14"/>
        <v>&gt;3</v>
      </c>
      <c r="AQ45" t="str">
        <f t="shared" si="15"/>
        <v>&gt;3</v>
      </c>
      <c r="AR45" t="str">
        <f t="shared" si="16"/>
        <v>&lt;=3</v>
      </c>
    </row>
    <row r="46" spans="1:44" x14ac:dyDescent="0.3">
      <c r="A46" t="s">
        <v>111</v>
      </c>
      <c r="B46" t="s">
        <v>734</v>
      </c>
      <c r="C46" t="s">
        <v>121</v>
      </c>
      <c r="D46">
        <v>3646</v>
      </c>
      <c r="E46">
        <v>23410122</v>
      </c>
      <c r="F46" t="s">
        <v>735</v>
      </c>
      <c r="G46" t="s">
        <v>736</v>
      </c>
      <c r="H46">
        <v>1</v>
      </c>
      <c r="I46">
        <v>1250</v>
      </c>
      <c r="J46">
        <v>1250</v>
      </c>
      <c r="K46" t="str">
        <f>IFERROR(IF(B46&lt;&gt;"", TEXT(VLOOKUP(B46, 'Expected Date'!A:B, 2, FALSE) + DATE(RIGHT(C46,2),MID(C46,4,2),LEFT(C46,2)), "dd/mm/yy"), ""), "")</f>
        <v>22/08/23</v>
      </c>
      <c r="L46" t="s">
        <v>38</v>
      </c>
      <c r="M46" t="s">
        <v>48</v>
      </c>
      <c r="N46" t="s">
        <v>237</v>
      </c>
      <c r="O46" t="s">
        <v>199</v>
      </c>
      <c r="P46">
        <v>23490197</v>
      </c>
      <c r="Q46" t="s">
        <v>735</v>
      </c>
      <c r="R46" t="s">
        <v>736</v>
      </c>
      <c r="S46">
        <v>1</v>
      </c>
      <c r="T46">
        <v>1250</v>
      </c>
      <c r="U46">
        <v>1250</v>
      </c>
      <c r="V46" t="str">
        <f t="shared" si="17"/>
        <v>Accepted</v>
      </c>
      <c r="W46">
        <f>IFERROR(VLOOKUP(N46, Payment_Terms!A:B, 2, FALSE), "Payment term not found!")</f>
        <v>0</v>
      </c>
      <c r="X46" t="str">
        <f>IFERROR(VLOOKUP(R46, Item_Category!A:B, 2, FALSE), "Uncategorized")</f>
        <v>Vitamin D3 100 CWS</v>
      </c>
      <c r="Y46" s="5">
        <f t="shared" si="4"/>
        <v>0</v>
      </c>
      <c r="Z46">
        <f t="shared" si="5"/>
        <v>5</v>
      </c>
      <c r="AA46">
        <f t="shared" si="6"/>
        <v>4</v>
      </c>
      <c r="AB46">
        <f t="shared" si="7"/>
        <v>4</v>
      </c>
      <c r="AC46" s="10">
        <f t="shared" si="8"/>
        <v>16</v>
      </c>
      <c r="AD46" s="5">
        <f t="shared" si="18"/>
        <v>1</v>
      </c>
      <c r="AE46" s="5">
        <f t="shared" si="19"/>
        <v>1</v>
      </c>
      <c r="AF46" s="5">
        <f t="shared" si="9"/>
        <v>0</v>
      </c>
      <c r="AG46">
        <f>IF(B46&lt;&gt;"", COUNTIFS($B$2:B46, B46), "")</f>
        <v>1</v>
      </c>
      <c r="AH46">
        <f t="shared" si="10"/>
        <v>5</v>
      </c>
      <c r="AI46" t="str">
        <f>VLOOKUP(B46, Currency!A:B, 2, FALSE)</f>
        <v>INR</v>
      </c>
      <c r="AJ46">
        <f t="shared" si="20"/>
        <v>5</v>
      </c>
      <c r="AK46">
        <f t="shared" si="11"/>
        <v>8</v>
      </c>
      <c r="AL46" t="str">
        <f t="shared" si="12"/>
        <v>August</v>
      </c>
      <c r="AM46">
        <f t="shared" si="13"/>
        <v>2023</v>
      </c>
      <c r="AN46" t="str">
        <f t="shared" si="21"/>
        <v>0Supreem Pharmaceuticals Mysore Pvt. Ltd.</v>
      </c>
      <c r="AO46">
        <f>IF(COUNTIF($AN$2:AN46, AN46)=1, 1, 0)</f>
        <v>1</v>
      </c>
      <c r="AP46" t="str">
        <f t="shared" si="14"/>
        <v>&gt;3</v>
      </c>
      <c r="AQ46" t="str">
        <f t="shared" si="15"/>
        <v>&gt;3</v>
      </c>
      <c r="AR46" t="str">
        <f t="shared" si="16"/>
        <v>&gt;3</v>
      </c>
    </row>
    <row r="47" spans="1:44" x14ac:dyDescent="0.3">
      <c r="A47" t="s">
        <v>33</v>
      </c>
      <c r="B47" t="s">
        <v>679</v>
      </c>
      <c r="C47" t="s">
        <v>52</v>
      </c>
      <c r="D47">
        <v>3751</v>
      </c>
      <c r="E47">
        <v>23410138</v>
      </c>
      <c r="F47" t="s">
        <v>737</v>
      </c>
      <c r="G47" t="s">
        <v>738</v>
      </c>
      <c r="H47">
        <v>10</v>
      </c>
      <c r="I47">
        <v>600</v>
      </c>
      <c r="J47">
        <v>6000</v>
      </c>
      <c r="K47" t="str">
        <f>IFERROR(IF(B47&lt;&gt;"", TEXT(VLOOKUP(B47, 'Expected Date'!A:B, 2, FALSE) + DATE(RIGHT(C47,2),MID(C47,4,2),LEFT(C47,2)), "dd/mm/yy"), ""), "")</f>
        <v>21/08/23</v>
      </c>
      <c r="L47" t="s">
        <v>38</v>
      </c>
      <c r="M47" t="s">
        <v>618</v>
      </c>
      <c r="N47" t="s">
        <v>470</v>
      </c>
      <c r="O47" t="s">
        <v>199</v>
      </c>
      <c r="P47">
        <v>23490199</v>
      </c>
      <c r="Q47" t="s">
        <v>737</v>
      </c>
      <c r="R47" t="s">
        <v>738</v>
      </c>
      <c r="S47">
        <v>10</v>
      </c>
      <c r="T47">
        <v>600</v>
      </c>
      <c r="U47">
        <v>6000</v>
      </c>
      <c r="V47" t="str">
        <f t="shared" si="17"/>
        <v>Accepted</v>
      </c>
      <c r="W47">
        <f>IFERROR(VLOOKUP(N47, Payment_Terms!A:B, 2, FALSE), "Payment term not found!")</f>
        <v>30</v>
      </c>
      <c r="X47" t="str">
        <f>IFERROR(VLOOKUP(R47, Item_Category!A:B, 2, FALSE), "Uncategorized")</f>
        <v>Yellow Colour HDPE Drum with lid and side handle(50Ltr capacity)</v>
      </c>
      <c r="Y47" s="5">
        <f t="shared" si="4"/>
        <v>0</v>
      </c>
      <c r="Z47">
        <f t="shared" si="5"/>
        <v>5</v>
      </c>
      <c r="AA47">
        <f t="shared" si="6"/>
        <v>5</v>
      </c>
      <c r="AB47">
        <f t="shared" si="7"/>
        <v>3</v>
      </c>
      <c r="AC47" s="10">
        <f t="shared" si="8"/>
        <v>10</v>
      </c>
      <c r="AD47" s="5">
        <f t="shared" si="18"/>
        <v>1</v>
      </c>
      <c r="AE47" s="5">
        <f t="shared" si="19"/>
        <v>1</v>
      </c>
      <c r="AF47" s="5">
        <f t="shared" si="9"/>
        <v>0</v>
      </c>
      <c r="AG47">
        <f>IF(B47&lt;&gt;"", COUNTIFS($B$2:B47, B47), "")</f>
        <v>2</v>
      </c>
      <c r="AH47">
        <f t="shared" si="10"/>
        <v>5</v>
      </c>
      <c r="AI47" t="str">
        <f>VLOOKUP(B47, Currency!A:B, 2, FALSE)</f>
        <v>INR</v>
      </c>
      <c r="AJ47">
        <f t="shared" si="20"/>
        <v>5</v>
      </c>
      <c r="AK47">
        <f t="shared" si="11"/>
        <v>8</v>
      </c>
      <c r="AL47" t="str">
        <f t="shared" si="12"/>
        <v>August</v>
      </c>
      <c r="AM47">
        <f t="shared" si="13"/>
        <v>2023</v>
      </c>
      <c r="AN47" t="str">
        <f t="shared" si="21"/>
        <v>30Akruthi Enterprises</v>
      </c>
      <c r="AO47">
        <f>IF(COUNTIF($AN$2:AN47, AN47)=1, 1, 0)</f>
        <v>0</v>
      </c>
      <c r="AP47" t="str">
        <f t="shared" si="14"/>
        <v>&gt;3</v>
      </c>
      <c r="AQ47" t="str">
        <f t="shared" si="15"/>
        <v>&gt;3</v>
      </c>
      <c r="AR47" t="str">
        <f t="shared" si="16"/>
        <v>&lt;=3</v>
      </c>
    </row>
    <row r="48" spans="1:44" x14ac:dyDescent="0.3">
      <c r="A48" t="s">
        <v>33</v>
      </c>
      <c r="B48" t="s">
        <v>739</v>
      </c>
      <c r="C48" t="s">
        <v>59</v>
      </c>
      <c r="D48">
        <v>3561</v>
      </c>
      <c r="E48">
        <v>23410113</v>
      </c>
      <c r="F48" t="s">
        <v>722</v>
      </c>
      <c r="G48" t="s">
        <v>723</v>
      </c>
      <c r="H48">
        <v>0.5</v>
      </c>
      <c r="I48">
        <v>767</v>
      </c>
      <c r="J48">
        <v>383.5</v>
      </c>
      <c r="K48" t="str">
        <f>IFERROR(IF(B48&lt;&gt;"", TEXT(VLOOKUP(B48, 'Expected Date'!A:B, 2, FALSE) + DATE(RIGHT(C48,2),MID(C48,4,2),LEFT(C48,2)), "dd/mm/yy"), ""), "")</f>
        <v>07/08/23</v>
      </c>
      <c r="L48" t="s">
        <v>38</v>
      </c>
      <c r="M48" t="s">
        <v>48</v>
      </c>
      <c r="N48" t="s">
        <v>237</v>
      </c>
      <c r="O48" t="s">
        <v>199</v>
      </c>
      <c r="P48">
        <v>23490203</v>
      </c>
      <c r="Q48" t="s">
        <v>722</v>
      </c>
      <c r="R48" t="s">
        <v>723</v>
      </c>
      <c r="S48">
        <v>0.5</v>
      </c>
      <c r="T48">
        <v>767</v>
      </c>
      <c r="U48">
        <v>383.5</v>
      </c>
      <c r="V48" t="str">
        <f t="shared" si="17"/>
        <v>Accepted</v>
      </c>
      <c r="W48">
        <f>IFERROR(VLOOKUP(N48, Payment_Terms!A:B, 2, FALSE), "Payment term not found!")</f>
        <v>0</v>
      </c>
      <c r="X48" t="str">
        <f>IFERROR(VLOOKUP(R48, Item_Category!A:B, 2, FALSE), "Uncategorized")</f>
        <v>Manganese Chloride</v>
      </c>
      <c r="Y48" s="5">
        <f t="shared" si="4"/>
        <v>0</v>
      </c>
      <c r="Z48">
        <f t="shared" si="5"/>
        <v>5</v>
      </c>
      <c r="AA48">
        <f t="shared" si="6"/>
        <v>19</v>
      </c>
      <c r="AB48">
        <f t="shared" si="7"/>
        <v>1</v>
      </c>
      <c r="AC48" s="10">
        <f t="shared" si="8"/>
        <v>21</v>
      </c>
      <c r="AD48" s="5">
        <f t="shared" si="18"/>
        <v>1</v>
      </c>
      <c r="AE48" s="5">
        <f t="shared" si="19"/>
        <v>1</v>
      </c>
      <c r="AF48" s="5">
        <f t="shared" si="9"/>
        <v>0</v>
      </c>
      <c r="AG48">
        <f>IF(B48&lt;&gt;"", COUNTIFS($B$2:B48, B48), "")</f>
        <v>1</v>
      </c>
      <c r="AH48">
        <f t="shared" si="10"/>
        <v>5</v>
      </c>
      <c r="AI48" t="str">
        <f>VLOOKUP(B48, Currency!A:B, 2, FALSE)</f>
        <v>INR</v>
      </c>
      <c r="AJ48">
        <f t="shared" si="20"/>
        <v>4</v>
      </c>
      <c r="AK48">
        <f t="shared" si="11"/>
        <v>8</v>
      </c>
      <c r="AL48" t="str">
        <f t="shared" si="12"/>
        <v>August</v>
      </c>
      <c r="AM48">
        <f t="shared" si="13"/>
        <v>2023</v>
      </c>
      <c r="AN48" t="str">
        <f t="shared" si="21"/>
        <v>0SUN LIFE SCIENCES</v>
      </c>
      <c r="AO48">
        <f>IF(COUNTIF($AN$2:AN48, AN48)=1, 1, 0)</f>
        <v>1</v>
      </c>
      <c r="AP48" t="str">
        <f t="shared" si="14"/>
        <v>&gt;3</v>
      </c>
      <c r="AQ48" t="str">
        <f t="shared" si="15"/>
        <v>&gt;3</v>
      </c>
      <c r="AR48" t="str">
        <f t="shared" si="16"/>
        <v>&lt;=3</v>
      </c>
    </row>
    <row r="49" spans="1:44" x14ac:dyDescent="0.3">
      <c r="A49" t="s">
        <v>33</v>
      </c>
      <c r="B49" t="s">
        <v>73</v>
      </c>
      <c r="C49" t="s">
        <v>74</v>
      </c>
      <c r="D49">
        <v>3661</v>
      </c>
      <c r="E49">
        <v>23420003</v>
      </c>
      <c r="F49" t="s">
        <v>740</v>
      </c>
      <c r="G49" t="s">
        <v>741</v>
      </c>
      <c r="H49">
        <v>60</v>
      </c>
      <c r="I49">
        <v>875</v>
      </c>
      <c r="J49">
        <v>52500</v>
      </c>
      <c r="K49" t="str">
        <f>IFERROR(IF(B49&lt;&gt;"", TEXT(VLOOKUP(B49, 'Expected Date'!A:B, 2, FALSE) + DATE(RIGHT(C49,2),MID(C49,4,2),LEFT(C49,2)), "dd/mm/yy"), ""), "")</f>
        <v>31/08/23</v>
      </c>
      <c r="L49" t="s">
        <v>38</v>
      </c>
      <c r="M49" t="s">
        <v>618</v>
      </c>
      <c r="N49" t="s">
        <v>77</v>
      </c>
      <c r="O49" t="s">
        <v>496</v>
      </c>
      <c r="P49">
        <v>23490223</v>
      </c>
      <c r="Q49" t="s">
        <v>740</v>
      </c>
      <c r="R49" t="s">
        <v>741</v>
      </c>
      <c r="S49">
        <v>60</v>
      </c>
      <c r="T49">
        <v>875</v>
      </c>
      <c r="U49">
        <v>52500</v>
      </c>
      <c r="V49" t="str">
        <f t="shared" si="17"/>
        <v>Accepted</v>
      </c>
      <c r="W49">
        <f>IFERROR(VLOOKUP(N49, Payment_Terms!A:B, 2, FALSE), "Payment term not found!")</f>
        <v>0</v>
      </c>
      <c r="X49" t="str">
        <f>IFERROR(VLOOKUP(R49, Item_Category!A:B, 2, FALSE), "Uncategorized")</f>
        <v>Pallets</v>
      </c>
      <c r="Y49" s="5">
        <f t="shared" si="4"/>
        <v>0</v>
      </c>
      <c r="Z49">
        <f t="shared" si="5"/>
        <v>5</v>
      </c>
      <c r="AA49">
        <f t="shared" si="6"/>
        <v>2</v>
      </c>
      <c r="AB49">
        <f t="shared" si="7"/>
        <v>5</v>
      </c>
      <c r="AC49" s="10">
        <f t="shared" si="8"/>
        <v>22</v>
      </c>
      <c r="AD49" s="5">
        <f t="shared" si="18"/>
        <v>1</v>
      </c>
      <c r="AE49" s="5">
        <f t="shared" si="19"/>
        <v>1</v>
      </c>
      <c r="AF49" s="5">
        <f t="shared" si="9"/>
        <v>0</v>
      </c>
      <c r="AG49">
        <f>IF(B49&lt;&gt;"", COUNTIFS($B$2:B49, B49), "")</f>
        <v>1</v>
      </c>
      <c r="AH49">
        <f t="shared" si="10"/>
        <v>5</v>
      </c>
      <c r="AI49" t="str">
        <f>VLOOKUP(B49, Currency!A:B, 2, FALSE)</f>
        <v>INR</v>
      </c>
      <c r="AJ49">
        <f t="shared" si="20"/>
        <v>5</v>
      </c>
      <c r="AK49">
        <f t="shared" si="11"/>
        <v>8</v>
      </c>
      <c r="AL49" t="str">
        <f t="shared" si="12"/>
        <v>August</v>
      </c>
      <c r="AM49">
        <f t="shared" si="13"/>
        <v>2023</v>
      </c>
      <c r="AN49" t="str">
        <f t="shared" si="21"/>
        <v>0Nilkamal Limited</v>
      </c>
      <c r="AO49">
        <f>IF(COUNTIF($AN$2:AN49, AN49)=1, 1, 0)</f>
        <v>1</v>
      </c>
      <c r="AP49" t="str">
        <f t="shared" si="14"/>
        <v>&gt;3</v>
      </c>
      <c r="AQ49" t="str">
        <f t="shared" si="15"/>
        <v>&gt;3</v>
      </c>
      <c r="AR49" t="str">
        <f t="shared" si="16"/>
        <v>&gt;3</v>
      </c>
    </row>
    <row r="50" spans="1:44" x14ac:dyDescent="0.3">
      <c r="A50" t="s">
        <v>33</v>
      </c>
      <c r="B50" t="s">
        <v>706</v>
      </c>
      <c r="C50" t="s">
        <v>74</v>
      </c>
      <c r="D50">
        <v>3685</v>
      </c>
      <c r="E50">
        <v>23410128</v>
      </c>
      <c r="F50" t="s">
        <v>742</v>
      </c>
      <c r="G50" t="s">
        <v>743</v>
      </c>
      <c r="H50">
        <v>475</v>
      </c>
      <c r="I50">
        <v>2250</v>
      </c>
      <c r="J50">
        <v>1068750</v>
      </c>
      <c r="K50" t="str">
        <f>IFERROR(IF(B50&lt;&gt;"", TEXT(VLOOKUP(B50, 'Expected Date'!A:B, 2, FALSE) + DATE(RIGHT(C50,2),MID(C50,4,2),LEFT(C50,2)), "dd/mm/yy"), ""), "")</f>
        <v>19/08/23</v>
      </c>
      <c r="L50" t="s">
        <v>38</v>
      </c>
      <c r="M50" t="s">
        <v>48</v>
      </c>
      <c r="N50" t="s">
        <v>661</v>
      </c>
      <c r="O50" t="s">
        <v>199</v>
      </c>
      <c r="P50">
        <v>23490194</v>
      </c>
      <c r="Q50" t="s">
        <v>742</v>
      </c>
      <c r="R50" t="s">
        <v>743</v>
      </c>
      <c r="S50">
        <v>475</v>
      </c>
      <c r="T50">
        <v>2250</v>
      </c>
      <c r="U50">
        <v>1068750</v>
      </c>
      <c r="V50" t="str">
        <f t="shared" si="17"/>
        <v>Accepted</v>
      </c>
      <c r="W50">
        <f>IFERROR(VLOOKUP(N50, Payment_Terms!A:B, 2, FALSE), "Payment term not found!")</f>
        <v>0</v>
      </c>
      <c r="X50" t="str">
        <f>IFERROR(VLOOKUP(R50, Item_Category!A:B, 2, FALSE), "Uncategorized")</f>
        <v>Vit A Palmitate 250 CWS</v>
      </c>
      <c r="Y50" s="5">
        <f t="shared" si="4"/>
        <v>0</v>
      </c>
      <c r="Z50">
        <f t="shared" si="5"/>
        <v>5</v>
      </c>
      <c r="AA50">
        <f t="shared" si="6"/>
        <v>7</v>
      </c>
      <c r="AB50">
        <f t="shared" si="7"/>
        <v>3</v>
      </c>
      <c r="AC50" s="10">
        <f t="shared" si="8"/>
        <v>15</v>
      </c>
      <c r="AD50" s="5">
        <f t="shared" si="18"/>
        <v>1</v>
      </c>
      <c r="AE50" s="5">
        <f t="shared" si="19"/>
        <v>1</v>
      </c>
      <c r="AF50" s="5">
        <f t="shared" si="9"/>
        <v>0</v>
      </c>
      <c r="AG50">
        <f>IF(B50&lt;&gt;"", COUNTIFS($B$2:B50, B50), "")</f>
        <v>2</v>
      </c>
      <c r="AH50">
        <f t="shared" si="10"/>
        <v>5</v>
      </c>
      <c r="AI50" t="str">
        <f>VLOOKUP(B50, Currency!A:B, 2, FALSE)</f>
        <v>INR</v>
      </c>
      <c r="AJ50">
        <f t="shared" si="20"/>
        <v>5</v>
      </c>
      <c r="AK50">
        <f t="shared" si="11"/>
        <v>8</v>
      </c>
      <c r="AL50" t="str">
        <f t="shared" si="12"/>
        <v>August</v>
      </c>
      <c r="AM50">
        <f t="shared" si="13"/>
        <v>2023</v>
      </c>
      <c r="AN50" t="str">
        <f t="shared" si="21"/>
        <v>0VITAL THERAPEUTICS AND FORMULATIONS PRIVATE LIMITED</v>
      </c>
      <c r="AO50">
        <f>IF(COUNTIF($AN$2:AN50, AN50)=1, 1, 0)</f>
        <v>0</v>
      </c>
      <c r="AP50" t="str">
        <f t="shared" si="14"/>
        <v>&gt;3</v>
      </c>
      <c r="AQ50" t="str">
        <f t="shared" si="15"/>
        <v>&gt;3</v>
      </c>
      <c r="AR50" t="str">
        <f t="shared" si="16"/>
        <v>&lt;=3</v>
      </c>
    </row>
    <row r="51" spans="1:44" x14ac:dyDescent="0.3">
      <c r="A51" t="s">
        <v>33</v>
      </c>
      <c r="B51" t="s">
        <v>663</v>
      </c>
      <c r="C51" t="s">
        <v>272</v>
      </c>
      <c r="D51">
        <v>4617</v>
      </c>
      <c r="E51">
        <v>23410215</v>
      </c>
      <c r="F51" t="s">
        <v>664</v>
      </c>
      <c r="G51" t="s">
        <v>665</v>
      </c>
      <c r="H51">
        <v>1</v>
      </c>
      <c r="I51">
        <v>1150</v>
      </c>
      <c r="J51">
        <v>1150</v>
      </c>
      <c r="K51" t="str">
        <f>IFERROR(IF(B51&lt;&gt;"", TEXT(VLOOKUP(B51, 'Expected Date'!A:B, 2, FALSE) + DATE(RIGHT(C51,2),MID(C51,4,2),LEFT(C51,2)), "dd/mm/yy"), ""), "")</f>
        <v>03/10/23</v>
      </c>
      <c r="L51" t="s">
        <v>38</v>
      </c>
      <c r="M51" t="s">
        <v>48</v>
      </c>
      <c r="N51" t="s">
        <v>237</v>
      </c>
      <c r="O51" t="s">
        <v>526</v>
      </c>
      <c r="P51">
        <v>23490295</v>
      </c>
      <c r="Q51" t="s">
        <v>664</v>
      </c>
      <c r="R51" t="s">
        <v>665</v>
      </c>
      <c r="S51">
        <v>1</v>
      </c>
      <c r="T51">
        <v>1150</v>
      </c>
      <c r="U51">
        <v>1150</v>
      </c>
      <c r="V51" t="str">
        <f t="shared" si="17"/>
        <v>Accepted</v>
      </c>
      <c r="W51">
        <f>IFERROR(VLOOKUP(N51, Payment_Terms!A:B, 2, FALSE), "Payment term not found!")</f>
        <v>0</v>
      </c>
      <c r="X51" t="str">
        <f>IFERROR(VLOOKUP(R51, Item_Category!A:B, 2, FALSE), "Uncategorized")</f>
        <v>Copper Sulphate Anhydrous</v>
      </c>
      <c r="Y51" s="5">
        <f t="shared" si="4"/>
        <v>0</v>
      </c>
      <c r="Z51">
        <f t="shared" si="5"/>
        <v>5</v>
      </c>
      <c r="AA51">
        <f t="shared" si="6"/>
        <v>10</v>
      </c>
      <c r="AB51">
        <f t="shared" si="7"/>
        <v>2</v>
      </c>
      <c r="AC51" s="10">
        <f t="shared" si="8"/>
        <v>18</v>
      </c>
      <c r="AD51" s="5">
        <f t="shared" si="18"/>
        <v>1</v>
      </c>
      <c r="AE51" s="5">
        <f t="shared" si="19"/>
        <v>1</v>
      </c>
      <c r="AF51" s="5">
        <f t="shared" si="9"/>
        <v>0</v>
      </c>
      <c r="AG51">
        <f>IF(B51&lt;&gt;"", COUNTIFS($B$2:B51, B51), "")</f>
        <v>3</v>
      </c>
      <c r="AH51">
        <f t="shared" si="10"/>
        <v>5</v>
      </c>
      <c r="AI51" t="str">
        <f>VLOOKUP(B51, Currency!A:B, 2, FALSE)</f>
        <v>INR</v>
      </c>
      <c r="AJ51">
        <f t="shared" si="20"/>
        <v>5</v>
      </c>
      <c r="AK51">
        <f t="shared" si="11"/>
        <v>9</v>
      </c>
      <c r="AL51" t="str">
        <f t="shared" si="12"/>
        <v>September</v>
      </c>
      <c r="AM51">
        <f t="shared" si="13"/>
        <v>2023</v>
      </c>
      <c r="AN51" t="str">
        <f t="shared" si="21"/>
        <v>0Valaji Pharma Chem</v>
      </c>
      <c r="AO51">
        <f>IF(COUNTIF($AN$2:AN51, AN51)=1, 1, 0)</f>
        <v>0</v>
      </c>
      <c r="AP51" t="str">
        <f t="shared" si="14"/>
        <v>&gt;3</v>
      </c>
      <c r="AQ51" t="str">
        <f t="shared" si="15"/>
        <v>&gt;3</v>
      </c>
      <c r="AR51" t="str">
        <f t="shared" si="16"/>
        <v>&lt;=3</v>
      </c>
    </row>
    <row r="52" spans="1:44" x14ac:dyDescent="0.3">
      <c r="A52" t="s">
        <v>111</v>
      </c>
      <c r="B52" t="s">
        <v>744</v>
      </c>
      <c r="C52" t="s">
        <v>74</v>
      </c>
      <c r="D52">
        <v>3683</v>
      </c>
      <c r="E52">
        <v>23410126</v>
      </c>
      <c r="F52" t="s">
        <v>686</v>
      </c>
      <c r="G52" t="s">
        <v>687</v>
      </c>
      <c r="H52">
        <v>1</v>
      </c>
      <c r="I52">
        <v>2100</v>
      </c>
      <c r="J52">
        <v>2100</v>
      </c>
      <c r="K52" t="str">
        <f>IFERROR(IF(B52&lt;&gt;"", TEXT(VLOOKUP(B52, 'Expected Date'!A:B, 2, FALSE) + DATE(RIGHT(C52,2),MID(C52,4,2),LEFT(C52,2)), "dd/mm/yy"), ""), "")</f>
        <v>23/08/23</v>
      </c>
      <c r="L52" t="s">
        <v>38</v>
      </c>
      <c r="M52" t="s">
        <v>48</v>
      </c>
      <c r="N52" t="s">
        <v>237</v>
      </c>
      <c r="O52" t="s">
        <v>246</v>
      </c>
      <c r="P52">
        <v>23490241</v>
      </c>
      <c r="Q52" t="s">
        <v>686</v>
      </c>
      <c r="R52" t="s">
        <v>687</v>
      </c>
      <c r="S52">
        <v>1</v>
      </c>
      <c r="T52">
        <v>2100</v>
      </c>
      <c r="U52">
        <v>2100</v>
      </c>
      <c r="V52" t="str">
        <f t="shared" si="17"/>
        <v>Accepted</v>
      </c>
      <c r="W52">
        <f>IFERROR(VLOOKUP(N52, Payment_Terms!A:B, 2, FALSE), "Payment term not found!")</f>
        <v>0</v>
      </c>
      <c r="X52" t="str">
        <f>IFERROR(VLOOKUP(R52, Item_Category!A:B, 2, FALSE), "Uncategorized")</f>
        <v>HCL</v>
      </c>
      <c r="Y52" s="5">
        <f t="shared" si="4"/>
        <v>0</v>
      </c>
      <c r="Z52">
        <f t="shared" si="5"/>
        <v>5</v>
      </c>
      <c r="AA52">
        <f t="shared" si="6"/>
        <v>20</v>
      </c>
      <c r="AB52">
        <f t="shared" si="7"/>
        <v>1</v>
      </c>
      <c r="AC52" s="10">
        <f t="shared" si="8"/>
        <v>32</v>
      </c>
      <c r="AD52" s="5">
        <f t="shared" si="18"/>
        <v>1</v>
      </c>
      <c r="AE52" s="5">
        <f t="shared" si="19"/>
        <v>1</v>
      </c>
      <c r="AF52" s="5">
        <f t="shared" si="9"/>
        <v>0</v>
      </c>
      <c r="AG52">
        <f>IF(B52&lt;&gt;"", COUNTIFS($B$2:B52, B52), "")</f>
        <v>1</v>
      </c>
      <c r="AH52">
        <f t="shared" si="10"/>
        <v>5</v>
      </c>
      <c r="AI52" t="str">
        <f>VLOOKUP(B52, Currency!A:B, 2, FALSE)</f>
        <v>INR</v>
      </c>
      <c r="AJ52">
        <f t="shared" si="20"/>
        <v>4</v>
      </c>
      <c r="AK52">
        <f t="shared" si="11"/>
        <v>8</v>
      </c>
      <c r="AL52" t="str">
        <f t="shared" si="12"/>
        <v>August</v>
      </c>
      <c r="AM52">
        <f t="shared" si="13"/>
        <v>2023</v>
      </c>
      <c r="AN52" t="str">
        <f t="shared" si="21"/>
        <v>0MINERVA BIOGENIX PVT LTD</v>
      </c>
      <c r="AO52">
        <f>IF(COUNTIF($AN$2:AN52, AN52)=1, 1, 0)</f>
        <v>1</v>
      </c>
      <c r="AP52" t="str">
        <f t="shared" si="14"/>
        <v>&gt;3</v>
      </c>
      <c r="AQ52" t="str">
        <f t="shared" si="15"/>
        <v>&gt;3</v>
      </c>
      <c r="AR52" t="str">
        <f t="shared" si="16"/>
        <v>&lt;=3</v>
      </c>
    </row>
    <row r="53" spans="1:44" x14ac:dyDescent="0.3">
      <c r="A53" t="s">
        <v>33</v>
      </c>
      <c r="B53" t="s">
        <v>632</v>
      </c>
      <c r="C53" t="s">
        <v>74</v>
      </c>
      <c r="D53">
        <v>3684</v>
      </c>
      <c r="E53">
        <v>23410127</v>
      </c>
      <c r="F53" t="s">
        <v>633</v>
      </c>
      <c r="G53" t="s">
        <v>634</v>
      </c>
      <c r="H53">
        <v>7000</v>
      </c>
      <c r="I53">
        <v>53</v>
      </c>
      <c r="J53">
        <v>371000</v>
      </c>
      <c r="K53" t="str">
        <f>IFERROR(IF(B53&lt;&gt;"", TEXT(VLOOKUP(B53, 'Expected Date'!A:B, 2, FALSE) + DATE(RIGHT(C53,2),MID(C53,4,2),LEFT(C53,2)), "dd/mm/yy"), ""), "")</f>
        <v>21/08/23</v>
      </c>
      <c r="L53" t="s">
        <v>38</v>
      </c>
      <c r="M53" t="s">
        <v>48</v>
      </c>
      <c r="N53" t="s">
        <v>237</v>
      </c>
      <c r="O53" t="s">
        <v>199</v>
      </c>
      <c r="P53">
        <v>23490196</v>
      </c>
      <c r="Q53" t="s">
        <v>633</v>
      </c>
      <c r="R53" t="s">
        <v>634</v>
      </c>
      <c r="S53">
        <v>7000</v>
      </c>
      <c r="T53">
        <v>53</v>
      </c>
      <c r="U53">
        <v>371000</v>
      </c>
      <c r="V53" t="str">
        <f t="shared" si="17"/>
        <v>Accepted</v>
      </c>
      <c r="W53">
        <f>IFERROR(VLOOKUP(N53, Payment_Terms!A:B, 2, FALSE), "Payment term not found!")</f>
        <v>0</v>
      </c>
      <c r="X53" t="str">
        <f>IFERROR(VLOOKUP(R53, Item_Category!A:B, 2, FALSE), "Uncategorized")</f>
        <v>Ferrous sulphate -general grade</v>
      </c>
      <c r="Y53" s="5">
        <f t="shared" si="4"/>
        <v>0</v>
      </c>
      <c r="Z53">
        <f t="shared" si="5"/>
        <v>5</v>
      </c>
      <c r="AA53">
        <f t="shared" si="6"/>
        <v>5</v>
      </c>
      <c r="AB53">
        <f t="shared" si="7"/>
        <v>3</v>
      </c>
      <c r="AC53" s="10">
        <f t="shared" si="8"/>
        <v>15</v>
      </c>
      <c r="AD53" s="5">
        <f t="shared" si="18"/>
        <v>1</v>
      </c>
      <c r="AE53" s="5">
        <f t="shared" si="19"/>
        <v>1</v>
      </c>
      <c r="AF53" s="5">
        <f t="shared" si="9"/>
        <v>0</v>
      </c>
      <c r="AG53">
        <f>IF(B53&lt;&gt;"", COUNTIFS($B$2:B53, B53), "")</f>
        <v>2</v>
      </c>
      <c r="AH53">
        <f t="shared" si="10"/>
        <v>5</v>
      </c>
      <c r="AI53" t="str">
        <f>VLOOKUP(B53, Currency!A:B, 2, FALSE)</f>
        <v>INR</v>
      </c>
      <c r="AJ53">
        <f t="shared" si="20"/>
        <v>5</v>
      </c>
      <c r="AK53">
        <f t="shared" si="11"/>
        <v>8</v>
      </c>
      <c r="AL53" t="str">
        <f t="shared" si="12"/>
        <v>August</v>
      </c>
      <c r="AM53">
        <f t="shared" si="13"/>
        <v>2023</v>
      </c>
      <c r="AN53" t="str">
        <f t="shared" si="21"/>
        <v>0SMRITI CHEMICALS</v>
      </c>
      <c r="AO53">
        <f>IF(COUNTIF($AN$2:AN53, AN53)=1, 1, 0)</f>
        <v>0</v>
      </c>
      <c r="AP53" t="str">
        <f t="shared" si="14"/>
        <v>&gt;3</v>
      </c>
      <c r="AQ53" t="str">
        <f t="shared" si="15"/>
        <v>&gt;3</v>
      </c>
      <c r="AR53" t="str">
        <f t="shared" si="16"/>
        <v>&lt;=3</v>
      </c>
    </row>
    <row r="54" spans="1:44" x14ac:dyDescent="0.3">
      <c r="A54" t="s">
        <v>33</v>
      </c>
      <c r="B54" t="s">
        <v>609</v>
      </c>
      <c r="C54" t="s">
        <v>332</v>
      </c>
      <c r="D54">
        <v>4098</v>
      </c>
      <c r="E54">
        <v>23410178</v>
      </c>
      <c r="F54" t="s">
        <v>745</v>
      </c>
      <c r="G54" t="s">
        <v>746</v>
      </c>
      <c r="H54">
        <v>1</v>
      </c>
      <c r="I54">
        <v>3</v>
      </c>
      <c r="J54">
        <v>3</v>
      </c>
      <c r="K54" t="str">
        <f>IFERROR(IF(B54&lt;&gt;"", TEXT(VLOOKUP(B54, 'Expected Date'!A:B, 2, FALSE) + DATE(RIGHT(C54,2),MID(C54,4,2),LEFT(C54,2)), "dd/mm/yy"), ""), "")</f>
        <v>08/09/23</v>
      </c>
      <c r="L54" t="s">
        <v>38</v>
      </c>
      <c r="M54" t="s">
        <v>48</v>
      </c>
      <c r="N54" t="s">
        <v>470</v>
      </c>
      <c r="O54" t="s">
        <v>286</v>
      </c>
      <c r="P54">
        <v>23490209</v>
      </c>
      <c r="Q54" t="s">
        <v>745</v>
      </c>
      <c r="R54" t="s">
        <v>746</v>
      </c>
      <c r="S54">
        <v>1</v>
      </c>
      <c r="T54">
        <v>3</v>
      </c>
      <c r="U54">
        <v>3</v>
      </c>
      <c r="V54" t="str">
        <f t="shared" si="17"/>
        <v>Accepted</v>
      </c>
      <c r="W54">
        <f>IFERROR(VLOOKUP(N54, Payment_Terms!A:B, 2, FALSE), "Payment term not found!")</f>
        <v>30</v>
      </c>
      <c r="X54" t="str">
        <f>IFERROR(VLOOKUP(R54, Item_Category!A:B, 2, FALSE), "Uncategorized")</f>
        <v>Vitamin E 50% CWS</v>
      </c>
      <c r="Y54" s="5">
        <f t="shared" si="4"/>
        <v>0</v>
      </c>
      <c r="Z54">
        <f t="shared" si="5"/>
        <v>5</v>
      </c>
      <c r="AA54">
        <f t="shared" si="6"/>
        <v>-8</v>
      </c>
      <c r="AB54">
        <f t="shared" si="7"/>
        <v>5</v>
      </c>
      <c r="AC54" s="10">
        <f t="shared" si="8"/>
        <v>2</v>
      </c>
      <c r="AD54" s="5">
        <f t="shared" si="18"/>
        <v>1</v>
      </c>
      <c r="AE54" s="5">
        <f t="shared" si="19"/>
        <v>1</v>
      </c>
      <c r="AF54" s="5">
        <f t="shared" si="9"/>
        <v>0</v>
      </c>
      <c r="AG54">
        <f>IF(B54&lt;&gt;"", COUNTIFS($B$2:B54, B54), "")</f>
        <v>3</v>
      </c>
      <c r="AH54">
        <f t="shared" si="10"/>
        <v>5</v>
      </c>
      <c r="AI54" t="str">
        <f>VLOOKUP(B54, Currency!A:B, 2, FALSE)</f>
        <v>INR</v>
      </c>
      <c r="AJ54">
        <f t="shared" si="20"/>
        <v>5</v>
      </c>
      <c r="AK54">
        <f t="shared" si="11"/>
        <v>8</v>
      </c>
      <c r="AL54" t="str">
        <f t="shared" si="12"/>
        <v>August</v>
      </c>
      <c r="AM54">
        <f t="shared" si="13"/>
        <v>2023</v>
      </c>
      <c r="AN54" t="str">
        <f t="shared" si="21"/>
        <v>30HUFORT HEALTHCARE PRIVATE LIMITED</v>
      </c>
      <c r="AO54">
        <f>IF(COUNTIF($AN$2:AN54, AN54)=1, 1, 0)</f>
        <v>0</v>
      </c>
      <c r="AP54" t="str">
        <f t="shared" si="14"/>
        <v>&gt;3</v>
      </c>
      <c r="AQ54" t="str">
        <f t="shared" si="15"/>
        <v>&gt;3</v>
      </c>
      <c r="AR54" t="str">
        <f t="shared" si="16"/>
        <v>&gt;3</v>
      </c>
    </row>
    <row r="55" spans="1:44" x14ac:dyDescent="0.3">
      <c r="A55" t="s">
        <v>33</v>
      </c>
      <c r="B55" t="s">
        <v>747</v>
      </c>
      <c r="C55" t="s">
        <v>74</v>
      </c>
      <c r="D55">
        <v>3687</v>
      </c>
      <c r="E55">
        <v>23410130</v>
      </c>
      <c r="F55" t="s">
        <v>748</v>
      </c>
      <c r="G55" t="s">
        <v>749</v>
      </c>
      <c r="H55">
        <v>4800</v>
      </c>
      <c r="I55">
        <v>33</v>
      </c>
      <c r="J55">
        <v>158400</v>
      </c>
      <c r="K55" t="str">
        <f>IFERROR(IF(B55&lt;&gt;"", TEXT(VLOOKUP(B55, 'Expected Date'!A:B, 2, FALSE) + DATE(RIGHT(C55,2),MID(C55,4,2),LEFT(C55,2)), "dd/mm/yy"), ""), "")</f>
        <v>23/08/23</v>
      </c>
      <c r="L55" t="s">
        <v>38</v>
      </c>
      <c r="M55" t="s">
        <v>48</v>
      </c>
      <c r="N55" t="s">
        <v>470</v>
      </c>
      <c r="O55" t="s">
        <v>199</v>
      </c>
      <c r="P55">
        <v>23490195</v>
      </c>
      <c r="Q55" t="s">
        <v>748</v>
      </c>
      <c r="R55" t="s">
        <v>749</v>
      </c>
      <c r="S55">
        <v>4800</v>
      </c>
      <c r="T55">
        <v>33</v>
      </c>
      <c r="U55">
        <v>158400</v>
      </c>
      <c r="V55" t="str">
        <f t="shared" si="17"/>
        <v>Accepted</v>
      </c>
      <c r="W55">
        <f>IFERROR(VLOOKUP(N55, Payment_Terms!A:B, 2, FALSE), "Payment term not found!")</f>
        <v>30</v>
      </c>
      <c r="X55" t="str">
        <f>IFERROR(VLOOKUP(R55, Item_Category!A:B, 2, FALSE), "Uncategorized")</f>
        <v>Maize Starch</v>
      </c>
      <c r="Y55" s="5">
        <f t="shared" si="4"/>
        <v>0</v>
      </c>
      <c r="Z55">
        <f t="shared" si="5"/>
        <v>5</v>
      </c>
      <c r="AA55">
        <f t="shared" si="6"/>
        <v>3</v>
      </c>
      <c r="AB55">
        <f t="shared" si="7"/>
        <v>4</v>
      </c>
      <c r="AC55" s="10">
        <f t="shared" si="8"/>
        <v>15</v>
      </c>
      <c r="AD55" s="5">
        <f t="shared" si="18"/>
        <v>1</v>
      </c>
      <c r="AE55" s="5">
        <f t="shared" si="19"/>
        <v>1</v>
      </c>
      <c r="AF55" s="5">
        <f t="shared" si="9"/>
        <v>0</v>
      </c>
      <c r="AG55">
        <f>IF(B55&lt;&gt;"", COUNTIFS($B$2:B55, B55), "")</f>
        <v>1</v>
      </c>
      <c r="AH55">
        <f t="shared" si="10"/>
        <v>5</v>
      </c>
      <c r="AI55" t="str">
        <f>VLOOKUP(B55, Currency!A:B, 2, FALSE)</f>
        <v>INR</v>
      </c>
      <c r="AJ55">
        <f t="shared" si="20"/>
        <v>5</v>
      </c>
      <c r="AK55">
        <f t="shared" si="11"/>
        <v>8</v>
      </c>
      <c r="AL55" t="str">
        <f t="shared" si="12"/>
        <v>August</v>
      </c>
      <c r="AM55">
        <f t="shared" si="13"/>
        <v>2023</v>
      </c>
      <c r="AN55" t="str">
        <f t="shared" si="21"/>
        <v>30UNIVERSAL STARCH CHEM ALLIED LIMITED</v>
      </c>
      <c r="AO55">
        <f>IF(COUNTIF($AN$2:AN55, AN55)=1, 1, 0)</f>
        <v>1</v>
      </c>
      <c r="AP55" t="str">
        <f t="shared" si="14"/>
        <v>&gt;3</v>
      </c>
      <c r="AQ55" t="str">
        <f t="shared" si="15"/>
        <v>&gt;3</v>
      </c>
      <c r="AR55" t="str">
        <f t="shared" si="16"/>
        <v>&gt;3</v>
      </c>
    </row>
    <row r="56" spans="1:44" x14ac:dyDescent="0.3">
      <c r="A56" t="s">
        <v>33</v>
      </c>
      <c r="B56" t="s">
        <v>703</v>
      </c>
      <c r="C56" t="s">
        <v>74</v>
      </c>
      <c r="D56">
        <v>3688</v>
      </c>
      <c r="E56">
        <v>23410131</v>
      </c>
      <c r="F56" t="s">
        <v>704</v>
      </c>
      <c r="G56" t="s">
        <v>705</v>
      </c>
      <c r="H56">
        <v>3750</v>
      </c>
      <c r="I56">
        <v>168</v>
      </c>
      <c r="J56">
        <v>630000</v>
      </c>
      <c r="K56" t="str">
        <f>IFERROR(IF(B56&lt;&gt;"", TEXT(VLOOKUP(B56, 'Expected Date'!A:B, 2, FALSE) + DATE(RIGHT(C56,2),MID(C56,4,2),LEFT(C56,2)), "dd/mm/yy"), ""), "")</f>
        <v>21/08/23</v>
      </c>
      <c r="L56" t="s">
        <v>38</v>
      </c>
      <c r="M56" t="s">
        <v>750</v>
      </c>
      <c r="N56" t="s">
        <v>661</v>
      </c>
      <c r="O56" t="s">
        <v>496</v>
      </c>
      <c r="P56">
        <v>23490218</v>
      </c>
      <c r="Q56" t="s">
        <v>704</v>
      </c>
      <c r="R56" t="s">
        <v>705</v>
      </c>
      <c r="S56">
        <v>3750</v>
      </c>
      <c r="T56">
        <v>168</v>
      </c>
      <c r="U56">
        <v>630000</v>
      </c>
      <c r="V56" t="str">
        <f t="shared" si="17"/>
        <v>Accepted</v>
      </c>
      <c r="W56">
        <f>IFERROR(VLOOKUP(N56, Payment_Terms!A:B, 2, FALSE), "Payment term not found!")</f>
        <v>0</v>
      </c>
      <c r="X56" t="str">
        <f>IFERROR(VLOOKUP(R56, Item_Category!A:B, 2, FALSE), "Uncategorized")</f>
        <v>Ferrous Fumarate</v>
      </c>
      <c r="Y56" s="5">
        <f t="shared" si="4"/>
        <v>0</v>
      </c>
      <c r="Z56">
        <f t="shared" si="5"/>
        <v>5</v>
      </c>
      <c r="AA56">
        <f t="shared" si="6"/>
        <v>12</v>
      </c>
      <c r="AB56">
        <f t="shared" si="7"/>
        <v>1</v>
      </c>
      <c r="AC56" s="10">
        <f t="shared" si="8"/>
        <v>22</v>
      </c>
      <c r="AD56" s="5">
        <f t="shared" si="18"/>
        <v>1</v>
      </c>
      <c r="AE56" s="5">
        <f t="shared" si="19"/>
        <v>1</v>
      </c>
      <c r="AF56" s="5">
        <f t="shared" si="9"/>
        <v>0</v>
      </c>
      <c r="AG56">
        <f>IF(B56&lt;&gt;"", COUNTIFS($B$2:B56, B56), "")</f>
        <v>2</v>
      </c>
      <c r="AH56">
        <f t="shared" si="10"/>
        <v>5</v>
      </c>
      <c r="AI56" t="str">
        <f>VLOOKUP(B56, Currency!A:B, 2, FALSE)</f>
        <v>INR</v>
      </c>
      <c r="AJ56">
        <f t="shared" si="20"/>
        <v>4</v>
      </c>
      <c r="AK56">
        <f t="shared" si="11"/>
        <v>8</v>
      </c>
      <c r="AL56" t="str">
        <f t="shared" si="12"/>
        <v>August</v>
      </c>
      <c r="AM56">
        <f t="shared" si="13"/>
        <v>2023</v>
      </c>
      <c r="AN56" t="str">
        <f t="shared" si="21"/>
        <v>0Agarwal Life Science Pvt Ltd</v>
      </c>
      <c r="AO56">
        <f>IF(COUNTIF($AN$2:AN56, AN56)=1, 1, 0)</f>
        <v>0</v>
      </c>
      <c r="AP56" t="str">
        <f t="shared" si="14"/>
        <v>&gt;3</v>
      </c>
      <c r="AQ56" t="str">
        <f t="shared" si="15"/>
        <v>&gt;3</v>
      </c>
      <c r="AR56" t="str">
        <f t="shared" si="16"/>
        <v>&lt;=3</v>
      </c>
    </row>
    <row r="57" spans="1:44" x14ac:dyDescent="0.3">
      <c r="A57" t="s">
        <v>111</v>
      </c>
      <c r="B57" t="s">
        <v>751</v>
      </c>
      <c r="C57" t="s">
        <v>163</v>
      </c>
      <c r="D57">
        <v>4102</v>
      </c>
      <c r="E57">
        <v>23410181</v>
      </c>
      <c r="F57" t="s">
        <v>752</v>
      </c>
      <c r="G57" t="s">
        <v>753</v>
      </c>
      <c r="H57">
        <v>0.4</v>
      </c>
      <c r="I57">
        <v>2</v>
      </c>
      <c r="J57">
        <v>0.8</v>
      </c>
      <c r="K57" t="str">
        <f>IFERROR(IF(B57&lt;&gt;"", TEXT(VLOOKUP(B57, 'Expected Date'!A:B, 2, FALSE) + DATE(RIGHT(C57,2),MID(C57,4,2),LEFT(C57,2)), "dd/mm/yy"), ""), "")</f>
        <v>14/09/23</v>
      </c>
      <c r="L57" t="s">
        <v>38</v>
      </c>
      <c r="M57" t="s">
        <v>651</v>
      </c>
      <c r="N57" t="s">
        <v>470</v>
      </c>
      <c r="O57" t="s">
        <v>286</v>
      </c>
      <c r="P57">
        <v>23490206</v>
      </c>
      <c r="Q57" t="s">
        <v>752</v>
      </c>
      <c r="R57" t="s">
        <v>753</v>
      </c>
      <c r="S57">
        <v>0.4</v>
      </c>
      <c r="T57">
        <v>2</v>
      </c>
      <c r="U57">
        <v>0.8</v>
      </c>
      <c r="V57" t="str">
        <f t="shared" si="17"/>
        <v>Accepted</v>
      </c>
      <c r="W57">
        <f>IFERROR(VLOOKUP(N57, Payment_Terms!A:B, 2, FALSE), "Payment term not found!")</f>
        <v>30</v>
      </c>
      <c r="X57" t="str">
        <f>IFERROR(VLOOKUP(R57, Item_Category!A:B, 2, FALSE), "Uncategorized")</f>
        <v>Magnesium sulfate heptahydrate</v>
      </c>
      <c r="Y57" s="5">
        <f t="shared" si="4"/>
        <v>0</v>
      </c>
      <c r="Z57">
        <f t="shared" si="5"/>
        <v>5</v>
      </c>
      <c r="AA57">
        <f t="shared" si="6"/>
        <v>-14</v>
      </c>
      <c r="AB57">
        <f t="shared" si="7"/>
        <v>5</v>
      </c>
      <c r="AC57" s="10">
        <f t="shared" si="8"/>
        <v>1</v>
      </c>
      <c r="AD57" s="5">
        <f t="shared" si="18"/>
        <v>1</v>
      </c>
      <c r="AE57" s="5">
        <f t="shared" si="19"/>
        <v>1</v>
      </c>
      <c r="AF57" s="5">
        <f t="shared" si="9"/>
        <v>0</v>
      </c>
      <c r="AG57">
        <f>IF(B57&lt;&gt;"", COUNTIFS($B$2:B57, B57), "")</f>
        <v>1</v>
      </c>
      <c r="AH57">
        <f t="shared" si="10"/>
        <v>5</v>
      </c>
      <c r="AI57" t="str">
        <f>VLOOKUP(B57, Currency!A:B, 2, FALSE)</f>
        <v>INR</v>
      </c>
      <c r="AJ57">
        <f t="shared" si="20"/>
        <v>5</v>
      </c>
      <c r="AK57">
        <f t="shared" si="11"/>
        <v>8</v>
      </c>
      <c r="AL57" t="str">
        <f t="shared" si="12"/>
        <v>August</v>
      </c>
      <c r="AM57">
        <f t="shared" si="13"/>
        <v>2023</v>
      </c>
      <c r="AN57" t="str">
        <f t="shared" si="21"/>
        <v>30Nandu Chemicals Pvt Ltd</v>
      </c>
      <c r="AO57">
        <f>IF(COUNTIF($AN$2:AN57, AN57)=1, 1, 0)</f>
        <v>1</v>
      </c>
      <c r="AP57" t="str">
        <f t="shared" si="14"/>
        <v>&gt;3</v>
      </c>
      <c r="AQ57" t="str">
        <f t="shared" si="15"/>
        <v>&gt;3</v>
      </c>
      <c r="AR57" t="str">
        <f t="shared" si="16"/>
        <v>&gt;3</v>
      </c>
    </row>
    <row r="58" spans="1:44" x14ac:dyDescent="0.3">
      <c r="A58" t="s">
        <v>33</v>
      </c>
      <c r="B58" t="s">
        <v>609</v>
      </c>
      <c r="C58" t="s">
        <v>332</v>
      </c>
      <c r="D58">
        <v>4098</v>
      </c>
      <c r="E58">
        <v>23410178</v>
      </c>
      <c r="F58" t="s">
        <v>696</v>
      </c>
      <c r="G58" t="s">
        <v>697</v>
      </c>
      <c r="H58">
        <v>0.5</v>
      </c>
      <c r="I58">
        <v>5</v>
      </c>
      <c r="J58">
        <v>2.5</v>
      </c>
      <c r="K58" t="str">
        <f>IFERROR(IF(B58&lt;&gt;"", TEXT(VLOOKUP(B58, 'Expected Date'!A:B, 2, FALSE) + DATE(RIGHT(C58,2),MID(C58,4,2),LEFT(C58,2)), "dd/mm/yy"), ""), "")</f>
        <v>08/09/23</v>
      </c>
      <c r="L58" t="s">
        <v>38</v>
      </c>
      <c r="M58" t="s">
        <v>48</v>
      </c>
      <c r="N58" t="s">
        <v>470</v>
      </c>
      <c r="O58" t="s">
        <v>286</v>
      </c>
      <c r="P58">
        <v>23490209</v>
      </c>
      <c r="Q58" t="s">
        <v>696</v>
      </c>
      <c r="R58" t="s">
        <v>697</v>
      </c>
      <c r="S58">
        <v>0.5</v>
      </c>
      <c r="T58">
        <v>5</v>
      </c>
      <c r="U58">
        <v>2.5</v>
      </c>
      <c r="V58" t="str">
        <f t="shared" si="17"/>
        <v>Accepted</v>
      </c>
      <c r="W58">
        <f>IFERROR(VLOOKUP(N58, Payment_Terms!A:B, 2, FALSE), "Payment term not found!")</f>
        <v>30</v>
      </c>
      <c r="X58" t="str">
        <f>IFERROR(VLOOKUP(R58, Item_Category!A:B, 2, FALSE), "Uncategorized")</f>
        <v>Vitamin A Acetate 325 CWS</v>
      </c>
      <c r="Y58" s="5">
        <f t="shared" si="4"/>
        <v>0</v>
      </c>
      <c r="Z58">
        <f t="shared" si="5"/>
        <v>5</v>
      </c>
      <c r="AA58">
        <f t="shared" si="6"/>
        <v>-8</v>
      </c>
      <c r="AB58">
        <f t="shared" si="7"/>
        <v>5</v>
      </c>
      <c r="AC58" s="10">
        <f t="shared" si="8"/>
        <v>2</v>
      </c>
      <c r="AD58" s="5">
        <f t="shared" si="18"/>
        <v>1</v>
      </c>
      <c r="AE58" s="5">
        <f t="shared" si="19"/>
        <v>1</v>
      </c>
      <c r="AF58" s="5">
        <f t="shared" si="9"/>
        <v>0</v>
      </c>
      <c r="AG58">
        <f>IF(B58&lt;&gt;"", COUNTIFS($B$2:B58, B58), "")</f>
        <v>4</v>
      </c>
      <c r="AH58">
        <f t="shared" si="10"/>
        <v>5</v>
      </c>
      <c r="AI58" t="str">
        <f>VLOOKUP(B58, Currency!A:B, 2, FALSE)</f>
        <v>INR</v>
      </c>
      <c r="AJ58">
        <f t="shared" si="20"/>
        <v>5</v>
      </c>
      <c r="AK58">
        <f t="shared" si="11"/>
        <v>8</v>
      </c>
      <c r="AL58" t="str">
        <f t="shared" si="12"/>
        <v>August</v>
      </c>
      <c r="AM58">
        <f t="shared" si="13"/>
        <v>2023</v>
      </c>
      <c r="AN58" t="str">
        <f t="shared" si="21"/>
        <v>30HUFORT HEALTHCARE PRIVATE LIMITED</v>
      </c>
      <c r="AO58">
        <f>IF(COUNTIF($AN$2:AN58, AN58)=1, 1, 0)</f>
        <v>0</v>
      </c>
      <c r="AP58" t="str">
        <f t="shared" si="14"/>
        <v>&gt;3</v>
      </c>
      <c r="AQ58" t="str">
        <f t="shared" si="15"/>
        <v>&gt;3</v>
      </c>
      <c r="AR58" t="str">
        <f t="shared" si="16"/>
        <v>&gt;3</v>
      </c>
    </row>
    <row r="59" spans="1:44" x14ac:dyDescent="0.3">
      <c r="A59" t="s">
        <v>33</v>
      </c>
      <c r="B59" t="s">
        <v>625</v>
      </c>
      <c r="C59" t="s">
        <v>332</v>
      </c>
      <c r="D59">
        <v>4093</v>
      </c>
      <c r="E59">
        <v>23410173</v>
      </c>
      <c r="F59" t="s">
        <v>754</v>
      </c>
      <c r="G59" t="s">
        <v>755</v>
      </c>
      <c r="H59">
        <v>2</v>
      </c>
      <c r="I59">
        <v>3</v>
      </c>
      <c r="J59">
        <v>6</v>
      </c>
      <c r="K59" t="str">
        <f>IFERROR(IF(B59&lt;&gt;"", TEXT(VLOOKUP(B59, 'Expected Date'!A:B, 2, FALSE) + DATE(RIGHT(C59,2),MID(C59,4,2),LEFT(C59,2)), "dd/mm/yy"), ""), "")</f>
        <v>08/09/23</v>
      </c>
      <c r="L59" t="s">
        <v>38</v>
      </c>
      <c r="M59" t="s">
        <v>48</v>
      </c>
      <c r="N59" t="s">
        <v>470</v>
      </c>
      <c r="O59" t="s">
        <v>286</v>
      </c>
      <c r="P59">
        <v>23490214</v>
      </c>
      <c r="Q59" t="s">
        <v>754</v>
      </c>
      <c r="R59" t="s">
        <v>755</v>
      </c>
      <c r="S59">
        <v>2</v>
      </c>
      <c r="T59">
        <v>3</v>
      </c>
      <c r="U59">
        <v>6</v>
      </c>
      <c r="V59" t="str">
        <f t="shared" si="17"/>
        <v>Accepted</v>
      </c>
      <c r="W59">
        <f>IFERROR(VLOOKUP(N59, Payment_Terms!A:B, 2, FALSE), "Payment term not found!")</f>
        <v>30</v>
      </c>
      <c r="X59" t="str">
        <f>IFERROR(VLOOKUP(R59, Item_Category!A:B, 2, FALSE), "Uncategorized")</f>
        <v>Tricalcium Phosphate Anhydrous</v>
      </c>
      <c r="Y59" s="5">
        <f t="shared" si="4"/>
        <v>0</v>
      </c>
      <c r="Z59">
        <f t="shared" si="5"/>
        <v>5</v>
      </c>
      <c r="AA59">
        <f t="shared" si="6"/>
        <v>-8</v>
      </c>
      <c r="AB59">
        <f t="shared" si="7"/>
        <v>5</v>
      </c>
      <c r="AC59" s="10">
        <f t="shared" si="8"/>
        <v>2</v>
      </c>
      <c r="AD59" s="5">
        <f t="shared" si="18"/>
        <v>1</v>
      </c>
      <c r="AE59" s="5">
        <f t="shared" si="19"/>
        <v>1</v>
      </c>
      <c r="AF59" s="5">
        <f t="shared" si="9"/>
        <v>0</v>
      </c>
      <c r="AG59">
        <f>IF(B59&lt;&gt;"", COUNTIFS($B$2:B59, B59), "")</f>
        <v>2</v>
      </c>
      <c r="AH59">
        <f t="shared" si="10"/>
        <v>5</v>
      </c>
      <c r="AI59" t="str">
        <f>VLOOKUP(B59, Currency!A:B, 2, FALSE)</f>
        <v>INR</v>
      </c>
      <c r="AJ59">
        <f t="shared" si="20"/>
        <v>5</v>
      </c>
      <c r="AK59">
        <f t="shared" si="11"/>
        <v>8</v>
      </c>
      <c r="AL59" t="str">
        <f t="shared" si="12"/>
        <v>August</v>
      </c>
      <c r="AM59">
        <f t="shared" si="13"/>
        <v>2023</v>
      </c>
      <c r="AN59" t="str">
        <f t="shared" si="21"/>
        <v>30ARIHANT PURECHEM PVT. LTD.</v>
      </c>
      <c r="AO59">
        <f>IF(COUNTIF($AN$2:AN59, AN59)=1, 1, 0)</f>
        <v>0</v>
      </c>
      <c r="AP59" t="str">
        <f t="shared" si="14"/>
        <v>&gt;3</v>
      </c>
      <c r="AQ59" t="str">
        <f t="shared" si="15"/>
        <v>&gt;3</v>
      </c>
      <c r="AR59" t="str">
        <f t="shared" si="16"/>
        <v>&gt;3</v>
      </c>
    </row>
    <row r="60" spans="1:44" x14ac:dyDescent="0.3">
      <c r="A60" t="s">
        <v>33</v>
      </c>
      <c r="B60" t="s">
        <v>629</v>
      </c>
      <c r="C60" t="s">
        <v>181</v>
      </c>
      <c r="D60">
        <v>4505</v>
      </c>
      <c r="E60">
        <v>23410206</v>
      </c>
      <c r="F60" t="s">
        <v>756</v>
      </c>
      <c r="G60" t="s">
        <v>757</v>
      </c>
      <c r="H60">
        <v>0.5</v>
      </c>
      <c r="I60">
        <v>2</v>
      </c>
      <c r="J60">
        <v>1</v>
      </c>
      <c r="K60" t="str">
        <f>IFERROR(IF(B60&lt;&gt;"", TEXT(VLOOKUP(B60, 'Expected Date'!A:B, 2, FALSE) + DATE(RIGHT(C60,2),MID(C60,4,2),LEFT(C60,2)), "dd/mm/yy"), ""), "")</f>
        <v>01/10/23</v>
      </c>
      <c r="L60" t="s">
        <v>38</v>
      </c>
      <c r="M60" t="s">
        <v>48</v>
      </c>
      <c r="N60" t="s">
        <v>470</v>
      </c>
      <c r="O60" t="s">
        <v>228</v>
      </c>
      <c r="P60">
        <v>23490257</v>
      </c>
      <c r="Q60" t="s">
        <v>756</v>
      </c>
      <c r="R60" t="s">
        <v>757</v>
      </c>
      <c r="S60">
        <v>0.5</v>
      </c>
      <c r="T60">
        <v>2</v>
      </c>
      <c r="U60">
        <v>1</v>
      </c>
      <c r="V60" t="str">
        <f t="shared" si="17"/>
        <v>Accepted</v>
      </c>
      <c r="W60">
        <f>IFERROR(VLOOKUP(N60, Payment_Terms!A:B, 2, FALSE), "Payment term not found!")</f>
        <v>30</v>
      </c>
      <c r="X60" t="str">
        <f>IFERROR(VLOOKUP(R60, Item_Category!A:B, 2, FALSE), "Uncategorized")</f>
        <v>Sodium Citrate</v>
      </c>
      <c r="Y60" s="5">
        <f t="shared" si="4"/>
        <v>0</v>
      </c>
      <c r="Z60">
        <f t="shared" si="5"/>
        <v>5</v>
      </c>
      <c r="AA60">
        <f t="shared" si="6"/>
        <v>-9</v>
      </c>
      <c r="AB60">
        <f t="shared" si="7"/>
        <v>5</v>
      </c>
      <c r="AC60" s="10">
        <f t="shared" si="8"/>
        <v>1</v>
      </c>
      <c r="AD60" s="5">
        <f t="shared" si="18"/>
        <v>1</v>
      </c>
      <c r="AE60" s="5">
        <f t="shared" si="19"/>
        <v>1</v>
      </c>
      <c r="AF60" s="5">
        <f t="shared" si="9"/>
        <v>0</v>
      </c>
      <c r="AG60">
        <f>IF(B60&lt;&gt;"", COUNTIFS($B$2:B60, B60), "")</f>
        <v>2</v>
      </c>
      <c r="AH60">
        <f t="shared" si="10"/>
        <v>5</v>
      </c>
      <c r="AI60" t="str">
        <f>VLOOKUP(B60, Currency!A:B, 2, FALSE)</f>
        <v>INR</v>
      </c>
      <c r="AJ60">
        <f t="shared" si="20"/>
        <v>5</v>
      </c>
      <c r="AK60">
        <f t="shared" si="11"/>
        <v>9</v>
      </c>
      <c r="AL60" t="str">
        <f t="shared" si="12"/>
        <v>September</v>
      </c>
      <c r="AM60">
        <f t="shared" si="13"/>
        <v>2023</v>
      </c>
      <c r="AN60" t="str">
        <f t="shared" si="21"/>
        <v>30M N CHEMICALS LTD</v>
      </c>
      <c r="AO60">
        <f>IF(COUNTIF($AN$2:AN60, AN60)=1, 1, 0)</f>
        <v>1</v>
      </c>
      <c r="AP60" t="str">
        <f t="shared" si="14"/>
        <v>&gt;3</v>
      </c>
      <c r="AQ60" t="str">
        <f t="shared" si="15"/>
        <v>&gt;3</v>
      </c>
      <c r="AR60" t="str">
        <f t="shared" si="16"/>
        <v>&gt;3</v>
      </c>
    </row>
    <row r="61" spans="1:44" x14ac:dyDescent="0.3">
      <c r="A61" t="s">
        <v>33</v>
      </c>
      <c r="B61" t="s">
        <v>234</v>
      </c>
      <c r="C61" t="s">
        <v>227</v>
      </c>
      <c r="D61">
        <v>3300</v>
      </c>
      <c r="E61">
        <v>23410103</v>
      </c>
      <c r="F61" t="s">
        <v>732</v>
      </c>
      <c r="G61" t="s">
        <v>733</v>
      </c>
      <c r="H61">
        <v>75</v>
      </c>
      <c r="I61">
        <v>115</v>
      </c>
      <c r="J61">
        <v>8625</v>
      </c>
      <c r="K61" t="str">
        <f>IFERROR(IF(B61&lt;&gt;"", TEXT(VLOOKUP(B61, 'Expected Date'!A:B, 2, FALSE) + DATE(RIGHT(C61,2),MID(C61,4,2),LEFT(C61,2)), "dd/mm/yy"), ""), "")</f>
        <v>04/08/23</v>
      </c>
      <c r="L61" t="s">
        <v>38</v>
      </c>
      <c r="M61" t="s">
        <v>48</v>
      </c>
      <c r="N61" t="s">
        <v>237</v>
      </c>
      <c r="O61" t="s">
        <v>202</v>
      </c>
      <c r="P61">
        <v>23490158</v>
      </c>
      <c r="Q61" t="s">
        <v>732</v>
      </c>
      <c r="R61" t="s">
        <v>733</v>
      </c>
      <c r="S61">
        <v>75</v>
      </c>
      <c r="T61">
        <v>115</v>
      </c>
      <c r="U61">
        <v>8625</v>
      </c>
      <c r="V61" t="str">
        <f t="shared" si="17"/>
        <v>Accepted</v>
      </c>
      <c r="W61">
        <f>IFERROR(VLOOKUP(N61, Payment_Terms!A:B, 2, FALSE), "Payment term not found!")</f>
        <v>0</v>
      </c>
      <c r="X61" t="str">
        <f>IFERROR(VLOOKUP(R61, Item_Category!A:B, 2, FALSE), "Uncategorized")</f>
        <v>Dicalcium Phosphate anhydrous</v>
      </c>
      <c r="Y61" s="5">
        <f t="shared" si="4"/>
        <v>0</v>
      </c>
      <c r="Z61">
        <f t="shared" si="5"/>
        <v>5</v>
      </c>
      <c r="AA61">
        <f t="shared" si="6"/>
        <v>5</v>
      </c>
      <c r="AB61">
        <f t="shared" si="7"/>
        <v>3</v>
      </c>
      <c r="AC61" s="10">
        <f t="shared" si="8"/>
        <v>15</v>
      </c>
      <c r="AD61" s="5">
        <f t="shared" si="18"/>
        <v>1</v>
      </c>
      <c r="AE61" s="5">
        <f t="shared" si="19"/>
        <v>1</v>
      </c>
      <c r="AF61" s="5">
        <f t="shared" si="9"/>
        <v>0</v>
      </c>
      <c r="AG61">
        <f>IF(B61&lt;&gt;"", COUNTIFS($B$2:B61, B61), "")</f>
        <v>4</v>
      </c>
      <c r="AH61">
        <f t="shared" si="10"/>
        <v>5</v>
      </c>
      <c r="AI61" t="str">
        <f>VLOOKUP(B61, Currency!A:B, 2, FALSE)</f>
        <v>INR</v>
      </c>
      <c r="AJ61">
        <f t="shared" si="20"/>
        <v>5</v>
      </c>
      <c r="AK61">
        <f t="shared" si="11"/>
        <v>7</v>
      </c>
      <c r="AL61" t="str">
        <f t="shared" si="12"/>
        <v>July</v>
      </c>
      <c r="AM61">
        <f t="shared" si="13"/>
        <v>2023</v>
      </c>
      <c r="AN61" t="str">
        <f t="shared" si="21"/>
        <v>0Sbf pharma</v>
      </c>
      <c r="AO61">
        <f>IF(COUNTIF($AN$2:AN61, AN61)=1, 1, 0)</f>
        <v>1</v>
      </c>
      <c r="AP61" t="str">
        <f t="shared" si="14"/>
        <v>&gt;3</v>
      </c>
      <c r="AQ61" t="str">
        <f t="shared" si="15"/>
        <v>&gt;3</v>
      </c>
      <c r="AR61" t="str">
        <f t="shared" si="16"/>
        <v>&lt;=3</v>
      </c>
    </row>
    <row r="62" spans="1:44" x14ac:dyDescent="0.3">
      <c r="A62" t="s">
        <v>111</v>
      </c>
      <c r="B62" t="s">
        <v>751</v>
      </c>
      <c r="C62" t="s">
        <v>163</v>
      </c>
      <c r="D62">
        <v>4101</v>
      </c>
      <c r="E62">
        <v>23410180</v>
      </c>
      <c r="F62" t="s">
        <v>758</v>
      </c>
      <c r="G62" t="s">
        <v>759</v>
      </c>
      <c r="H62">
        <v>0.6</v>
      </c>
      <c r="I62">
        <v>2</v>
      </c>
      <c r="J62">
        <v>1.2</v>
      </c>
      <c r="K62" t="str">
        <f>IFERROR(IF(B62&lt;&gt;"", TEXT(VLOOKUP(B62, 'Expected Date'!A:B, 2, FALSE) + DATE(RIGHT(C62,2),MID(C62,4,2),LEFT(C62,2)), "dd/mm/yy"), ""), "")</f>
        <v>14/09/23</v>
      </c>
      <c r="L62" t="s">
        <v>38</v>
      </c>
      <c r="M62" t="s">
        <v>48</v>
      </c>
      <c r="N62" t="s">
        <v>470</v>
      </c>
      <c r="O62" t="s">
        <v>286</v>
      </c>
      <c r="P62">
        <v>23490208</v>
      </c>
      <c r="Q62" t="s">
        <v>758</v>
      </c>
      <c r="R62" t="s">
        <v>759</v>
      </c>
      <c r="S62">
        <v>0.6</v>
      </c>
      <c r="T62">
        <v>2</v>
      </c>
      <c r="U62">
        <v>1.2</v>
      </c>
      <c r="V62" t="str">
        <f t="shared" si="17"/>
        <v>Accepted</v>
      </c>
      <c r="W62">
        <f>IFERROR(VLOOKUP(N62, Payment_Terms!A:B, 2, FALSE), "Payment term not found!")</f>
        <v>30</v>
      </c>
      <c r="X62" t="str">
        <f>IFERROR(VLOOKUP(R62, Item_Category!A:B, 2, FALSE), "Uncategorized")</f>
        <v>Zinc sulphate monohydrate</v>
      </c>
      <c r="Y62" s="5">
        <f t="shared" si="4"/>
        <v>0</v>
      </c>
      <c r="Z62">
        <f t="shared" si="5"/>
        <v>5</v>
      </c>
      <c r="AA62">
        <f t="shared" si="6"/>
        <v>-14</v>
      </c>
      <c r="AB62">
        <f t="shared" si="7"/>
        <v>5</v>
      </c>
      <c r="AC62" s="10">
        <f t="shared" si="8"/>
        <v>1</v>
      </c>
      <c r="AD62" s="5">
        <f t="shared" si="18"/>
        <v>1</v>
      </c>
      <c r="AE62" s="5">
        <f t="shared" si="19"/>
        <v>1</v>
      </c>
      <c r="AF62" s="5">
        <f t="shared" si="9"/>
        <v>0</v>
      </c>
      <c r="AG62">
        <f>IF(B62&lt;&gt;"", COUNTIFS($B$2:B62, B62), "")</f>
        <v>2</v>
      </c>
      <c r="AH62">
        <f t="shared" si="10"/>
        <v>5</v>
      </c>
      <c r="AI62" t="str">
        <f>VLOOKUP(B62, Currency!A:B, 2, FALSE)</f>
        <v>INR</v>
      </c>
      <c r="AJ62">
        <f t="shared" si="20"/>
        <v>5</v>
      </c>
      <c r="AK62">
        <f t="shared" si="11"/>
        <v>8</v>
      </c>
      <c r="AL62" t="str">
        <f t="shared" si="12"/>
        <v>August</v>
      </c>
      <c r="AM62">
        <f t="shared" si="13"/>
        <v>2023</v>
      </c>
      <c r="AN62" t="str">
        <f t="shared" si="21"/>
        <v>30Nandu Chemicals Pvt Ltd</v>
      </c>
      <c r="AO62">
        <f>IF(COUNTIF($AN$2:AN62, AN62)=1, 1, 0)</f>
        <v>0</v>
      </c>
      <c r="AP62" t="str">
        <f t="shared" si="14"/>
        <v>&gt;3</v>
      </c>
      <c r="AQ62" t="str">
        <f t="shared" si="15"/>
        <v>&gt;3</v>
      </c>
      <c r="AR62" t="str">
        <f t="shared" si="16"/>
        <v>&gt;3</v>
      </c>
    </row>
    <row r="63" spans="1:44" x14ac:dyDescent="0.3">
      <c r="A63" t="s">
        <v>33</v>
      </c>
      <c r="B63" t="s">
        <v>760</v>
      </c>
      <c r="C63" t="s">
        <v>288</v>
      </c>
      <c r="D63">
        <v>3840</v>
      </c>
      <c r="E63">
        <v>23410143</v>
      </c>
      <c r="F63" t="s">
        <v>761</v>
      </c>
      <c r="G63" t="s">
        <v>762</v>
      </c>
      <c r="H63">
        <v>0.5</v>
      </c>
      <c r="I63">
        <v>1170</v>
      </c>
      <c r="J63">
        <v>585</v>
      </c>
      <c r="K63" t="str">
        <f>IFERROR(IF(B63&lt;&gt;"", TEXT(VLOOKUP(B63, 'Expected Date'!A:B, 2, FALSE) + DATE(RIGHT(C63,2),MID(C63,4,2),LEFT(C63,2)), "dd/mm/yy"), ""), "")</f>
        <v>02/09/23</v>
      </c>
      <c r="L63" t="s">
        <v>38</v>
      </c>
      <c r="M63" t="s">
        <v>48</v>
      </c>
      <c r="N63" t="s">
        <v>237</v>
      </c>
      <c r="O63" t="s">
        <v>496</v>
      </c>
      <c r="P63">
        <v>23490221</v>
      </c>
      <c r="Q63" t="s">
        <v>761</v>
      </c>
      <c r="R63" t="s">
        <v>762</v>
      </c>
      <c r="S63">
        <v>0.5</v>
      </c>
      <c r="T63">
        <v>1170</v>
      </c>
      <c r="U63">
        <v>585</v>
      </c>
      <c r="V63" t="str">
        <f t="shared" si="17"/>
        <v>Accepted</v>
      </c>
      <c r="W63">
        <f>IFERROR(VLOOKUP(N63, Payment_Terms!A:B, 2, FALSE), "Payment term not found!")</f>
        <v>0</v>
      </c>
      <c r="X63" t="str">
        <f>IFERROR(VLOOKUP(R63, Item_Category!A:B, 2, FALSE), "Uncategorized")</f>
        <v>Magnesium Gluconate</v>
      </c>
      <c r="Y63" s="5">
        <f t="shared" si="4"/>
        <v>0</v>
      </c>
      <c r="Z63">
        <f t="shared" si="5"/>
        <v>5</v>
      </c>
      <c r="AA63">
        <f t="shared" si="6"/>
        <v>0</v>
      </c>
      <c r="AB63">
        <f t="shared" si="7"/>
        <v>5</v>
      </c>
      <c r="AC63" s="10">
        <f t="shared" si="8"/>
        <v>15</v>
      </c>
      <c r="AD63" s="5">
        <f t="shared" si="18"/>
        <v>1</v>
      </c>
      <c r="AE63" s="5">
        <f t="shared" si="19"/>
        <v>1</v>
      </c>
      <c r="AF63" s="5">
        <f t="shared" si="9"/>
        <v>0</v>
      </c>
      <c r="AG63">
        <f>IF(B63&lt;&gt;"", COUNTIFS($B$2:B63, B63), "")</f>
        <v>1</v>
      </c>
      <c r="AH63">
        <f t="shared" si="10"/>
        <v>5</v>
      </c>
      <c r="AI63" t="str">
        <f>VLOOKUP(B63, Currency!A:B, 2, FALSE)</f>
        <v>INR</v>
      </c>
      <c r="AJ63">
        <f t="shared" si="20"/>
        <v>5</v>
      </c>
      <c r="AK63">
        <f t="shared" si="11"/>
        <v>8</v>
      </c>
      <c r="AL63" t="str">
        <f t="shared" si="12"/>
        <v>August</v>
      </c>
      <c r="AM63">
        <f t="shared" si="13"/>
        <v>2023</v>
      </c>
      <c r="AN63" t="str">
        <f t="shared" si="21"/>
        <v>0ANNEXE CHEM PRIVATE LIMITED</v>
      </c>
      <c r="AO63">
        <f>IF(COUNTIF($AN$2:AN63, AN63)=1, 1, 0)</f>
        <v>1</v>
      </c>
      <c r="AP63" t="str">
        <f t="shared" si="14"/>
        <v>&gt;3</v>
      </c>
      <c r="AQ63" t="str">
        <f t="shared" si="15"/>
        <v>&gt;3</v>
      </c>
      <c r="AR63" t="str">
        <f t="shared" si="16"/>
        <v>&gt;3</v>
      </c>
    </row>
    <row r="64" spans="1:44" x14ac:dyDescent="0.3">
      <c r="A64" t="s">
        <v>33</v>
      </c>
      <c r="B64" t="s">
        <v>739</v>
      </c>
      <c r="C64" t="s">
        <v>354</v>
      </c>
      <c r="D64">
        <v>2810</v>
      </c>
      <c r="E64">
        <v>23410075</v>
      </c>
      <c r="F64" t="s">
        <v>763</v>
      </c>
      <c r="G64" t="s">
        <v>764</v>
      </c>
      <c r="H64">
        <v>0.5</v>
      </c>
      <c r="I64">
        <v>2600</v>
      </c>
      <c r="J64">
        <v>1300</v>
      </c>
      <c r="K64" t="str">
        <f>IFERROR(IF(B64&lt;&gt;"", TEXT(VLOOKUP(B64, 'Expected Date'!A:B, 2, FALSE) + DATE(RIGHT(C64,2),MID(C64,4,2),LEFT(C64,2)), "dd/mm/yy"), ""), "")</f>
        <v>05/07/23</v>
      </c>
      <c r="L64" t="s">
        <v>38</v>
      </c>
      <c r="M64" t="s">
        <v>618</v>
      </c>
      <c r="N64" t="s">
        <v>765</v>
      </c>
      <c r="O64" t="s">
        <v>90</v>
      </c>
      <c r="P64">
        <v>23490112</v>
      </c>
      <c r="Q64" t="s">
        <v>763</v>
      </c>
      <c r="R64" t="s">
        <v>764</v>
      </c>
      <c r="S64">
        <v>0.5</v>
      </c>
      <c r="T64">
        <v>2600</v>
      </c>
      <c r="U64">
        <v>1300</v>
      </c>
      <c r="V64" t="str">
        <f t="shared" si="17"/>
        <v>Accepted</v>
      </c>
      <c r="W64">
        <f>IFERROR(VLOOKUP(N64, Payment_Terms!A:B, 2, FALSE), "Payment term not found!")</f>
        <v>0</v>
      </c>
      <c r="X64" t="str">
        <f>IFERROR(VLOOKUP(R64, Item_Category!A:B, 2, FALSE), "Uncategorized")</f>
        <v>Chromium (III) Chloride hexahydrate</v>
      </c>
      <c r="Y64" s="5">
        <f t="shared" si="4"/>
        <v>0</v>
      </c>
      <c r="Z64">
        <f t="shared" si="5"/>
        <v>5</v>
      </c>
      <c r="AA64">
        <f t="shared" si="6"/>
        <v>1</v>
      </c>
      <c r="AB64">
        <f t="shared" si="7"/>
        <v>5</v>
      </c>
      <c r="AC64" s="10">
        <f t="shared" si="8"/>
        <v>3</v>
      </c>
      <c r="AD64" s="5">
        <f t="shared" si="18"/>
        <v>1</v>
      </c>
      <c r="AE64" s="5">
        <f t="shared" si="19"/>
        <v>1</v>
      </c>
      <c r="AF64" s="5">
        <f t="shared" si="9"/>
        <v>0</v>
      </c>
      <c r="AG64">
        <f>IF(B64&lt;&gt;"", COUNTIFS($B$2:B64, B64), "")</f>
        <v>2</v>
      </c>
      <c r="AH64">
        <f t="shared" si="10"/>
        <v>5</v>
      </c>
      <c r="AI64" t="str">
        <f>VLOOKUP(B64, Currency!A:B, 2, FALSE)</f>
        <v>INR</v>
      </c>
      <c r="AJ64">
        <f t="shared" si="20"/>
        <v>5</v>
      </c>
      <c r="AK64">
        <f t="shared" si="11"/>
        <v>7</v>
      </c>
      <c r="AL64" t="str">
        <f t="shared" si="12"/>
        <v>July</v>
      </c>
      <c r="AM64">
        <f t="shared" si="13"/>
        <v>2023</v>
      </c>
      <c r="AN64" t="str">
        <f t="shared" si="21"/>
        <v>0SUN LIFE SCIENCES</v>
      </c>
      <c r="AO64">
        <f>IF(COUNTIF($AN$2:AN64, AN64)=1, 1, 0)</f>
        <v>0</v>
      </c>
      <c r="AP64" t="str">
        <f t="shared" si="14"/>
        <v>&gt;3</v>
      </c>
      <c r="AQ64" t="str">
        <f t="shared" si="15"/>
        <v>&gt;3</v>
      </c>
      <c r="AR64" t="str">
        <f t="shared" si="16"/>
        <v>&gt;3</v>
      </c>
    </row>
    <row r="65" spans="1:44" x14ac:dyDescent="0.3">
      <c r="A65" t="s">
        <v>33</v>
      </c>
      <c r="B65" t="s">
        <v>760</v>
      </c>
      <c r="C65" t="s">
        <v>163</v>
      </c>
      <c r="D65">
        <v>4100</v>
      </c>
      <c r="E65">
        <v>23410179</v>
      </c>
      <c r="F65" t="s">
        <v>766</v>
      </c>
      <c r="G65" t="s">
        <v>767</v>
      </c>
      <c r="H65">
        <v>1</v>
      </c>
      <c r="I65">
        <v>4</v>
      </c>
      <c r="J65">
        <v>4</v>
      </c>
      <c r="K65" t="str">
        <f>IFERROR(IF(B65&lt;&gt;"", TEXT(VLOOKUP(B65, 'Expected Date'!A:B, 2, FALSE) + DATE(RIGHT(C65,2),MID(C65,4,2),LEFT(C65,2)), "dd/mm/yy"), ""), "")</f>
        <v>14/09/23</v>
      </c>
      <c r="L65" t="s">
        <v>38</v>
      </c>
      <c r="M65" t="s">
        <v>48</v>
      </c>
      <c r="N65" t="s">
        <v>470</v>
      </c>
      <c r="O65" t="s">
        <v>286</v>
      </c>
      <c r="P65">
        <v>23490207</v>
      </c>
      <c r="Q65" t="s">
        <v>766</v>
      </c>
      <c r="R65" t="s">
        <v>767</v>
      </c>
      <c r="S65">
        <v>1</v>
      </c>
      <c r="T65">
        <v>4</v>
      </c>
      <c r="U65">
        <v>4</v>
      </c>
      <c r="V65" t="str">
        <f t="shared" si="17"/>
        <v>Accepted</v>
      </c>
      <c r="W65">
        <f>IFERROR(VLOOKUP(N65, Payment_Terms!A:B, 2, FALSE), "Payment term not found!")</f>
        <v>30</v>
      </c>
      <c r="X65" t="str">
        <f>IFERROR(VLOOKUP(R65, Item_Category!A:B, 2, FALSE), "Uncategorized")</f>
        <v>Magnesium Citrate</v>
      </c>
      <c r="Y65" s="5">
        <f t="shared" si="4"/>
        <v>0</v>
      </c>
      <c r="Z65">
        <f t="shared" si="5"/>
        <v>5</v>
      </c>
      <c r="AA65">
        <f t="shared" si="6"/>
        <v>-14</v>
      </c>
      <c r="AB65">
        <f t="shared" si="7"/>
        <v>5</v>
      </c>
      <c r="AC65" s="10">
        <f t="shared" si="8"/>
        <v>1</v>
      </c>
      <c r="AD65" s="5">
        <f t="shared" si="18"/>
        <v>1</v>
      </c>
      <c r="AE65" s="5">
        <f t="shared" si="19"/>
        <v>1</v>
      </c>
      <c r="AF65" s="5">
        <f t="shared" si="9"/>
        <v>0</v>
      </c>
      <c r="AG65">
        <f>IF(B65&lt;&gt;"", COUNTIFS($B$2:B65, B65), "")</f>
        <v>2</v>
      </c>
      <c r="AH65">
        <f t="shared" si="10"/>
        <v>5</v>
      </c>
      <c r="AI65" t="str">
        <f>VLOOKUP(B65, Currency!A:B, 2, FALSE)</f>
        <v>INR</v>
      </c>
      <c r="AJ65">
        <f t="shared" si="20"/>
        <v>5</v>
      </c>
      <c r="AK65">
        <f t="shared" si="11"/>
        <v>8</v>
      </c>
      <c r="AL65" t="str">
        <f t="shared" si="12"/>
        <v>August</v>
      </c>
      <c r="AM65">
        <f t="shared" si="13"/>
        <v>2023</v>
      </c>
      <c r="AN65" t="str">
        <f t="shared" si="21"/>
        <v>30ANNEXE CHEM PRIVATE LIMITED</v>
      </c>
      <c r="AO65">
        <f>IF(COUNTIF($AN$2:AN65, AN65)=1, 1, 0)</f>
        <v>1</v>
      </c>
      <c r="AP65" t="str">
        <f t="shared" si="14"/>
        <v>&gt;3</v>
      </c>
      <c r="AQ65" t="str">
        <f t="shared" si="15"/>
        <v>&gt;3</v>
      </c>
      <c r="AR65" t="str">
        <f t="shared" si="16"/>
        <v>&gt;3</v>
      </c>
    </row>
    <row r="66" spans="1:44" x14ac:dyDescent="0.3">
      <c r="A66" t="s">
        <v>33</v>
      </c>
      <c r="B66" t="s">
        <v>760</v>
      </c>
      <c r="C66" t="s">
        <v>288</v>
      </c>
      <c r="D66">
        <v>3840</v>
      </c>
      <c r="E66">
        <v>23410143</v>
      </c>
      <c r="F66" t="s">
        <v>768</v>
      </c>
      <c r="G66" t="s">
        <v>769</v>
      </c>
      <c r="H66">
        <v>1</v>
      </c>
      <c r="I66">
        <v>885</v>
      </c>
      <c r="J66">
        <v>885</v>
      </c>
      <c r="K66" t="str">
        <f>IFERROR(IF(B66&lt;&gt;"", TEXT(VLOOKUP(B66, 'Expected Date'!A:B, 2, FALSE) + DATE(RIGHT(C66,2),MID(C66,4,2),LEFT(C66,2)), "dd/mm/yy"), ""), "")</f>
        <v>02/09/23</v>
      </c>
      <c r="L66" t="s">
        <v>38</v>
      </c>
      <c r="M66" t="s">
        <v>48</v>
      </c>
      <c r="N66" t="s">
        <v>237</v>
      </c>
      <c r="O66" t="s">
        <v>496</v>
      </c>
      <c r="P66">
        <v>23490221</v>
      </c>
      <c r="Q66" t="s">
        <v>768</v>
      </c>
      <c r="R66" t="s">
        <v>769</v>
      </c>
      <c r="S66">
        <v>1</v>
      </c>
      <c r="T66">
        <v>885</v>
      </c>
      <c r="U66">
        <v>885</v>
      </c>
      <c r="V66" t="str">
        <f t="shared" si="17"/>
        <v>Accepted</v>
      </c>
      <c r="W66">
        <f>IFERROR(VLOOKUP(N66, Payment_Terms!A:B, 2, FALSE), "Payment term not found!")</f>
        <v>0</v>
      </c>
      <c r="X66" t="str">
        <f>IFERROR(VLOOKUP(R66, Item_Category!A:B, 2, FALSE), "Uncategorized")</f>
        <v>Calcium Gluconate</v>
      </c>
      <c r="Y66" s="5">
        <f t="shared" si="4"/>
        <v>0</v>
      </c>
      <c r="Z66">
        <f t="shared" si="5"/>
        <v>5</v>
      </c>
      <c r="AA66">
        <f t="shared" si="6"/>
        <v>0</v>
      </c>
      <c r="AB66">
        <f t="shared" si="7"/>
        <v>5</v>
      </c>
      <c r="AC66" s="10">
        <f t="shared" si="8"/>
        <v>15</v>
      </c>
      <c r="AD66" s="5">
        <f t="shared" ref="AD66:AD83" si="22">IF(V66="Accepted",1,0)</f>
        <v>1</v>
      </c>
      <c r="AE66" s="5">
        <f t="shared" ref="AE66:AE83" si="23">ROUNDUP((SUMIFS(S:S, B:B, B66, V:V, "Accepted")/SUMIF(B:B,B66,S:S)),2)</f>
        <v>1</v>
      </c>
      <c r="AF66" s="5">
        <f t="shared" si="9"/>
        <v>0</v>
      </c>
      <c r="AG66">
        <f>IF(B66&lt;&gt;"", COUNTIFS($B$2:B66, B66), "")</f>
        <v>3</v>
      </c>
      <c r="AH66">
        <f t="shared" si="10"/>
        <v>5</v>
      </c>
      <c r="AI66" t="str">
        <f>VLOOKUP(B66, Currency!A:B, 2, FALSE)</f>
        <v>INR</v>
      </c>
      <c r="AJ66">
        <f t="shared" ref="AJ66:AJ83" si="24">_xlfn.CEILING.MATH(((0.4*AH66)+(0.3*Z66)+(0.3*AB66)),1)</f>
        <v>5</v>
      </c>
      <c r="AK66">
        <f t="shared" si="11"/>
        <v>8</v>
      </c>
      <c r="AL66" t="str">
        <f t="shared" si="12"/>
        <v>August</v>
      </c>
      <c r="AM66">
        <f t="shared" si="13"/>
        <v>2023</v>
      </c>
      <c r="AN66" t="str">
        <f t="shared" ref="AN66:AN83" si="25">W66&amp;B66</f>
        <v>0ANNEXE CHEM PRIVATE LIMITED</v>
      </c>
      <c r="AO66">
        <f>IF(COUNTIF($AN$2:AN66, AN66)=1, 1, 0)</f>
        <v>0</v>
      </c>
      <c r="AP66" t="str">
        <f t="shared" si="14"/>
        <v>&gt;3</v>
      </c>
      <c r="AQ66" t="str">
        <f t="shared" si="15"/>
        <v>&gt;3</v>
      </c>
      <c r="AR66" t="str">
        <f t="shared" si="16"/>
        <v>&gt;3</v>
      </c>
    </row>
    <row r="67" spans="1:44" x14ac:dyDescent="0.3">
      <c r="A67" t="s">
        <v>33</v>
      </c>
      <c r="B67" t="s">
        <v>679</v>
      </c>
      <c r="C67" t="s">
        <v>52</v>
      </c>
      <c r="D67">
        <v>3751</v>
      </c>
      <c r="E67">
        <v>23410138</v>
      </c>
      <c r="F67" t="s">
        <v>680</v>
      </c>
      <c r="G67" t="s">
        <v>681</v>
      </c>
      <c r="H67">
        <v>12</v>
      </c>
      <c r="I67">
        <v>600</v>
      </c>
      <c r="J67">
        <v>6000</v>
      </c>
      <c r="K67" t="str">
        <f>IFERROR(IF(B67&lt;&gt;"", TEXT(VLOOKUP(B67, 'Expected Date'!A:B, 2, FALSE) + DATE(RIGHT(C67,2),MID(C67,4,2),LEFT(C67,2)), "dd/mm/yy"), ""), "")</f>
        <v>21/08/23</v>
      </c>
      <c r="L67" t="s">
        <v>38</v>
      </c>
      <c r="M67" t="s">
        <v>618</v>
      </c>
      <c r="N67" t="s">
        <v>470</v>
      </c>
      <c r="O67" t="s">
        <v>199</v>
      </c>
      <c r="P67">
        <v>23490202</v>
      </c>
      <c r="Q67" t="s">
        <v>680</v>
      </c>
      <c r="R67" t="s">
        <v>681</v>
      </c>
      <c r="S67">
        <v>12</v>
      </c>
      <c r="T67">
        <v>600</v>
      </c>
      <c r="U67">
        <v>7200</v>
      </c>
      <c r="V67" t="str">
        <f t="shared" si="17"/>
        <v>Accepted</v>
      </c>
      <c r="W67">
        <f>IFERROR(VLOOKUP(N67, Payment_Terms!A:B, 2, FALSE), "Payment term not found!")</f>
        <v>30</v>
      </c>
      <c r="X67" t="str">
        <f>IFERROR(VLOOKUP(R67, Item_Category!A:B, 2, FALSE), "Uncategorized")</f>
        <v>Green Colour HDPE Drum with lid and side handle (50ltr Capacity)</v>
      </c>
      <c r="Y67" s="5">
        <f t="shared" ref="Y67:Y83" si="26">IFERROR(IF(AND(E67&lt;&gt;"", G67&lt;&gt;""), MAX(0, (H67-SUMIFS(S:S, E:E, E67, G:G, G67))/H67), ""), (H67-S67)/H67)</f>
        <v>0</v>
      </c>
      <c r="Z67">
        <f t="shared" ref="Z67:Z83" si="27">IF(Y67&lt;=0%,5,(IF(AND(Y67&gt;0%,Y67&lt;=2%),4,IF(AND(Y67&gt;2%,Y67&lt;=5%),3,IF(AND(Y67&gt;5%,Y67&lt;10%),2,1)))))</f>
        <v>5</v>
      </c>
      <c r="AA67">
        <f t="shared" ref="AA67:AA83" si="28">DATE(RIGHT(O67,2),MID(O67,4,2),LEFT(O67,2)) - DATE(RIGHT(K67,2),MID(K67,4,2),LEFT(K67,2))</f>
        <v>5</v>
      </c>
      <c r="AB67">
        <f t="shared" ref="AB67:AB83" si="29">IF(AA67 &lt;= 2, 5, IF(AA67 &lt;= 4, 4, IF(AA67 &lt;= 7, 3, IF(AA67&lt;=10,2,1))))</f>
        <v>3</v>
      </c>
      <c r="AC67" s="10">
        <f t="shared" ref="AC67:AC83" si="30">ABS(DATE(RIGHT(O67,2),MID(O67,4,2),LEFT(O67,2)) - DATE(RIGHT(C67,2),MID(C67,4,2),LEFT(C67,2)))</f>
        <v>10</v>
      </c>
      <c r="AD67" s="5">
        <f t="shared" si="22"/>
        <v>1</v>
      </c>
      <c r="AE67" s="5">
        <f t="shared" si="23"/>
        <v>1</v>
      </c>
      <c r="AF67" s="5">
        <f t="shared" ref="AF67:AF83" si="31">ROUNDUP(ABS(100%-AE67),2)</f>
        <v>0</v>
      </c>
      <c r="AG67">
        <f>IF(B67&lt;&gt;"", COUNTIFS($B$2:B67, B67), "")</f>
        <v>3</v>
      </c>
      <c r="AH67">
        <f t="shared" ref="AH67:AH83" si="32">IF(AF67=0%,5,IF(AND(AF67&gt;0%,AF67&lt;=2%),4,IF(AND(AF67&gt;2%,AF67&lt;=5%),3,IF(AND(AF67&gt;5%,AF67&lt;10%),2,1))))</f>
        <v>5</v>
      </c>
      <c r="AI67" t="str">
        <f>VLOOKUP(B67, Currency!A:B, 2, FALSE)</f>
        <v>INR</v>
      </c>
      <c r="AJ67">
        <f t="shared" si="24"/>
        <v>5</v>
      </c>
      <c r="AK67">
        <f t="shared" ref="AK67:AK83" si="33">MONTH(DATE(RIGHT(C67,2),MID(C67,4,2),LEFT(C67,2)))</f>
        <v>8</v>
      </c>
      <c r="AL67" t="str">
        <f t="shared" ref="AL67:AL83" si="34">TEXT(DATE(RIGHT(C67,2),MID(C67,4,2),LEFT(C67,2)),"mmmm")</f>
        <v>August</v>
      </c>
      <c r="AM67">
        <f t="shared" ref="AM67:AM83" si="35">YEAR(DATE(VALUE(MID(C67,7,2))+2000, MID(C67,4,2), MID(C67,1,2)))</f>
        <v>2023</v>
      </c>
      <c r="AN67" t="str">
        <f t="shared" si="25"/>
        <v>30Akruthi Enterprises</v>
      </c>
      <c r="AO67">
        <f>IF(COUNTIF($AN$2:AN67, AN67)=1, 1, 0)</f>
        <v>0</v>
      </c>
      <c r="AP67" t="str">
        <f t="shared" ref="AP67:AP83" si="36">IF(AH67&lt;=3,"&lt;=3","&gt;3")</f>
        <v>&gt;3</v>
      </c>
      <c r="AQ67" t="str">
        <f t="shared" ref="AQ67:AQ83" si="37">IF(Z67&lt;=3,"&lt;=3","&gt;3")</f>
        <v>&gt;3</v>
      </c>
      <c r="AR67" t="str">
        <f t="shared" ref="AR67:AR83" si="38">IF(AB67&lt;=3,"&lt;=3","&gt;3")</f>
        <v>&lt;=3</v>
      </c>
    </row>
    <row r="68" spans="1:44" x14ac:dyDescent="0.3">
      <c r="A68" t="s">
        <v>111</v>
      </c>
      <c r="B68" t="s">
        <v>751</v>
      </c>
      <c r="C68" t="s">
        <v>163</v>
      </c>
      <c r="D68">
        <v>4101</v>
      </c>
      <c r="E68">
        <v>23410180</v>
      </c>
      <c r="F68" t="s">
        <v>770</v>
      </c>
      <c r="G68" t="s">
        <v>771</v>
      </c>
      <c r="H68">
        <v>0.6</v>
      </c>
      <c r="I68">
        <v>2</v>
      </c>
      <c r="J68">
        <v>1.2</v>
      </c>
      <c r="K68" t="str">
        <f>IFERROR(IF(B68&lt;&gt;"", TEXT(VLOOKUP(B68, 'Expected Date'!A:B, 2, FALSE) + DATE(RIGHT(C68,2),MID(C68,4,2),LEFT(C68,2)), "dd/mm/yy"), ""), "")</f>
        <v>14/09/23</v>
      </c>
      <c r="L68" t="s">
        <v>38</v>
      </c>
      <c r="M68" t="s">
        <v>48</v>
      </c>
      <c r="N68" t="s">
        <v>470</v>
      </c>
      <c r="O68" t="s">
        <v>286</v>
      </c>
      <c r="P68">
        <v>23490208</v>
      </c>
      <c r="Q68" t="s">
        <v>770</v>
      </c>
      <c r="R68" t="s">
        <v>771</v>
      </c>
      <c r="S68">
        <v>0.6</v>
      </c>
      <c r="T68">
        <v>2</v>
      </c>
      <c r="U68">
        <v>1.2</v>
      </c>
      <c r="V68" t="str">
        <f t="shared" ref="V68:V83" si="39">V67</f>
        <v>Accepted</v>
      </c>
      <c r="W68">
        <f>IFERROR(VLOOKUP(N68, Payment_Terms!A:B, 2, FALSE), "Payment term not found!")</f>
        <v>30</v>
      </c>
      <c r="X68" t="str">
        <f>IFERROR(VLOOKUP(R68, Item_Category!A:B, 2, FALSE), "Uncategorized")</f>
        <v>Magnesium Oxide</v>
      </c>
      <c r="Y68" s="5">
        <f t="shared" si="26"/>
        <v>0</v>
      </c>
      <c r="Z68">
        <f t="shared" si="27"/>
        <v>5</v>
      </c>
      <c r="AA68">
        <f t="shared" si="28"/>
        <v>-14</v>
      </c>
      <c r="AB68">
        <f t="shared" si="29"/>
        <v>5</v>
      </c>
      <c r="AC68" s="10">
        <f t="shared" si="30"/>
        <v>1</v>
      </c>
      <c r="AD68" s="5">
        <f t="shared" si="22"/>
        <v>1</v>
      </c>
      <c r="AE68" s="5">
        <f t="shared" si="23"/>
        <v>1</v>
      </c>
      <c r="AF68" s="5">
        <f t="shared" si="31"/>
        <v>0</v>
      </c>
      <c r="AG68">
        <f>IF(B68&lt;&gt;"", COUNTIFS($B$2:B68, B68), "")</f>
        <v>3</v>
      </c>
      <c r="AH68">
        <f t="shared" si="32"/>
        <v>5</v>
      </c>
      <c r="AI68" t="str">
        <f>VLOOKUP(B68, Currency!A:B, 2, FALSE)</f>
        <v>INR</v>
      </c>
      <c r="AJ68">
        <f t="shared" si="24"/>
        <v>5</v>
      </c>
      <c r="AK68">
        <f t="shared" si="33"/>
        <v>8</v>
      </c>
      <c r="AL68" t="str">
        <f t="shared" si="34"/>
        <v>August</v>
      </c>
      <c r="AM68">
        <f t="shared" si="35"/>
        <v>2023</v>
      </c>
      <c r="AN68" t="str">
        <f t="shared" si="25"/>
        <v>30Nandu Chemicals Pvt Ltd</v>
      </c>
      <c r="AO68">
        <f>IF(COUNTIF($AN$2:AN68, AN68)=1, 1, 0)</f>
        <v>0</v>
      </c>
      <c r="AP68" t="str">
        <f t="shared" si="36"/>
        <v>&gt;3</v>
      </c>
      <c r="AQ68" t="str">
        <f t="shared" si="37"/>
        <v>&gt;3</v>
      </c>
      <c r="AR68" t="str">
        <f t="shared" si="38"/>
        <v>&gt;3</v>
      </c>
    </row>
    <row r="69" spans="1:44" x14ac:dyDescent="0.3">
      <c r="A69" t="s">
        <v>33</v>
      </c>
      <c r="B69" t="s">
        <v>609</v>
      </c>
      <c r="C69" t="s">
        <v>332</v>
      </c>
      <c r="D69">
        <v>4098</v>
      </c>
      <c r="E69">
        <v>23410178</v>
      </c>
      <c r="F69" t="s">
        <v>772</v>
      </c>
      <c r="G69" t="s">
        <v>773</v>
      </c>
      <c r="H69">
        <v>0.5</v>
      </c>
      <c r="I69">
        <v>4</v>
      </c>
      <c r="J69">
        <v>2</v>
      </c>
      <c r="K69" t="str">
        <f>IFERROR(IF(B69&lt;&gt;"", TEXT(VLOOKUP(B69, 'Expected Date'!A:B, 2, FALSE) + DATE(RIGHT(C69,2),MID(C69,4,2),LEFT(C69,2)), "dd/mm/yy"), ""), "")</f>
        <v>08/09/23</v>
      </c>
      <c r="L69" t="s">
        <v>38</v>
      </c>
      <c r="M69" t="s">
        <v>48</v>
      </c>
      <c r="N69" t="s">
        <v>470</v>
      </c>
      <c r="O69" t="s">
        <v>286</v>
      </c>
      <c r="P69">
        <v>23490209</v>
      </c>
      <c r="Q69" t="s">
        <v>772</v>
      </c>
      <c r="R69" t="s">
        <v>773</v>
      </c>
      <c r="S69">
        <v>0.5</v>
      </c>
      <c r="T69">
        <v>4</v>
      </c>
      <c r="U69">
        <v>2</v>
      </c>
      <c r="V69" t="str">
        <f t="shared" si="39"/>
        <v>Accepted</v>
      </c>
      <c r="W69">
        <f>IFERROR(VLOOKUP(N69, Payment_Terms!A:B, 2, FALSE), "Payment term not found!")</f>
        <v>30</v>
      </c>
      <c r="X69" t="str">
        <f>IFERROR(VLOOKUP(R69, Item_Category!A:B, 2, FALSE), "Uncategorized")</f>
        <v>Vitamin A Palmitate 250 CWS</v>
      </c>
      <c r="Y69" s="5">
        <f t="shared" si="26"/>
        <v>0</v>
      </c>
      <c r="Z69">
        <f t="shared" si="27"/>
        <v>5</v>
      </c>
      <c r="AA69">
        <f t="shared" si="28"/>
        <v>-8</v>
      </c>
      <c r="AB69">
        <f t="shared" si="29"/>
        <v>5</v>
      </c>
      <c r="AC69" s="10">
        <f t="shared" si="30"/>
        <v>2</v>
      </c>
      <c r="AD69" s="5">
        <f t="shared" si="22"/>
        <v>1</v>
      </c>
      <c r="AE69" s="5">
        <f t="shared" si="23"/>
        <v>1</v>
      </c>
      <c r="AF69" s="5">
        <f t="shared" si="31"/>
        <v>0</v>
      </c>
      <c r="AG69">
        <f>IF(B69&lt;&gt;"", COUNTIFS($B$2:B69, B69), "")</f>
        <v>5</v>
      </c>
      <c r="AH69">
        <f t="shared" si="32"/>
        <v>5</v>
      </c>
      <c r="AI69" t="str">
        <f>VLOOKUP(B69, Currency!A:B, 2, FALSE)</f>
        <v>INR</v>
      </c>
      <c r="AJ69">
        <f t="shared" si="24"/>
        <v>5</v>
      </c>
      <c r="AK69">
        <f t="shared" si="33"/>
        <v>8</v>
      </c>
      <c r="AL69" t="str">
        <f t="shared" si="34"/>
        <v>August</v>
      </c>
      <c r="AM69">
        <f t="shared" si="35"/>
        <v>2023</v>
      </c>
      <c r="AN69" t="str">
        <f t="shared" si="25"/>
        <v>30HUFORT HEALTHCARE PRIVATE LIMITED</v>
      </c>
      <c r="AO69">
        <f>IF(COUNTIF($AN$2:AN69, AN69)=1, 1, 0)</f>
        <v>0</v>
      </c>
      <c r="AP69" t="str">
        <f t="shared" si="36"/>
        <v>&gt;3</v>
      </c>
      <c r="AQ69" t="str">
        <f t="shared" si="37"/>
        <v>&gt;3</v>
      </c>
      <c r="AR69" t="str">
        <f t="shared" si="38"/>
        <v>&gt;3</v>
      </c>
    </row>
    <row r="70" spans="1:44" x14ac:dyDescent="0.3">
      <c r="A70" t="s">
        <v>33</v>
      </c>
      <c r="B70" t="s">
        <v>774</v>
      </c>
      <c r="C70" t="s">
        <v>50</v>
      </c>
      <c r="D70">
        <v>2988</v>
      </c>
      <c r="E70">
        <v>23410083</v>
      </c>
      <c r="F70" t="s">
        <v>775</v>
      </c>
      <c r="G70" t="s">
        <v>776</v>
      </c>
      <c r="H70">
        <v>25</v>
      </c>
      <c r="I70">
        <v>150</v>
      </c>
      <c r="J70">
        <v>3750</v>
      </c>
      <c r="K70" t="str">
        <f>IFERROR(IF(B70&lt;&gt;"", TEXT(VLOOKUP(B70, 'Expected Date'!A:B, 2, FALSE) + DATE(RIGHT(C70,2),MID(C70,4,2),LEFT(C70,2)), "dd/mm/yy"), ""), "")</f>
        <v>21/07/23</v>
      </c>
      <c r="L70" t="s">
        <v>38</v>
      </c>
      <c r="M70" t="s">
        <v>48</v>
      </c>
      <c r="N70" t="s">
        <v>470</v>
      </c>
      <c r="O70" t="s">
        <v>407</v>
      </c>
      <c r="P70">
        <v>23490143</v>
      </c>
      <c r="Q70" t="s">
        <v>775</v>
      </c>
      <c r="R70" t="s">
        <v>776</v>
      </c>
      <c r="S70">
        <v>25</v>
      </c>
      <c r="T70">
        <v>150</v>
      </c>
      <c r="U70">
        <v>3750</v>
      </c>
      <c r="V70" t="str">
        <f t="shared" si="39"/>
        <v>Accepted</v>
      </c>
      <c r="W70">
        <f>IFERROR(VLOOKUP(N70, Payment_Terms!A:B, 2, FALSE), "Payment term not found!")</f>
        <v>30</v>
      </c>
      <c r="X70" t="str">
        <f>IFERROR(VLOOKUP(R70, Item_Category!A:B, 2, FALSE), "Uncategorized")</f>
        <v>Magnesium Oxide anhydrous</v>
      </c>
      <c r="Y70" s="5">
        <f t="shared" si="26"/>
        <v>0</v>
      </c>
      <c r="Z70">
        <f t="shared" si="27"/>
        <v>5</v>
      </c>
      <c r="AA70">
        <f t="shared" si="28"/>
        <v>5</v>
      </c>
      <c r="AB70">
        <f t="shared" si="29"/>
        <v>3</v>
      </c>
      <c r="AC70" s="10">
        <f t="shared" si="30"/>
        <v>15</v>
      </c>
      <c r="AD70" s="5">
        <f t="shared" si="22"/>
        <v>1</v>
      </c>
      <c r="AE70" s="5">
        <f t="shared" si="23"/>
        <v>1</v>
      </c>
      <c r="AF70" s="5">
        <f t="shared" si="31"/>
        <v>0</v>
      </c>
      <c r="AG70">
        <f>IF(B70&lt;&gt;"", COUNTIFS($B$2:B70, B70), "")</f>
        <v>1</v>
      </c>
      <c r="AH70">
        <f t="shared" si="32"/>
        <v>5</v>
      </c>
      <c r="AI70" t="str">
        <f>VLOOKUP(B70, Currency!A:B, 2, FALSE)</f>
        <v>INR</v>
      </c>
      <c r="AJ70">
        <f t="shared" si="24"/>
        <v>5</v>
      </c>
      <c r="AK70">
        <f t="shared" si="33"/>
        <v>7</v>
      </c>
      <c r="AL70" t="str">
        <f t="shared" si="34"/>
        <v>July</v>
      </c>
      <c r="AM70">
        <f t="shared" si="35"/>
        <v>2023</v>
      </c>
      <c r="AN70" t="str">
        <f t="shared" si="25"/>
        <v>30NIMBASIA STABILIZERS</v>
      </c>
      <c r="AO70">
        <f>IF(COUNTIF($AN$2:AN70, AN70)=1, 1, 0)</f>
        <v>1</v>
      </c>
      <c r="AP70" t="str">
        <f t="shared" si="36"/>
        <v>&gt;3</v>
      </c>
      <c r="AQ70" t="str">
        <f t="shared" si="37"/>
        <v>&gt;3</v>
      </c>
      <c r="AR70" t="str">
        <f t="shared" si="38"/>
        <v>&lt;=3</v>
      </c>
    </row>
    <row r="71" spans="1:44" x14ac:dyDescent="0.3">
      <c r="A71" t="s">
        <v>33</v>
      </c>
      <c r="B71" t="s">
        <v>729</v>
      </c>
      <c r="C71" t="s">
        <v>332</v>
      </c>
      <c r="D71">
        <v>4094</v>
      </c>
      <c r="E71">
        <v>23410174</v>
      </c>
      <c r="F71" t="s">
        <v>777</v>
      </c>
      <c r="G71" t="s">
        <v>778</v>
      </c>
      <c r="H71">
        <v>0.1</v>
      </c>
      <c r="I71">
        <v>10</v>
      </c>
      <c r="J71">
        <v>1</v>
      </c>
      <c r="K71" t="str">
        <f>IFERROR(IF(B71&lt;&gt;"", TEXT(VLOOKUP(B71, 'Expected Date'!A:B, 2, FALSE) + DATE(RIGHT(C71,2),MID(C71,4,2),LEFT(C71,2)), "dd/mm/yy"), ""), "")</f>
        <v>08/09/23</v>
      </c>
      <c r="L71" t="s">
        <v>38</v>
      </c>
      <c r="M71" t="s">
        <v>48</v>
      </c>
      <c r="N71" t="s">
        <v>470</v>
      </c>
      <c r="O71" t="s">
        <v>286</v>
      </c>
      <c r="P71">
        <v>23490213</v>
      </c>
      <c r="Q71" t="s">
        <v>777</v>
      </c>
      <c r="R71" t="s">
        <v>778</v>
      </c>
      <c r="S71">
        <v>0.1</v>
      </c>
      <c r="T71">
        <v>10</v>
      </c>
      <c r="U71">
        <v>1</v>
      </c>
      <c r="V71" t="str">
        <f t="shared" si="39"/>
        <v>Accepted</v>
      </c>
      <c r="W71">
        <f>IFERROR(VLOOKUP(N71, Payment_Terms!A:B, 2, FALSE), "Payment term not found!")</f>
        <v>30</v>
      </c>
      <c r="X71" t="str">
        <f>IFERROR(VLOOKUP(R71, Item_Category!A:B, 2, FALSE), "Uncategorized")</f>
        <v>Chromium picolinate</v>
      </c>
      <c r="Y71" s="5">
        <f t="shared" si="26"/>
        <v>0</v>
      </c>
      <c r="Z71">
        <f t="shared" si="27"/>
        <v>5</v>
      </c>
      <c r="AA71">
        <f t="shared" si="28"/>
        <v>-8</v>
      </c>
      <c r="AB71">
        <f t="shared" si="29"/>
        <v>5</v>
      </c>
      <c r="AC71" s="10">
        <f t="shared" si="30"/>
        <v>2</v>
      </c>
      <c r="AD71" s="5">
        <f t="shared" si="22"/>
        <v>1</v>
      </c>
      <c r="AE71" s="5">
        <f t="shared" si="23"/>
        <v>1</v>
      </c>
      <c r="AF71" s="5">
        <f t="shared" si="31"/>
        <v>0</v>
      </c>
      <c r="AG71">
        <f>IF(B71&lt;&gt;"", COUNTIFS($B$2:B71, B71), "")</f>
        <v>2</v>
      </c>
      <c r="AH71">
        <f t="shared" si="32"/>
        <v>5</v>
      </c>
      <c r="AI71" t="str">
        <f>VLOOKUP(B71, Currency!A:B, 2, FALSE)</f>
        <v>INR</v>
      </c>
      <c r="AJ71">
        <f t="shared" si="24"/>
        <v>5</v>
      </c>
      <c r="AK71">
        <f t="shared" si="33"/>
        <v>8</v>
      </c>
      <c r="AL71" t="str">
        <f t="shared" si="34"/>
        <v>August</v>
      </c>
      <c r="AM71">
        <f t="shared" si="35"/>
        <v>2023</v>
      </c>
      <c r="AN71" t="str">
        <f t="shared" si="25"/>
        <v>30SALVI CHEMICAL INDUSTRIES LIMITED</v>
      </c>
      <c r="AO71">
        <f>IF(COUNTIF($AN$2:AN71, AN71)=1, 1, 0)</f>
        <v>1</v>
      </c>
      <c r="AP71" t="str">
        <f t="shared" si="36"/>
        <v>&gt;3</v>
      </c>
      <c r="AQ71" t="str">
        <f t="shared" si="37"/>
        <v>&gt;3</v>
      </c>
      <c r="AR71" t="str">
        <f t="shared" si="38"/>
        <v>&gt;3</v>
      </c>
    </row>
    <row r="72" spans="1:44" x14ac:dyDescent="0.3">
      <c r="A72" t="s">
        <v>33</v>
      </c>
      <c r="B72" t="s">
        <v>663</v>
      </c>
      <c r="C72" t="s">
        <v>455</v>
      </c>
      <c r="D72">
        <v>2967</v>
      </c>
      <c r="E72">
        <v>23410080</v>
      </c>
      <c r="F72" t="s">
        <v>682</v>
      </c>
      <c r="G72" t="s">
        <v>683</v>
      </c>
      <c r="H72">
        <v>25</v>
      </c>
      <c r="I72">
        <v>175</v>
      </c>
      <c r="J72">
        <v>4375</v>
      </c>
      <c r="K72" t="str">
        <f>IFERROR(IF(B72&lt;&gt;"", TEXT(VLOOKUP(B72, 'Expected Date'!A:B, 2, FALSE) + DATE(RIGHT(C72,2),MID(C72,4,2),LEFT(C72,2)), "dd/mm/yy"), ""), "")</f>
        <v>18/07/23</v>
      </c>
      <c r="L72" t="s">
        <v>38</v>
      </c>
      <c r="M72" t="s">
        <v>48</v>
      </c>
      <c r="N72" t="s">
        <v>470</v>
      </c>
      <c r="O72" t="s">
        <v>407</v>
      </c>
      <c r="P72">
        <v>23490144</v>
      </c>
      <c r="Q72" t="s">
        <v>682</v>
      </c>
      <c r="R72" t="s">
        <v>683</v>
      </c>
      <c r="S72">
        <v>25</v>
      </c>
      <c r="T72">
        <v>175</v>
      </c>
      <c r="U72">
        <v>4375</v>
      </c>
      <c r="V72" t="str">
        <f t="shared" si="39"/>
        <v>Accepted</v>
      </c>
      <c r="W72">
        <f>IFERROR(VLOOKUP(N72, Payment_Terms!A:B, 2, FALSE), "Payment term not found!")</f>
        <v>30</v>
      </c>
      <c r="X72" t="str">
        <f>IFERROR(VLOOKUP(R72, Item_Category!A:B, 2, FALSE), "Uncategorized")</f>
        <v>Potassium carbonate anhydrous</v>
      </c>
      <c r="Y72" s="5">
        <f t="shared" si="26"/>
        <v>0</v>
      </c>
      <c r="Z72">
        <f t="shared" si="27"/>
        <v>5</v>
      </c>
      <c r="AA72">
        <f t="shared" si="28"/>
        <v>8</v>
      </c>
      <c r="AB72">
        <f t="shared" si="29"/>
        <v>2</v>
      </c>
      <c r="AC72" s="10">
        <f t="shared" si="30"/>
        <v>16</v>
      </c>
      <c r="AD72" s="5">
        <f t="shared" si="22"/>
        <v>1</v>
      </c>
      <c r="AE72" s="5">
        <f t="shared" si="23"/>
        <v>1</v>
      </c>
      <c r="AF72" s="5">
        <f t="shared" si="31"/>
        <v>0</v>
      </c>
      <c r="AG72">
        <f>IF(B72&lt;&gt;"", COUNTIFS($B$2:B72, B72), "")</f>
        <v>4</v>
      </c>
      <c r="AH72">
        <f t="shared" si="32"/>
        <v>5</v>
      </c>
      <c r="AI72" t="str">
        <f>VLOOKUP(B72, Currency!A:B, 2, FALSE)</f>
        <v>INR</v>
      </c>
      <c r="AJ72">
        <f t="shared" si="24"/>
        <v>5</v>
      </c>
      <c r="AK72">
        <f t="shared" si="33"/>
        <v>7</v>
      </c>
      <c r="AL72" t="str">
        <f t="shared" si="34"/>
        <v>July</v>
      </c>
      <c r="AM72">
        <f t="shared" si="35"/>
        <v>2023</v>
      </c>
      <c r="AN72" t="str">
        <f t="shared" si="25"/>
        <v>30Valaji Pharma Chem</v>
      </c>
      <c r="AO72">
        <f>IF(COUNTIF($AN$2:AN72, AN72)=1, 1, 0)</f>
        <v>0</v>
      </c>
      <c r="AP72" t="str">
        <f t="shared" si="36"/>
        <v>&gt;3</v>
      </c>
      <c r="AQ72" t="str">
        <f t="shared" si="37"/>
        <v>&gt;3</v>
      </c>
      <c r="AR72" t="str">
        <f t="shared" si="38"/>
        <v>&lt;=3</v>
      </c>
    </row>
    <row r="73" spans="1:44" x14ac:dyDescent="0.3">
      <c r="A73" t="s">
        <v>33</v>
      </c>
      <c r="B73" t="s">
        <v>625</v>
      </c>
      <c r="C73" t="s">
        <v>332</v>
      </c>
      <c r="D73">
        <v>4093</v>
      </c>
      <c r="E73">
        <v>23410173</v>
      </c>
      <c r="F73" t="s">
        <v>779</v>
      </c>
      <c r="G73" t="s">
        <v>780</v>
      </c>
      <c r="H73">
        <v>4</v>
      </c>
      <c r="I73">
        <v>4</v>
      </c>
      <c r="J73">
        <v>16</v>
      </c>
      <c r="K73" t="str">
        <f>IFERROR(IF(B73&lt;&gt;"", TEXT(VLOOKUP(B73, 'Expected Date'!A:B, 2, FALSE) + DATE(RIGHT(C73,2),MID(C73,4,2),LEFT(C73,2)), "dd/mm/yy"), ""), "")</f>
        <v>08/09/23</v>
      </c>
      <c r="L73" t="s">
        <v>38</v>
      </c>
      <c r="M73" t="s">
        <v>48</v>
      </c>
      <c r="N73" t="s">
        <v>470</v>
      </c>
      <c r="O73" t="s">
        <v>286</v>
      </c>
      <c r="P73">
        <v>23490214</v>
      </c>
      <c r="Q73" t="s">
        <v>779</v>
      </c>
      <c r="R73" t="s">
        <v>780</v>
      </c>
      <c r="S73">
        <v>4</v>
      </c>
      <c r="T73">
        <v>4</v>
      </c>
      <c r="U73">
        <v>16</v>
      </c>
      <c r="V73" t="str">
        <f t="shared" si="39"/>
        <v>Accepted</v>
      </c>
      <c r="W73">
        <f>IFERROR(VLOOKUP(N73, Payment_Terms!A:B, 2, FALSE), "Payment term not found!")</f>
        <v>30</v>
      </c>
      <c r="X73" t="str">
        <f>IFERROR(VLOOKUP(R73, Item_Category!A:B, 2, FALSE), "Uncategorized")</f>
        <v>Ferric pyrophasphate of white insoluble</v>
      </c>
      <c r="Y73" s="5">
        <f t="shared" si="26"/>
        <v>0</v>
      </c>
      <c r="Z73">
        <f t="shared" si="27"/>
        <v>5</v>
      </c>
      <c r="AA73">
        <f t="shared" si="28"/>
        <v>-8</v>
      </c>
      <c r="AB73">
        <f t="shared" si="29"/>
        <v>5</v>
      </c>
      <c r="AC73" s="10">
        <f t="shared" si="30"/>
        <v>2</v>
      </c>
      <c r="AD73" s="5">
        <f t="shared" si="22"/>
        <v>1</v>
      </c>
      <c r="AE73" s="5">
        <f t="shared" si="23"/>
        <v>1</v>
      </c>
      <c r="AF73" s="5">
        <f t="shared" si="31"/>
        <v>0</v>
      </c>
      <c r="AG73">
        <f>IF(B73&lt;&gt;"", COUNTIFS($B$2:B73, B73), "")</f>
        <v>3</v>
      </c>
      <c r="AH73">
        <f t="shared" si="32"/>
        <v>5</v>
      </c>
      <c r="AI73" t="str">
        <f>VLOOKUP(B73, Currency!A:B, 2, FALSE)</f>
        <v>INR</v>
      </c>
      <c r="AJ73">
        <f t="shared" si="24"/>
        <v>5</v>
      </c>
      <c r="AK73">
        <f t="shared" si="33"/>
        <v>8</v>
      </c>
      <c r="AL73" t="str">
        <f t="shared" si="34"/>
        <v>August</v>
      </c>
      <c r="AM73">
        <f t="shared" si="35"/>
        <v>2023</v>
      </c>
      <c r="AN73" t="str">
        <f t="shared" si="25"/>
        <v>30ARIHANT PURECHEM PVT. LTD.</v>
      </c>
      <c r="AO73">
        <f>IF(COUNTIF($AN$2:AN73, AN73)=1, 1, 0)</f>
        <v>0</v>
      </c>
      <c r="AP73" t="str">
        <f t="shared" si="36"/>
        <v>&gt;3</v>
      </c>
      <c r="AQ73" t="str">
        <f t="shared" si="37"/>
        <v>&gt;3</v>
      </c>
      <c r="AR73" t="str">
        <f t="shared" si="38"/>
        <v>&gt;3</v>
      </c>
    </row>
    <row r="74" spans="1:44" x14ac:dyDescent="0.3">
      <c r="A74" t="s">
        <v>111</v>
      </c>
      <c r="B74" t="s">
        <v>781</v>
      </c>
      <c r="C74" t="s">
        <v>74</v>
      </c>
      <c r="D74">
        <v>3681</v>
      </c>
      <c r="E74">
        <v>23410124</v>
      </c>
      <c r="F74" t="s">
        <v>782</v>
      </c>
      <c r="G74" t="s">
        <v>783</v>
      </c>
      <c r="H74">
        <v>2</v>
      </c>
      <c r="I74">
        <v>7200</v>
      </c>
      <c r="J74">
        <v>14400</v>
      </c>
      <c r="K74" t="str">
        <f>IFERROR(IF(B74&lt;&gt;"", TEXT(VLOOKUP(B74, 'Expected Date'!A:B, 2, FALSE) + DATE(RIGHT(C74,2),MID(C74,4,2),LEFT(C74,2)), "dd/mm/yy"), ""), "")</f>
        <v>23/08/23</v>
      </c>
      <c r="L74" t="s">
        <v>38</v>
      </c>
      <c r="M74" t="s">
        <v>48</v>
      </c>
      <c r="N74" t="s">
        <v>237</v>
      </c>
      <c r="O74" t="s">
        <v>496</v>
      </c>
      <c r="P74">
        <v>23490220</v>
      </c>
      <c r="Q74" t="s">
        <v>782</v>
      </c>
      <c r="R74" t="s">
        <v>783</v>
      </c>
      <c r="S74">
        <v>2</v>
      </c>
      <c r="T74">
        <v>7200</v>
      </c>
      <c r="U74">
        <v>14400</v>
      </c>
      <c r="V74" t="str">
        <f t="shared" si="39"/>
        <v>Accepted</v>
      </c>
      <c r="W74">
        <f>IFERROR(VLOOKUP(N74, Payment_Terms!A:B, 2, FALSE), "Payment term not found!")</f>
        <v>0</v>
      </c>
      <c r="X74" t="str">
        <f>IFERROR(VLOOKUP(R74, Item_Category!A:B, 2, FALSE), "Uncategorized")</f>
        <v>Vitamin A Acetate Powder Bead let</v>
      </c>
      <c r="Y74" s="5">
        <f t="shared" si="26"/>
        <v>0</v>
      </c>
      <c r="Z74">
        <f t="shared" si="27"/>
        <v>5</v>
      </c>
      <c r="AA74">
        <f t="shared" si="28"/>
        <v>10</v>
      </c>
      <c r="AB74">
        <f t="shared" si="29"/>
        <v>2</v>
      </c>
      <c r="AC74" s="10">
        <f t="shared" si="30"/>
        <v>22</v>
      </c>
      <c r="AD74" s="5">
        <f t="shared" si="22"/>
        <v>1</v>
      </c>
      <c r="AE74" s="5">
        <f t="shared" si="23"/>
        <v>1</v>
      </c>
      <c r="AF74" s="5">
        <f t="shared" si="31"/>
        <v>0</v>
      </c>
      <c r="AG74">
        <f>IF(B74&lt;&gt;"", COUNTIFS($B$2:B74, B74), "")</f>
        <v>1</v>
      </c>
      <c r="AH74">
        <f t="shared" si="32"/>
        <v>5</v>
      </c>
      <c r="AI74" t="str">
        <f>VLOOKUP(B74, Currency!A:B, 2, FALSE)</f>
        <v>INR</v>
      </c>
      <c r="AJ74">
        <f t="shared" si="24"/>
        <v>5</v>
      </c>
      <c r="AK74">
        <f t="shared" si="33"/>
        <v>8</v>
      </c>
      <c r="AL74" t="str">
        <f t="shared" si="34"/>
        <v>August</v>
      </c>
      <c r="AM74">
        <f t="shared" si="35"/>
        <v>2023</v>
      </c>
      <c r="AN74" t="str">
        <f t="shared" si="25"/>
        <v>0Nandlal Bankatlal Pvt ltd</v>
      </c>
      <c r="AO74">
        <f>IF(COUNTIF($AN$2:AN74, AN74)=1, 1, 0)</f>
        <v>1</v>
      </c>
      <c r="AP74" t="str">
        <f t="shared" si="36"/>
        <v>&gt;3</v>
      </c>
      <c r="AQ74" t="str">
        <f t="shared" si="37"/>
        <v>&gt;3</v>
      </c>
      <c r="AR74" t="str">
        <f t="shared" si="38"/>
        <v>&lt;=3</v>
      </c>
    </row>
    <row r="75" spans="1:44" x14ac:dyDescent="0.3">
      <c r="A75" t="s">
        <v>33</v>
      </c>
      <c r="B75" t="s">
        <v>784</v>
      </c>
      <c r="C75" t="s">
        <v>74</v>
      </c>
      <c r="D75">
        <v>3689</v>
      </c>
      <c r="E75">
        <v>23410132</v>
      </c>
      <c r="F75" t="s">
        <v>785</v>
      </c>
      <c r="G75" t="s">
        <v>786</v>
      </c>
      <c r="H75">
        <v>600</v>
      </c>
      <c r="I75">
        <v>245</v>
      </c>
      <c r="J75">
        <v>147000</v>
      </c>
      <c r="K75" t="str">
        <f>IFERROR(IF(B75&lt;&gt;"", TEXT(VLOOKUP(B75, 'Expected Date'!A:B, 2, FALSE) + DATE(RIGHT(C75,2),MID(C75,4,2),LEFT(C75,2)), "dd/mm/yy"), ""), "")</f>
        <v>21/08/23</v>
      </c>
      <c r="L75" t="s">
        <v>38</v>
      </c>
      <c r="M75" t="s">
        <v>48</v>
      </c>
      <c r="N75" t="s">
        <v>470</v>
      </c>
      <c r="O75" t="s">
        <v>496</v>
      </c>
      <c r="P75">
        <v>23490222</v>
      </c>
      <c r="Q75" t="s">
        <v>785</v>
      </c>
      <c r="R75" t="s">
        <v>786</v>
      </c>
      <c r="S75">
        <v>600</v>
      </c>
      <c r="T75">
        <v>245</v>
      </c>
      <c r="U75">
        <v>147000</v>
      </c>
      <c r="V75" t="str">
        <f t="shared" si="39"/>
        <v>Accepted</v>
      </c>
      <c r="W75">
        <f>IFERROR(VLOOKUP(N75, Payment_Terms!A:B, 2, FALSE), "Payment term not found!")</f>
        <v>30</v>
      </c>
      <c r="X75" t="str">
        <f>IFERROR(VLOOKUP(R75, Item_Category!A:B, 2, FALSE), "Uncategorized")</f>
        <v>Zinc Oxide</v>
      </c>
      <c r="Y75" s="5">
        <f t="shared" si="26"/>
        <v>0</v>
      </c>
      <c r="Z75">
        <f t="shared" si="27"/>
        <v>5</v>
      </c>
      <c r="AA75">
        <f t="shared" si="28"/>
        <v>12</v>
      </c>
      <c r="AB75">
        <f t="shared" si="29"/>
        <v>1</v>
      </c>
      <c r="AC75" s="10">
        <f t="shared" si="30"/>
        <v>22</v>
      </c>
      <c r="AD75" s="5">
        <f t="shared" si="22"/>
        <v>1</v>
      </c>
      <c r="AE75" s="5">
        <f t="shared" si="23"/>
        <v>1</v>
      </c>
      <c r="AF75" s="5">
        <f t="shared" si="31"/>
        <v>0</v>
      </c>
      <c r="AG75">
        <f>IF(B75&lt;&gt;"", COUNTIFS($B$2:B75, B75), "")</f>
        <v>1</v>
      </c>
      <c r="AH75">
        <f t="shared" si="32"/>
        <v>5</v>
      </c>
      <c r="AI75" t="str">
        <f>VLOOKUP(B75, Currency!A:B, 2, FALSE)</f>
        <v>INR</v>
      </c>
      <c r="AJ75">
        <f t="shared" si="24"/>
        <v>4</v>
      </c>
      <c r="AK75">
        <f t="shared" si="33"/>
        <v>8</v>
      </c>
      <c r="AL75" t="str">
        <f t="shared" si="34"/>
        <v>August</v>
      </c>
      <c r="AM75">
        <f t="shared" si="35"/>
        <v>2023</v>
      </c>
      <c r="AN75" t="str">
        <f t="shared" si="25"/>
        <v>30BDJ OXIDES PRIVATE LIMITED</v>
      </c>
      <c r="AO75">
        <f>IF(COUNTIF($AN$2:AN75, AN75)=1, 1, 0)</f>
        <v>1</v>
      </c>
      <c r="AP75" t="str">
        <f t="shared" si="36"/>
        <v>&gt;3</v>
      </c>
      <c r="AQ75" t="str">
        <f t="shared" si="37"/>
        <v>&gt;3</v>
      </c>
      <c r="AR75" t="str">
        <f t="shared" si="38"/>
        <v>&lt;=3</v>
      </c>
    </row>
    <row r="76" spans="1:44" x14ac:dyDescent="0.3">
      <c r="A76" t="s">
        <v>33</v>
      </c>
      <c r="B76" t="s">
        <v>679</v>
      </c>
      <c r="C76" t="s">
        <v>52</v>
      </c>
      <c r="D76">
        <v>3751</v>
      </c>
      <c r="E76">
        <v>23410138</v>
      </c>
      <c r="F76" t="s">
        <v>737</v>
      </c>
      <c r="G76" t="s">
        <v>738</v>
      </c>
      <c r="H76">
        <v>12</v>
      </c>
      <c r="I76">
        <v>600</v>
      </c>
      <c r="J76">
        <v>6000</v>
      </c>
      <c r="K76" t="str">
        <f>IFERROR(IF(B76&lt;&gt;"", TEXT(VLOOKUP(B76, 'Expected Date'!A:B, 2, FALSE) + DATE(RIGHT(C76,2),MID(C76,4,2),LEFT(C76,2)), "dd/mm/yy"), ""), "")</f>
        <v>21/08/23</v>
      </c>
      <c r="L76" t="s">
        <v>38</v>
      </c>
      <c r="M76" t="s">
        <v>618</v>
      </c>
      <c r="N76" t="s">
        <v>470</v>
      </c>
      <c r="O76" t="s">
        <v>199</v>
      </c>
      <c r="P76">
        <v>23490202</v>
      </c>
      <c r="Q76" t="s">
        <v>737</v>
      </c>
      <c r="R76" t="s">
        <v>738</v>
      </c>
      <c r="S76">
        <v>12</v>
      </c>
      <c r="T76">
        <v>600</v>
      </c>
      <c r="U76">
        <v>7200</v>
      </c>
      <c r="V76" t="str">
        <f t="shared" si="39"/>
        <v>Accepted</v>
      </c>
      <c r="W76">
        <f>IFERROR(VLOOKUP(N76, Payment_Terms!A:B, 2, FALSE), "Payment term not found!")</f>
        <v>30</v>
      </c>
      <c r="X76" t="str">
        <f>IFERROR(VLOOKUP(R76, Item_Category!A:B, 2, FALSE), "Uncategorized")</f>
        <v>Yellow Colour HDPE Drum with lid and side handle(50Ltr capacity)</v>
      </c>
      <c r="Y76" s="5">
        <f t="shared" si="26"/>
        <v>0</v>
      </c>
      <c r="Z76">
        <f t="shared" si="27"/>
        <v>5</v>
      </c>
      <c r="AA76">
        <f t="shared" si="28"/>
        <v>5</v>
      </c>
      <c r="AB76">
        <f t="shared" si="29"/>
        <v>3</v>
      </c>
      <c r="AC76" s="10">
        <f t="shared" si="30"/>
        <v>10</v>
      </c>
      <c r="AD76" s="5">
        <f t="shared" si="22"/>
        <v>1</v>
      </c>
      <c r="AE76" s="5">
        <f t="shared" si="23"/>
        <v>1</v>
      </c>
      <c r="AF76" s="5">
        <f t="shared" si="31"/>
        <v>0</v>
      </c>
      <c r="AG76">
        <f>IF(B76&lt;&gt;"", COUNTIFS($B$2:B76, B76), "")</f>
        <v>4</v>
      </c>
      <c r="AH76">
        <f t="shared" si="32"/>
        <v>5</v>
      </c>
      <c r="AI76" t="str">
        <f>VLOOKUP(B76, Currency!A:B, 2, FALSE)</f>
        <v>INR</v>
      </c>
      <c r="AJ76">
        <f t="shared" si="24"/>
        <v>5</v>
      </c>
      <c r="AK76">
        <f t="shared" si="33"/>
        <v>8</v>
      </c>
      <c r="AL76" t="str">
        <f t="shared" si="34"/>
        <v>August</v>
      </c>
      <c r="AM76">
        <f t="shared" si="35"/>
        <v>2023</v>
      </c>
      <c r="AN76" t="str">
        <f t="shared" si="25"/>
        <v>30Akruthi Enterprises</v>
      </c>
      <c r="AO76">
        <f>IF(COUNTIF($AN$2:AN76, AN76)=1, 1, 0)</f>
        <v>0</v>
      </c>
      <c r="AP76" t="str">
        <f t="shared" si="36"/>
        <v>&gt;3</v>
      </c>
      <c r="AQ76" t="str">
        <f t="shared" si="37"/>
        <v>&gt;3</v>
      </c>
      <c r="AR76" t="str">
        <f t="shared" si="38"/>
        <v>&lt;=3</v>
      </c>
    </row>
    <row r="77" spans="1:44" x14ac:dyDescent="0.3">
      <c r="A77" t="s">
        <v>33</v>
      </c>
      <c r="B77" t="s">
        <v>760</v>
      </c>
      <c r="C77" t="s">
        <v>163</v>
      </c>
      <c r="D77">
        <v>4100</v>
      </c>
      <c r="E77">
        <v>23410179</v>
      </c>
      <c r="F77" t="s">
        <v>787</v>
      </c>
      <c r="G77" t="s">
        <v>788</v>
      </c>
      <c r="H77">
        <v>1</v>
      </c>
      <c r="I77">
        <v>3</v>
      </c>
      <c r="J77">
        <v>3</v>
      </c>
      <c r="K77" t="str">
        <f>IFERROR(IF(B77&lt;&gt;"", TEXT(VLOOKUP(B77, 'Expected Date'!A:B, 2, FALSE) + DATE(RIGHT(C77,2),MID(C77,4,2),LEFT(C77,2)), "dd/mm/yy"), ""), "")</f>
        <v>14/09/23</v>
      </c>
      <c r="L77" t="s">
        <v>38</v>
      </c>
      <c r="M77" t="s">
        <v>48</v>
      </c>
      <c r="N77" t="s">
        <v>470</v>
      </c>
      <c r="O77" t="s">
        <v>286</v>
      </c>
      <c r="P77">
        <v>23490207</v>
      </c>
      <c r="Q77" t="s">
        <v>787</v>
      </c>
      <c r="R77" t="s">
        <v>788</v>
      </c>
      <c r="S77">
        <v>1</v>
      </c>
      <c r="T77">
        <v>3</v>
      </c>
      <c r="U77">
        <v>3</v>
      </c>
      <c r="V77" t="str">
        <f t="shared" si="39"/>
        <v>Accepted</v>
      </c>
      <c r="W77">
        <f>IFERROR(VLOOKUP(N77, Payment_Terms!A:B, 2, FALSE), "Payment term not found!")</f>
        <v>30</v>
      </c>
      <c r="X77" t="str">
        <f>IFERROR(VLOOKUP(R77, Item_Category!A:B, 2, FALSE), "Uncategorized")</f>
        <v>Potassium Citrate</v>
      </c>
      <c r="Y77" s="5">
        <f t="shared" si="26"/>
        <v>0</v>
      </c>
      <c r="Z77">
        <f t="shared" si="27"/>
        <v>5</v>
      </c>
      <c r="AA77">
        <f t="shared" si="28"/>
        <v>-14</v>
      </c>
      <c r="AB77">
        <f t="shared" si="29"/>
        <v>5</v>
      </c>
      <c r="AC77" s="10">
        <f t="shared" si="30"/>
        <v>1</v>
      </c>
      <c r="AD77" s="5">
        <f t="shared" si="22"/>
        <v>1</v>
      </c>
      <c r="AE77" s="5">
        <f t="shared" si="23"/>
        <v>1</v>
      </c>
      <c r="AF77" s="5">
        <f t="shared" si="31"/>
        <v>0</v>
      </c>
      <c r="AG77">
        <f>IF(B77&lt;&gt;"", COUNTIFS($B$2:B77, B77), "")</f>
        <v>4</v>
      </c>
      <c r="AH77">
        <f t="shared" si="32"/>
        <v>5</v>
      </c>
      <c r="AI77" t="str">
        <f>VLOOKUP(B77, Currency!A:B, 2, FALSE)</f>
        <v>INR</v>
      </c>
      <c r="AJ77">
        <f t="shared" si="24"/>
        <v>5</v>
      </c>
      <c r="AK77">
        <f t="shared" si="33"/>
        <v>8</v>
      </c>
      <c r="AL77" t="str">
        <f t="shared" si="34"/>
        <v>August</v>
      </c>
      <c r="AM77">
        <f t="shared" si="35"/>
        <v>2023</v>
      </c>
      <c r="AN77" t="str">
        <f t="shared" si="25"/>
        <v>30ANNEXE CHEM PRIVATE LIMITED</v>
      </c>
      <c r="AO77">
        <f>IF(COUNTIF($AN$2:AN77, AN77)=1, 1, 0)</f>
        <v>0</v>
      </c>
      <c r="AP77" t="str">
        <f t="shared" si="36"/>
        <v>&gt;3</v>
      </c>
      <c r="AQ77" t="str">
        <f t="shared" si="37"/>
        <v>&gt;3</v>
      </c>
      <c r="AR77" t="str">
        <f t="shared" si="38"/>
        <v>&gt;3</v>
      </c>
    </row>
    <row r="78" spans="1:44" x14ac:dyDescent="0.3">
      <c r="A78" t="s">
        <v>33</v>
      </c>
      <c r="B78" t="s">
        <v>729</v>
      </c>
      <c r="C78" t="s">
        <v>332</v>
      </c>
      <c r="D78">
        <v>4096</v>
      </c>
      <c r="E78">
        <v>23410176</v>
      </c>
      <c r="F78" t="s">
        <v>626</v>
      </c>
      <c r="G78" t="s">
        <v>627</v>
      </c>
      <c r="H78">
        <v>1</v>
      </c>
      <c r="I78">
        <v>4</v>
      </c>
      <c r="J78">
        <v>4</v>
      </c>
      <c r="K78" t="str">
        <f>IFERROR(IF(B78&lt;&gt;"", TEXT(VLOOKUP(B78, 'Expected Date'!A:B, 2, FALSE) + DATE(RIGHT(C78,2),MID(C78,4,2),LEFT(C78,2)), "dd/mm/yy"), ""), "")</f>
        <v>08/09/23</v>
      </c>
      <c r="L78" t="s">
        <v>38</v>
      </c>
      <c r="M78" t="s">
        <v>48</v>
      </c>
      <c r="N78" t="s">
        <v>470</v>
      </c>
      <c r="O78" t="s">
        <v>286</v>
      </c>
      <c r="P78">
        <v>23490212</v>
      </c>
      <c r="Q78" t="s">
        <v>626</v>
      </c>
      <c r="R78" t="s">
        <v>627</v>
      </c>
      <c r="S78">
        <v>1</v>
      </c>
      <c r="T78">
        <v>4</v>
      </c>
      <c r="U78">
        <v>4</v>
      </c>
      <c r="V78" t="str">
        <f t="shared" si="39"/>
        <v>Accepted</v>
      </c>
      <c r="W78">
        <f>IFERROR(VLOOKUP(N78, Payment_Terms!A:B, 2, FALSE), "Payment term not found!")</f>
        <v>30</v>
      </c>
      <c r="X78" t="str">
        <f>IFERROR(VLOOKUP(R78, Item_Category!A:B, 2, FALSE), "Uncategorized")</f>
        <v>Ferric pyrophosphate</v>
      </c>
      <c r="Y78" s="5">
        <f t="shared" si="26"/>
        <v>0</v>
      </c>
      <c r="Z78">
        <f t="shared" si="27"/>
        <v>5</v>
      </c>
      <c r="AA78">
        <f t="shared" si="28"/>
        <v>-8</v>
      </c>
      <c r="AB78">
        <f t="shared" si="29"/>
        <v>5</v>
      </c>
      <c r="AC78" s="10">
        <f t="shared" si="30"/>
        <v>2</v>
      </c>
      <c r="AD78" s="5">
        <f t="shared" si="22"/>
        <v>1</v>
      </c>
      <c r="AE78" s="5">
        <f t="shared" si="23"/>
        <v>1</v>
      </c>
      <c r="AF78" s="5">
        <f t="shared" si="31"/>
        <v>0</v>
      </c>
      <c r="AG78">
        <f>IF(B78&lt;&gt;"", COUNTIFS($B$2:B78, B78), "")</f>
        <v>3</v>
      </c>
      <c r="AH78">
        <f t="shared" si="32"/>
        <v>5</v>
      </c>
      <c r="AI78" t="str">
        <f>VLOOKUP(B78, Currency!A:B, 2, FALSE)</f>
        <v>INR</v>
      </c>
      <c r="AJ78">
        <f t="shared" si="24"/>
        <v>5</v>
      </c>
      <c r="AK78">
        <f t="shared" si="33"/>
        <v>8</v>
      </c>
      <c r="AL78" t="str">
        <f t="shared" si="34"/>
        <v>August</v>
      </c>
      <c r="AM78">
        <f t="shared" si="35"/>
        <v>2023</v>
      </c>
      <c r="AN78" t="str">
        <f t="shared" si="25"/>
        <v>30SALVI CHEMICAL INDUSTRIES LIMITED</v>
      </c>
      <c r="AO78">
        <f>IF(COUNTIF($AN$2:AN78, AN78)=1, 1, 0)</f>
        <v>0</v>
      </c>
      <c r="AP78" t="str">
        <f t="shared" si="36"/>
        <v>&gt;3</v>
      </c>
      <c r="AQ78" t="str">
        <f t="shared" si="37"/>
        <v>&gt;3</v>
      </c>
      <c r="AR78" t="str">
        <f t="shared" si="38"/>
        <v>&gt;3</v>
      </c>
    </row>
    <row r="79" spans="1:44" x14ac:dyDescent="0.3">
      <c r="A79" t="s">
        <v>111</v>
      </c>
      <c r="B79" t="s">
        <v>789</v>
      </c>
      <c r="C79" t="s">
        <v>191</v>
      </c>
      <c r="D79">
        <v>4058</v>
      </c>
      <c r="E79">
        <v>23410166</v>
      </c>
      <c r="F79" t="s">
        <v>790</v>
      </c>
      <c r="G79" t="s">
        <v>791</v>
      </c>
      <c r="H79">
        <v>1</v>
      </c>
      <c r="I79">
        <v>4</v>
      </c>
      <c r="J79">
        <v>4</v>
      </c>
      <c r="K79" t="str">
        <f>IFERROR(IF(B79&lt;&gt;"", TEXT(VLOOKUP(B79, 'Expected Date'!A:B, 2, FALSE) + DATE(RIGHT(C79,2),MID(C79,4,2),LEFT(C79,2)), "dd/mm/yy"), ""), "")</f>
        <v>07/09/23</v>
      </c>
      <c r="L79" t="s">
        <v>38</v>
      </c>
      <c r="M79" t="s">
        <v>48</v>
      </c>
      <c r="N79" t="s">
        <v>470</v>
      </c>
      <c r="O79" t="s">
        <v>191</v>
      </c>
      <c r="P79">
        <v>23490204</v>
      </c>
      <c r="Q79" t="s">
        <v>790</v>
      </c>
      <c r="R79" t="s">
        <v>791</v>
      </c>
      <c r="S79">
        <v>1</v>
      </c>
      <c r="T79">
        <v>4</v>
      </c>
      <c r="U79">
        <v>4</v>
      </c>
      <c r="V79" t="str">
        <f t="shared" si="39"/>
        <v>Accepted</v>
      </c>
      <c r="W79">
        <f>IFERROR(VLOOKUP(N79, Payment_Terms!A:B, 2, FALSE), "Payment term not found!")</f>
        <v>30</v>
      </c>
      <c r="X79" t="str">
        <f>IFERROR(VLOOKUP(R79, Item_Category!A:B, 2, FALSE), "Uncategorized")</f>
        <v>Electrolytic Iron</v>
      </c>
      <c r="Y79" s="5">
        <f t="shared" si="26"/>
        <v>0</v>
      </c>
      <c r="Z79">
        <f t="shared" si="27"/>
        <v>5</v>
      </c>
      <c r="AA79">
        <f t="shared" si="28"/>
        <v>-10</v>
      </c>
      <c r="AB79">
        <f t="shared" si="29"/>
        <v>5</v>
      </c>
      <c r="AC79" s="10">
        <f t="shared" si="30"/>
        <v>0</v>
      </c>
      <c r="AD79" s="5">
        <f t="shared" si="22"/>
        <v>1</v>
      </c>
      <c r="AE79" s="5">
        <f t="shared" si="23"/>
        <v>1</v>
      </c>
      <c r="AF79" s="5">
        <f t="shared" si="31"/>
        <v>0</v>
      </c>
      <c r="AG79">
        <f>IF(B79&lt;&gt;"", COUNTIFS($B$2:B79, B79), "")</f>
        <v>1</v>
      </c>
      <c r="AH79">
        <f t="shared" si="32"/>
        <v>5</v>
      </c>
      <c r="AI79" t="str">
        <f>VLOOKUP(B79, Currency!A:B, 2, FALSE)</f>
        <v>INR</v>
      </c>
      <c r="AJ79">
        <f t="shared" si="24"/>
        <v>5</v>
      </c>
      <c r="AK79">
        <f t="shared" si="33"/>
        <v>8</v>
      </c>
      <c r="AL79" t="str">
        <f t="shared" si="34"/>
        <v>August</v>
      </c>
      <c r="AM79">
        <f t="shared" si="35"/>
        <v>2023</v>
      </c>
      <c r="AN79" t="str">
        <f t="shared" si="25"/>
        <v>30INDUSTRIAL METAL POWDER (INDIA) PVT LTD</v>
      </c>
      <c r="AO79">
        <f>IF(COUNTIF($AN$2:AN79, AN79)=1, 1, 0)</f>
        <v>1</v>
      </c>
      <c r="AP79" t="str">
        <f t="shared" si="36"/>
        <v>&gt;3</v>
      </c>
      <c r="AQ79" t="str">
        <f t="shared" si="37"/>
        <v>&gt;3</v>
      </c>
      <c r="AR79" t="str">
        <f t="shared" si="38"/>
        <v>&gt;3</v>
      </c>
    </row>
    <row r="80" spans="1:44" x14ac:dyDescent="0.3">
      <c r="A80" t="s">
        <v>33</v>
      </c>
      <c r="B80" t="s">
        <v>609</v>
      </c>
      <c r="C80" t="s">
        <v>72</v>
      </c>
      <c r="D80">
        <v>2586</v>
      </c>
      <c r="E80">
        <v>23410068</v>
      </c>
      <c r="F80" t="s">
        <v>792</v>
      </c>
      <c r="G80" t="s">
        <v>793</v>
      </c>
      <c r="H80">
        <v>3</v>
      </c>
      <c r="I80">
        <v>12200</v>
      </c>
      <c r="J80">
        <v>36600</v>
      </c>
      <c r="K80" t="str">
        <f>IFERROR(IF(B80&lt;&gt;"", TEXT(VLOOKUP(B80, 'Expected Date'!A:B, 2, FALSE) + DATE(RIGHT(C80,2),MID(C80,4,2),LEFT(C80,2)), "dd/mm/yy"), ""), "")</f>
        <v>03/07/23</v>
      </c>
      <c r="L80" t="s">
        <v>38</v>
      </c>
      <c r="M80" t="s">
        <v>48</v>
      </c>
      <c r="N80" t="s">
        <v>794</v>
      </c>
      <c r="O80" t="s">
        <v>63</v>
      </c>
      <c r="P80">
        <v>23490091</v>
      </c>
      <c r="Q80" t="s">
        <v>792</v>
      </c>
      <c r="R80" t="s">
        <v>793</v>
      </c>
      <c r="S80">
        <v>3</v>
      </c>
      <c r="T80">
        <v>12200</v>
      </c>
      <c r="U80">
        <v>36600</v>
      </c>
      <c r="V80" t="str">
        <f t="shared" si="39"/>
        <v>Accepted</v>
      </c>
      <c r="W80">
        <f>IFERROR(VLOOKUP(N80, Payment_Terms!A:B, 2, FALSE), "Payment term not found!")</f>
        <v>60</v>
      </c>
      <c r="X80" t="str">
        <f>IFERROR(VLOOKUP(R80, Item_Category!A:B, 2, FALSE), "Uncategorized")</f>
        <v>Vitamin K1 5% CWS</v>
      </c>
      <c r="Y80" s="5">
        <f t="shared" si="26"/>
        <v>0</v>
      </c>
      <c r="Z80">
        <f t="shared" si="27"/>
        <v>5</v>
      </c>
      <c r="AA80">
        <f t="shared" si="28"/>
        <v>-9</v>
      </c>
      <c r="AB80">
        <f t="shared" si="29"/>
        <v>5</v>
      </c>
      <c r="AC80" s="10">
        <f t="shared" si="30"/>
        <v>1</v>
      </c>
      <c r="AD80" s="5">
        <f t="shared" si="22"/>
        <v>1</v>
      </c>
      <c r="AE80" s="5">
        <f t="shared" si="23"/>
        <v>1</v>
      </c>
      <c r="AF80" s="5">
        <f t="shared" si="31"/>
        <v>0</v>
      </c>
      <c r="AG80">
        <f>IF(B80&lt;&gt;"", COUNTIFS($B$2:B80, B80), "")</f>
        <v>6</v>
      </c>
      <c r="AH80">
        <f t="shared" si="32"/>
        <v>5</v>
      </c>
      <c r="AI80" t="str">
        <f>VLOOKUP(B80, Currency!A:B, 2, FALSE)</f>
        <v>INR</v>
      </c>
      <c r="AJ80">
        <f t="shared" si="24"/>
        <v>5</v>
      </c>
      <c r="AK80">
        <f t="shared" si="33"/>
        <v>6</v>
      </c>
      <c r="AL80" t="str">
        <f t="shared" si="34"/>
        <v>June</v>
      </c>
      <c r="AM80">
        <f t="shared" si="35"/>
        <v>2023</v>
      </c>
      <c r="AN80" t="str">
        <f t="shared" si="25"/>
        <v>60HUFORT HEALTHCARE PRIVATE LIMITED</v>
      </c>
      <c r="AO80">
        <f>IF(COUNTIF($AN$2:AN80, AN80)=1, 1, 0)</f>
        <v>1</v>
      </c>
      <c r="AP80" t="str">
        <f t="shared" si="36"/>
        <v>&gt;3</v>
      </c>
      <c r="AQ80" t="str">
        <f t="shared" si="37"/>
        <v>&gt;3</v>
      </c>
      <c r="AR80" t="str">
        <f t="shared" si="38"/>
        <v>&gt;3</v>
      </c>
    </row>
    <row r="81" spans="1:44" x14ac:dyDescent="0.3">
      <c r="A81" t="s">
        <v>33</v>
      </c>
      <c r="B81" t="s">
        <v>774</v>
      </c>
      <c r="C81" t="s">
        <v>227</v>
      </c>
      <c r="D81">
        <v>3298</v>
      </c>
      <c r="E81">
        <v>23410101</v>
      </c>
      <c r="F81" t="s">
        <v>775</v>
      </c>
      <c r="G81" t="s">
        <v>776</v>
      </c>
      <c r="H81">
        <v>50</v>
      </c>
      <c r="I81">
        <v>150</v>
      </c>
      <c r="J81">
        <v>7500</v>
      </c>
      <c r="K81" t="str">
        <f>IFERROR(IF(B81&lt;&gt;"", TEXT(VLOOKUP(B81, 'Expected Date'!A:B, 2, FALSE) + DATE(RIGHT(C81,2),MID(C81,4,2),LEFT(C81,2)), "dd/mm/yy"), ""), "")</f>
        <v>04/08/23</v>
      </c>
      <c r="L81" t="s">
        <v>38</v>
      </c>
      <c r="M81" t="s">
        <v>48</v>
      </c>
      <c r="N81" t="s">
        <v>470</v>
      </c>
      <c r="O81" t="s">
        <v>94</v>
      </c>
      <c r="P81">
        <v>23490152</v>
      </c>
      <c r="Q81" t="s">
        <v>775</v>
      </c>
      <c r="R81" t="s">
        <v>776</v>
      </c>
      <c r="S81">
        <v>50</v>
      </c>
      <c r="T81">
        <v>150</v>
      </c>
      <c r="U81">
        <v>7500</v>
      </c>
      <c r="V81" t="str">
        <f t="shared" si="39"/>
        <v>Accepted</v>
      </c>
      <c r="W81">
        <f>IFERROR(VLOOKUP(N81, Payment_Terms!A:B, 2, FALSE), "Payment term not found!")</f>
        <v>30</v>
      </c>
      <c r="X81" t="str">
        <f>IFERROR(VLOOKUP(R81, Item_Category!A:B, 2, FALSE), "Uncategorized")</f>
        <v>Magnesium Oxide anhydrous</v>
      </c>
      <c r="Y81" s="5">
        <f t="shared" si="26"/>
        <v>0</v>
      </c>
      <c r="Z81">
        <f t="shared" si="27"/>
        <v>5</v>
      </c>
      <c r="AA81">
        <f t="shared" si="28"/>
        <v>3</v>
      </c>
      <c r="AB81">
        <f t="shared" si="29"/>
        <v>4</v>
      </c>
      <c r="AC81" s="10">
        <f t="shared" si="30"/>
        <v>13</v>
      </c>
      <c r="AD81" s="5">
        <f t="shared" si="22"/>
        <v>1</v>
      </c>
      <c r="AE81" s="5">
        <f t="shared" si="23"/>
        <v>1</v>
      </c>
      <c r="AF81" s="5">
        <f t="shared" si="31"/>
        <v>0</v>
      </c>
      <c r="AG81">
        <f>IF(B81&lt;&gt;"", COUNTIFS($B$2:B81, B81), "")</f>
        <v>2</v>
      </c>
      <c r="AH81">
        <f t="shared" si="32"/>
        <v>5</v>
      </c>
      <c r="AI81" t="str">
        <f>VLOOKUP(B81, Currency!A:B, 2, FALSE)</f>
        <v>INR</v>
      </c>
      <c r="AJ81">
        <f t="shared" si="24"/>
        <v>5</v>
      </c>
      <c r="AK81">
        <f t="shared" si="33"/>
        <v>7</v>
      </c>
      <c r="AL81" t="str">
        <f t="shared" si="34"/>
        <v>July</v>
      </c>
      <c r="AM81">
        <f t="shared" si="35"/>
        <v>2023</v>
      </c>
      <c r="AN81" t="str">
        <f t="shared" si="25"/>
        <v>30NIMBASIA STABILIZERS</v>
      </c>
      <c r="AO81">
        <f>IF(COUNTIF($AN$2:AN81, AN81)=1, 1, 0)</f>
        <v>0</v>
      </c>
      <c r="AP81" t="str">
        <f t="shared" si="36"/>
        <v>&gt;3</v>
      </c>
      <c r="AQ81" t="str">
        <f t="shared" si="37"/>
        <v>&gt;3</v>
      </c>
      <c r="AR81" t="str">
        <f t="shared" si="38"/>
        <v>&gt;3</v>
      </c>
    </row>
    <row r="82" spans="1:44" x14ac:dyDescent="0.3">
      <c r="A82" t="s">
        <v>33</v>
      </c>
      <c r="B82" t="s">
        <v>795</v>
      </c>
      <c r="C82" t="s">
        <v>227</v>
      </c>
      <c r="D82">
        <v>3301</v>
      </c>
      <c r="E82">
        <v>23410104</v>
      </c>
      <c r="F82" t="s">
        <v>717</v>
      </c>
      <c r="G82" t="s">
        <v>718</v>
      </c>
      <c r="H82">
        <v>125</v>
      </c>
      <c r="I82">
        <v>15</v>
      </c>
      <c r="J82">
        <v>1875</v>
      </c>
      <c r="K82" t="str">
        <f>IFERROR(IF(B82&lt;&gt;"", TEXT(VLOOKUP(B82, 'Expected Date'!A:B, 2, FALSE) + DATE(RIGHT(C82,2),MID(C82,4,2),LEFT(C82,2)), "dd/mm/yy"), ""), "")</f>
        <v>09/08/23</v>
      </c>
      <c r="L82" t="s">
        <v>38</v>
      </c>
      <c r="M82" t="s">
        <v>48</v>
      </c>
      <c r="N82" t="s">
        <v>470</v>
      </c>
      <c r="O82" t="s">
        <v>408</v>
      </c>
      <c r="P82">
        <v>23490156</v>
      </c>
      <c r="Q82" t="s">
        <v>717</v>
      </c>
      <c r="R82" t="s">
        <v>718</v>
      </c>
      <c r="S82">
        <v>125</v>
      </c>
      <c r="T82">
        <v>15</v>
      </c>
      <c r="U82">
        <v>1875</v>
      </c>
      <c r="V82" t="str">
        <f t="shared" si="39"/>
        <v>Accepted</v>
      </c>
      <c r="W82">
        <f>IFERROR(VLOOKUP(N82, Payment_Terms!A:B, 2, FALSE), "Payment term not found!")</f>
        <v>30</v>
      </c>
      <c r="X82" t="str">
        <f>IFERROR(VLOOKUP(R82, Item_Category!A:B, 2, FALSE), "Uncategorized")</f>
        <v>Calcium Carbonate Anhydrous</v>
      </c>
      <c r="Y82" s="5">
        <f t="shared" si="26"/>
        <v>0</v>
      </c>
      <c r="Z82">
        <f t="shared" si="27"/>
        <v>5</v>
      </c>
      <c r="AA82">
        <f t="shared" si="28"/>
        <v>-1</v>
      </c>
      <c r="AB82">
        <f t="shared" si="29"/>
        <v>5</v>
      </c>
      <c r="AC82" s="10">
        <f t="shared" si="30"/>
        <v>14</v>
      </c>
      <c r="AD82" s="5">
        <f t="shared" si="22"/>
        <v>1</v>
      </c>
      <c r="AE82" s="5">
        <f t="shared" si="23"/>
        <v>1</v>
      </c>
      <c r="AF82" s="5">
        <f t="shared" si="31"/>
        <v>0</v>
      </c>
      <c r="AG82">
        <f>IF(B82&lt;&gt;"", COUNTIFS($B$2:B82, B82), "")</f>
        <v>1</v>
      </c>
      <c r="AH82">
        <f t="shared" si="32"/>
        <v>5</v>
      </c>
      <c r="AI82" t="str">
        <f>VLOOKUP(B82, Currency!A:B, 2, FALSE)</f>
        <v>INR</v>
      </c>
      <c r="AJ82">
        <f t="shared" si="24"/>
        <v>5</v>
      </c>
      <c r="AK82">
        <f t="shared" si="33"/>
        <v>7</v>
      </c>
      <c r="AL82" t="str">
        <f t="shared" si="34"/>
        <v>July</v>
      </c>
      <c r="AM82">
        <f t="shared" si="35"/>
        <v>2023</v>
      </c>
      <c r="AN82" t="str">
        <f t="shared" si="25"/>
        <v>30Gangotri Inorganic P Ltd</v>
      </c>
      <c r="AO82">
        <f>IF(COUNTIF($AN$2:AN82, AN82)=1, 1, 0)</f>
        <v>1</v>
      </c>
      <c r="AP82" t="str">
        <f t="shared" si="36"/>
        <v>&gt;3</v>
      </c>
      <c r="AQ82" t="str">
        <f t="shared" si="37"/>
        <v>&gt;3</v>
      </c>
      <c r="AR82" t="str">
        <f t="shared" si="38"/>
        <v>&gt;3</v>
      </c>
    </row>
    <row r="83" spans="1:44" x14ac:dyDescent="0.3">
      <c r="A83" t="s">
        <v>33</v>
      </c>
      <c r="B83" t="s">
        <v>796</v>
      </c>
      <c r="C83" t="s">
        <v>394</v>
      </c>
      <c r="D83">
        <v>3841</v>
      </c>
      <c r="E83">
        <v>23410144</v>
      </c>
      <c r="F83" t="s">
        <v>797</v>
      </c>
      <c r="G83" t="s">
        <v>798</v>
      </c>
      <c r="H83">
        <v>25</v>
      </c>
      <c r="I83">
        <v>175</v>
      </c>
      <c r="J83">
        <v>4375</v>
      </c>
      <c r="K83" t="str">
        <f>IFERROR(IF(B83&lt;&gt;"", TEXT(VLOOKUP(B83, 'Expected Date'!A:B, 2, FALSE) + DATE(RIGHT(C83,2),MID(C83,4,2),LEFT(C83,2)), "dd/mm/yy"), ""), "")</f>
        <v>27/08/23</v>
      </c>
      <c r="L83" t="s">
        <v>38</v>
      </c>
      <c r="M83" t="s">
        <v>48</v>
      </c>
      <c r="N83" t="s">
        <v>470</v>
      </c>
      <c r="O83" t="s">
        <v>496</v>
      </c>
      <c r="P83">
        <v>23490219</v>
      </c>
      <c r="Q83" t="s">
        <v>797</v>
      </c>
      <c r="R83" t="s">
        <v>798</v>
      </c>
      <c r="S83">
        <v>25</v>
      </c>
      <c r="T83">
        <v>175</v>
      </c>
      <c r="U83">
        <v>4375</v>
      </c>
      <c r="V83" t="str">
        <f t="shared" si="39"/>
        <v>Accepted</v>
      </c>
      <c r="W83">
        <f>IFERROR(VLOOKUP(N83, Payment_Terms!A:B, 2, FALSE), "Payment term not found!")</f>
        <v>30</v>
      </c>
      <c r="X83" t="str">
        <f>IFERROR(VLOOKUP(R83, Item_Category!A:B, 2, FALSE), "Uncategorized")</f>
        <v>Di - Potassium Hydrogen Orthophosphate Anhydrous</v>
      </c>
      <c r="Y83" s="5">
        <f t="shared" si="26"/>
        <v>0</v>
      </c>
      <c r="Z83">
        <f t="shared" si="27"/>
        <v>5</v>
      </c>
      <c r="AA83">
        <f t="shared" si="28"/>
        <v>6</v>
      </c>
      <c r="AB83">
        <f t="shared" si="29"/>
        <v>3</v>
      </c>
      <c r="AC83" s="10">
        <f t="shared" si="30"/>
        <v>16</v>
      </c>
      <c r="AD83" s="5">
        <f t="shared" si="22"/>
        <v>1</v>
      </c>
      <c r="AE83" s="5">
        <f t="shared" si="23"/>
        <v>1</v>
      </c>
      <c r="AF83" s="5">
        <f t="shared" si="31"/>
        <v>0</v>
      </c>
      <c r="AG83">
        <f>IF(B83&lt;&gt;"", COUNTIFS($B$2:B83, B83), "")</f>
        <v>1</v>
      </c>
      <c r="AH83">
        <f t="shared" si="32"/>
        <v>5</v>
      </c>
      <c r="AI83" t="str">
        <f>VLOOKUP(B83, Currency!A:B, 2, FALSE)</f>
        <v>INR</v>
      </c>
      <c r="AJ83">
        <f t="shared" si="24"/>
        <v>5</v>
      </c>
      <c r="AK83">
        <f t="shared" si="33"/>
        <v>8</v>
      </c>
      <c r="AL83" t="str">
        <f t="shared" si="34"/>
        <v>August</v>
      </c>
      <c r="AM83">
        <f t="shared" si="35"/>
        <v>2023</v>
      </c>
      <c r="AN83" t="str">
        <f t="shared" si="25"/>
        <v>30SKC CHEMIE PRIVATE LIMITED</v>
      </c>
      <c r="AO83">
        <f>IF(COUNTIF($AN$2:AN83, AN83)=1, 1, 0)</f>
        <v>1</v>
      </c>
      <c r="AP83" t="str">
        <f t="shared" si="36"/>
        <v>&gt;3</v>
      </c>
      <c r="AQ83" t="str">
        <f t="shared" si="37"/>
        <v>&gt;3</v>
      </c>
      <c r="AR83" t="str">
        <f t="shared" si="38"/>
        <v>&lt;=3</v>
      </c>
    </row>
  </sheetData>
  <autoFilter ref="A1:AR1" xr:uid="{4B9E8E6F-5E84-4A21-B68E-4F83552E701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A8C2-5022-4F2D-8BBE-237E8117CD83}">
  <sheetPr>
    <tabColor rgb="FFFFFF00"/>
  </sheetPr>
  <dimension ref="A1:AQ846"/>
  <sheetViews>
    <sheetView zoomScale="92" workbookViewId="0"/>
  </sheetViews>
  <sheetFormatPr defaultRowHeight="14.4" x14ac:dyDescent="0.3"/>
  <cols>
    <col min="1" max="1" width="15.88671875" customWidth="1"/>
    <col min="2" max="2" width="37.88671875" customWidth="1"/>
    <col min="3" max="3" width="15.109375" customWidth="1"/>
    <col min="4" max="4" width="21.44140625" customWidth="1"/>
    <col min="5" max="5" width="12.5546875" customWidth="1"/>
    <col min="6" max="6" width="14.5546875" customWidth="1"/>
    <col min="7" max="7" width="64.5546875" customWidth="1"/>
    <col min="8" max="8" width="17.6640625" customWidth="1"/>
    <col min="9" max="9" width="18.33203125" customWidth="1"/>
    <col min="10" max="10" width="18.88671875" customWidth="1"/>
    <col min="11" max="11" width="15.88671875" style="9" customWidth="1"/>
    <col min="12" max="12" width="15.6640625" customWidth="1"/>
    <col min="13" max="13" width="19.44140625" customWidth="1"/>
    <col min="14" max="14" width="24.6640625" customWidth="1"/>
    <col min="15" max="15" width="13.6640625" customWidth="1"/>
    <col min="16" max="16" width="15.109375" customWidth="1"/>
    <col min="17" max="17" width="13.5546875" customWidth="1"/>
    <col min="18" max="18" width="29" customWidth="1"/>
    <col min="19" max="19" width="15.33203125" customWidth="1"/>
    <col min="20" max="20" width="15.5546875" customWidth="1"/>
    <col min="21" max="21" width="15.44140625" customWidth="1"/>
    <col min="22" max="22" width="13.88671875" customWidth="1"/>
    <col min="23" max="23" width="12.44140625" customWidth="1"/>
    <col min="24" max="25" width="17" customWidth="1"/>
    <col min="26" max="26" width="25.109375" customWidth="1"/>
    <col min="27" max="27" width="21" style="5" customWidth="1"/>
    <col min="28" max="28" width="17.88671875" customWidth="1"/>
    <col min="29" max="29" width="21" customWidth="1"/>
    <col min="30" max="30" width="16.5546875" customWidth="1"/>
    <col min="31" max="31" width="18.6640625" customWidth="1"/>
    <col min="32" max="32" width="18.6640625" style="5" customWidth="1"/>
    <col min="33" max="33" width="23.44140625" style="5" customWidth="1"/>
    <col min="34" max="34" width="25.109375" style="5" customWidth="1"/>
    <col min="35" max="39" width="18.6640625" customWidth="1"/>
    <col min="40" max="40" width="10.88671875" customWidth="1"/>
    <col min="41" max="41" width="18.88671875" customWidth="1"/>
    <col min="42" max="42" width="18.33203125" customWidth="1"/>
    <col min="43" max="43" width="17.44140625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7</v>
      </c>
      <c r="T1" s="1" t="s">
        <v>8</v>
      </c>
      <c r="U1" s="1" t="s">
        <v>9</v>
      </c>
      <c r="V1" s="1" t="s">
        <v>856</v>
      </c>
      <c r="W1" s="1" t="s">
        <v>28</v>
      </c>
      <c r="X1" s="1" t="s">
        <v>857</v>
      </c>
      <c r="Y1" s="1" t="s">
        <v>858</v>
      </c>
      <c r="Z1" s="1" t="s">
        <v>859</v>
      </c>
      <c r="AA1" s="6" t="s">
        <v>860</v>
      </c>
      <c r="AB1" s="1" t="s">
        <v>861</v>
      </c>
      <c r="AC1" s="3" t="s">
        <v>22</v>
      </c>
      <c r="AD1" s="3" t="s">
        <v>23</v>
      </c>
      <c r="AE1" s="3" t="s">
        <v>24</v>
      </c>
      <c r="AF1" s="6" t="s">
        <v>25</v>
      </c>
      <c r="AG1" s="6" t="s">
        <v>868</v>
      </c>
      <c r="AH1" s="6" t="s">
        <v>865</v>
      </c>
      <c r="AI1" s="3" t="s">
        <v>26</v>
      </c>
      <c r="AJ1" s="3" t="s">
        <v>27</v>
      </c>
      <c r="AK1" s="3" t="s">
        <v>29</v>
      </c>
      <c r="AL1" s="3" t="s">
        <v>869</v>
      </c>
      <c r="AM1" s="3" t="s">
        <v>866</v>
      </c>
      <c r="AN1" s="3" t="s">
        <v>30</v>
      </c>
      <c r="AO1" s="3" t="s">
        <v>873</v>
      </c>
      <c r="AP1" s="3" t="s">
        <v>874</v>
      </c>
      <c r="AQ1" s="3" t="s">
        <v>875</v>
      </c>
    </row>
    <row r="2" spans="1:43" x14ac:dyDescent="0.3">
      <c r="A2" t="s">
        <v>33</v>
      </c>
      <c r="B2" t="s">
        <v>34</v>
      </c>
      <c r="C2" t="s">
        <v>35</v>
      </c>
      <c r="D2">
        <v>1661</v>
      </c>
      <c r="E2">
        <v>23120014</v>
      </c>
      <c r="F2" t="s">
        <v>36</v>
      </c>
      <c r="G2" t="s">
        <v>37</v>
      </c>
      <c r="H2">
        <v>4197</v>
      </c>
      <c r="I2">
        <v>35.75</v>
      </c>
      <c r="J2">
        <v>150042.75</v>
      </c>
      <c r="K2" s="7" t="str">
        <f>IFERROR(IF(B2&lt;&gt;"", TEXT(VLOOKUP(B2, 'Expected Date'!A:B, 2, FALSE) + DATE(RIGHT(C2,2),MID(C2,4,2),LEFT(C2,2)), "dd/mm/yy"), ""), "")</f>
        <v>07/05/23</v>
      </c>
      <c r="L2" t="s">
        <v>38</v>
      </c>
      <c r="M2" t="s">
        <v>39</v>
      </c>
      <c r="N2" t="s">
        <v>40</v>
      </c>
      <c r="O2" t="s">
        <v>41</v>
      </c>
      <c r="P2">
        <v>23190139</v>
      </c>
      <c r="Q2" t="s">
        <v>36</v>
      </c>
      <c r="R2" t="s">
        <v>37</v>
      </c>
      <c r="S2">
        <v>2140</v>
      </c>
      <c r="T2">
        <v>35.75</v>
      </c>
      <c r="U2">
        <v>76505</v>
      </c>
      <c r="V2" t="s">
        <v>862</v>
      </c>
      <c r="W2" t="str">
        <f>VLOOKUP(B2, Currency!A:B, 2, FALSE)</f>
        <v>INR</v>
      </c>
      <c r="X2" t="s">
        <v>42</v>
      </c>
      <c r="Y2">
        <f>IFERROR(VLOOKUP(N2, Payment_Terms!A:B, 2, FALSE), "Payment term not found!")</f>
        <v>30</v>
      </c>
      <c r="Z2" t="str">
        <f>IFERROR(VLOOKUP(R2, Item_Category!A:B, 2, FALSE), "Uncategorized")</f>
        <v>Bags</v>
      </c>
      <c r="AA2" s="5">
        <f>IFERROR(IF(AND(E2&lt;&gt;"", G2&lt;&gt;""), MAX(0, (H2-SUMIFS(S:S, E:E, E2, G:G, G2))/H2), ""), (H2-S2)/H2)</f>
        <v>0</v>
      </c>
      <c r="AB2">
        <f>IF(AA2&lt;=0%,5,(IF(AND(AA2&gt;0%,AA2&lt;=2%),4,IF(AND(AA2&gt;2%,AA2&lt;=5%),3,IF(AND(AA2&gt;5%,AA2&lt;10%),2,1)))))</f>
        <v>5</v>
      </c>
      <c r="AC2" s="10">
        <f>DATE(RIGHT(O2,2),MID(O2,4,2),LEFT(O2,2)) - DATE(RIGHT(K2,2),MID(K2,4,2),LEFT(K2,2))</f>
        <v>-8</v>
      </c>
      <c r="AD2">
        <f>IF(AC2 &lt;= 2, 5, IF(AC2 &lt;= 4, 4, IF(AC2 &lt;= 7, 3, IF(AC2&lt;=10,2,1))))</f>
        <v>5</v>
      </c>
      <c r="AE2" s="10">
        <f>ABS(DATE(RIGHT(O2,2),MID(O2,4,2),LEFT(O2,2)) - DATE(RIGHT(C2,2),MID(C2,4,2),LEFT(C2,2)))</f>
        <v>2</v>
      </c>
      <c r="AF2" s="5">
        <f t="shared" ref="AF2:AF65" si="0">IF(X2="Accepted",1,0)</f>
        <v>1</v>
      </c>
      <c r="AG2" s="5">
        <f t="shared" ref="AG2:AG65" si="1">ROUNDUP((SUMIFS(S:S, B:B, B2, X:X, "Accepted")/SUMIF(B:B,B2,S:S)),2)</f>
        <v>1</v>
      </c>
      <c r="AH2" s="5">
        <f>ROUNDUP(ABS(100%-AG2),2)</f>
        <v>0</v>
      </c>
      <c r="AI2">
        <f>IF(B2&lt;&gt;"", COUNTIFS($B$2:B2, B2), "")</f>
        <v>1</v>
      </c>
      <c r="AJ2">
        <f>IF(AH2=0%,5,IF(AND(AH2&gt;0%,AH2&lt;=2%),4,IF(AND(AH2&gt;2%,AH2&lt;=5%),3,IF(AND(AH2&gt;5%,AH2&lt;10%),2,1))))</f>
        <v>5</v>
      </c>
      <c r="AK2">
        <f t="shared" ref="AK2:AK65" si="2">_xlfn.CEILING.MATH(((0.4*AJ2)+(0.3*AD2)+(0.3*AB2)),1)</f>
        <v>5</v>
      </c>
      <c r="AL2">
        <f>MONTH(DATE(RIGHT(C2,2),MID(C2,4,2),LEFT(C2,2)))</f>
        <v>4</v>
      </c>
      <c r="AM2" t="str">
        <f>TEXT(DATE(RIGHT(C2,2),MID(C2,4,2),LEFT(C2,2)),"mmmm")</f>
        <v>April</v>
      </c>
      <c r="AN2">
        <f>YEAR(DATE(VALUE(MID(C2,7,2))+2000, MID(C2,4,2), MID(C2,1,2)))</f>
        <v>2023</v>
      </c>
      <c r="AO2" t="str">
        <f>IF(AJ2&lt;=3,"&lt;=3","&gt;3")</f>
        <v>&gt;3</v>
      </c>
      <c r="AP2" t="str">
        <f>IF(AB2&lt;=3,"&lt;=3","&gt;3")</f>
        <v>&gt;3</v>
      </c>
      <c r="AQ2" t="str">
        <f>IF(AD2&lt;=3,"&lt;=3","&gt;3")</f>
        <v>&gt;3</v>
      </c>
    </row>
    <row r="3" spans="1:43" x14ac:dyDescent="0.3">
      <c r="A3" t="s">
        <v>33</v>
      </c>
      <c r="B3" t="s">
        <v>34</v>
      </c>
      <c r="C3" t="s">
        <v>35</v>
      </c>
      <c r="D3">
        <v>1661</v>
      </c>
      <c r="E3">
        <v>23120014</v>
      </c>
      <c r="F3" t="s">
        <v>36</v>
      </c>
      <c r="G3" t="s">
        <v>37</v>
      </c>
      <c r="H3">
        <v>4197</v>
      </c>
      <c r="I3">
        <v>35.75</v>
      </c>
      <c r="J3">
        <v>150042.75</v>
      </c>
      <c r="K3" s="7" t="str">
        <f>IFERROR(IF(B3&lt;&gt;"", TEXT(VLOOKUP(B3, 'Expected Date'!A:B, 2, FALSE) + DATE(RIGHT(C3,2),MID(C3,4,2),LEFT(C3,2)), "dd/mm/yy"), ""), "")</f>
        <v>07/05/23</v>
      </c>
      <c r="L3" t="s">
        <v>38</v>
      </c>
      <c r="M3" t="s">
        <v>39</v>
      </c>
      <c r="N3" t="s">
        <v>40</v>
      </c>
      <c r="O3" t="s">
        <v>41</v>
      </c>
      <c r="P3">
        <v>23190140</v>
      </c>
      <c r="Q3" t="s">
        <v>36</v>
      </c>
      <c r="R3" t="s">
        <v>37</v>
      </c>
      <c r="S3">
        <v>2057</v>
      </c>
      <c r="T3">
        <v>35.75</v>
      </c>
      <c r="U3">
        <v>73537.75</v>
      </c>
      <c r="V3" t="str">
        <f>V2</f>
        <v>Hyderabad</v>
      </c>
      <c r="W3" t="str">
        <f>VLOOKUP(B3, Currency!A:B, 2, FALSE)</f>
        <v>INR</v>
      </c>
      <c r="X3" t="str">
        <f>X2</f>
        <v>Accepted</v>
      </c>
      <c r="Y3">
        <f>IFERROR(VLOOKUP(N3, Payment_Terms!A:B, 2, FALSE), "Payment term not found!")</f>
        <v>30</v>
      </c>
      <c r="Z3" t="str">
        <f>IFERROR(VLOOKUP(R3, Item_Category!A:B, 2, FALSE), "Uncategorized")</f>
        <v>Bags</v>
      </c>
      <c r="AA3" s="5">
        <f t="shared" ref="AA3:AA66" si="3">IFERROR(IF(AND(E3&lt;&gt;"", G3&lt;&gt;""), MAX(0, (H3-SUMIFS(S:S, E:E, E3, G:G, G3))/H3), ""), (H3-S3)/H3)</f>
        <v>0</v>
      </c>
      <c r="AB3">
        <f t="shared" ref="AB3:AB66" si="4">IF(AA3&lt;=0%,5,(IF(AND(AA3&gt;0%,AA3&lt;=2%),4,IF(AND(AA3&gt;2%,AA3&lt;=5%),3,IF(AND(AA3&gt;5%,AA3&lt;10%),2,1)))))</f>
        <v>5</v>
      </c>
      <c r="AC3" s="10">
        <f t="shared" ref="AC3:AC66" si="5">DATE(RIGHT(O3,2),MID(O3,4,2),LEFT(O3,2)) - DATE(RIGHT(K3,2),MID(K3,4,2),LEFT(K3,2))</f>
        <v>-8</v>
      </c>
      <c r="AD3">
        <f t="shared" ref="AD3:AD66" si="6">IF(AC3 &lt;= 2, 5, IF(AC3 &lt;= 4, 4, IF(AC3 &lt;= 7, 3, IF(AC3&lt;=10,2,1))))</f>
        <v>5</v>
      </c>
      <c r="AE3" s="10">
        <f t="shared" ref="AE3:AE66" si="7">ABS(DATE(RIGHT(O3,2),MID(O3,4,2),LEFT(O3,2)) - DATE(RIGHT(C3,2),MID(C3,4,2),LEFT(C3,2)))</f>
        <v>2</v>
      </c>
      <c r="AF3" s="5">
        <f t="shared" si="0"/>
        <v>1</v>
      </c>
      <c r="AG3" s="5">
        <f t="shared" si="1"/>
        <v>1</v>
      </c>
      <c r="AH3" s="5">
        <f t="shared" ref="AH3:AH66" si="8">ROUNDUP(ABS(100%-AG3),2)</f>
        <v>0</v>
      </c>
      <c r="AI3">
        <f>IF(B3&lt;&gt;"", COUNTIFS($B$2:B3, B3), "")</f>
        <v>2</v>
      </c>
      <c r="AJ3">
        <f t="shared" ref="AJ3:AJ66" si="9">IF(AH3=0%,5,IF(AND(AH3&gt;0%,AH3&lt;=2%),4,IF(AND(AH3&gt;2%,AH3&lt;=5%),3,IF(AND(AH3&gt;5%,AH3&lt;10%),2,1))))</f>
        <v>5</v>
      </c>
      <c r="AK3">
        <f t="shared" si="2"/>
        <v>5</v>
      </c>
      <c r="AL3">
        <f t="shared" ref="AL3:AL66" si="10">MONTH(DATE(RIGHT(C3,2),MID(C3,4,2),LEFT(C3,2)))</f>
        <v>4</v>
      </c>
      <c r="AM3" t="str">
        <f t="shared" ref="AM3:AM66" si="11">TEXT(DATE(RIGHT(C3,2),MID(C3,4,2),LEFT(C3,2)),"mmmm")</f>
        <v>April</v>
      </c>
      <c r="AN3">
        <f t="shared" ref="AN3:AN66" si="12">YEAR(DATE(VALUE(MID(C3,7,2))+2000, MID(C3,4,2), MID(C3,1,2)))</f>
        <v>2023</v>
      </c>
      <c r="AO3" t="str">
        <f t="shared" ref="AO3:AO66" si="13">IF(AJ3&lt;=3,"&lt;=3","&gt;3")</f>
        <v>&gt;3</v>
      </c>
      <c r="AP3" t="str">
        <f t="shared" ref="AP3:AP66" si="14">IF(AB3&lt;=3,"&lt;=3","&gt;3")</f>
        <v>&gt;3</v>
      </c>
      <c r="AQ3" t="str">
        <f t="shared" ref="AQ3:AQ66" si="15">IF(AD3&lt;=3,"&lt;=3","&gt;3")</f>
        <v>&gt;3</v>
      </c>
    </row>
    <row r="4" spans="1:43" x14ac:dyDescent="0.3">
      <c r="A4" t="s">
        <v>33</v>
      </c>
      <c r="B4" t="s">
        <v>44</v>
      </c>
      <c r="C4" t="s">
        <v>45</v>
      </c>
      <c r="D4">
        <v>2483</v>
      </c>
      <c r="E4">
        <v>23120047</v>
      </c>
      <c r="F4" t="s">
        <v>46</v>
      </c>
      <c r="G4" t="s">
        <v>47</v>
      </c>
      <c r="H4">
        <v>600</v>
      </c>
      <c r="I4">
        <v>70</v>
      </c>
      <c r="J4">
        <v>42000</v>
      </c>
      <c r="K4" s="7" t="str">
        <f>IFERROR(IF(B4&lt;&gt;"", TEXT(VLOOKUP(B4, 'Expected Date'!A:B, 2, FALSE) + DATE(RIGHT(C4,2),MID(C4,4,2),LEFT(C4,2)), "dd/mm/yy"), ""), "")</f>
        <v>22/06/23</v>
      </c>
      <c r="L4" t="s">
        <v>38</v>
      </c>
      <c r="M4" t="s">
        <v>48</v>
      </c>
      <c r="N4" t="s">
        <v>49</v>
      </c>
      <c r="O4" t="s">
        <v>50</v>
      </c>
      <c r="P4">
        <v>23190629</v>
      </c>
      <c r="Q4" t="s">
        <v>46</v>
      </c>
      <c r="R4" t="s">
        <v>47</v>
      </c>
      <c r="S4">
        <v>300</v>
      </c>
      <c r="T4">
        <v>70</v>
      </c>
      <c r="U4">
        <v>21000</v>
      </c>
      <c r="V4" t="str">
        <f t="shared" ref="V4:X67" si="16">V3</f>
        <v>Hyderabad</v>
      </c>
      <c r="W4" t="str">
        <f>VLOOKUP(B4, Currency!A:B, 2, FALSE)</f>
        <v>INR</v>
      </c>
      <c r="X4" t="str">
        <f t="shared" si="16"/>
        <v>Accepted</v>
      </c>
      <c r="Y4">
        <f>IFERROR(VLOOKUP(N4, Payment_Terms!A:B, 2, FALSE), "Payment term not found!")</f>
        <v>30</v>
      </c>
      <c r="Z4" t="str">
        <f>IFERROR(VLOOKUP(R4, Item_Category!A:B, 2, FALSE), "Uncategorized")</f>
        <v>Gas</v>
      </c>
      <c r="AA4" s="5">
        <f t="shared" si="3"/>
        <v>0</v>
      </c>
      <c r="AB4">
        <f t="shared" si="4"/>
        <v>5</v>
      </c>
      <c r="AC4" s="10">
        <f t="shared" si="5"/>
        <v>19</v>
      </c>
      <c r="AD4">
        <f t="shared" si="6"/>
        <v>1</v>
      </c>
      <c r="AE4" s="10">
        <f t="shared" si="7"/>
        <v>24</v>
      </c>
      <c r="AF4" s="5">
        <f t="shared" si="0"/>
        <v>1</v>
      </c>
      <c r="AG4" s="5">
        <f t="shared" si="1"/>
        <v>1</v>
      </c>
      <c r="AH4" s="5">
        <f t="shared" si="8"/>
        <v>0</v>
      </c>
      <c r="AI4">
        <f>IF(B4&lt;&gt;"", COUNTIFS($B$2:B4, B4), "")</f>
        <v>1</v>
      </c>
      <c r="AJ4">
        <f t="shared" si="9"/>
        <v>5</v>
      </c>
      <c r="AK4">
        <f t="shared" si="2"/>
        <v>4</v>
      </c>
      <c r="AL4">
        <f t="shared" si="10"/>
        <v>6</v>
      </c>
      <c r="AM4" t="str">
        <f t="shared" si="11"/>
        <v>June</v>
      </c>
      <c r="AN4">
        <f t="shared" si="12"/>
        <v>2023</v>
      </c>
      <c r="AO4" t="str">
        <f t="shared" si="13"/>
        <v>&gt;3</v>
      </c>
      <c r="AP4" t="str">
        <f t="shared" si="14"/>
        <v>&gt;3</v>
      </c>
      <c r="AQ4" t="str">
        <f t="shared" si="15"/>
        <v>&lt;=3</v>
      </c>
    </row>
    <row r="5" spans="1:43" x14ac:dyDescent="0.3">
      <c r="A5" t="s">
        <v>33</v>
      </c>
      <c r="B5" t="s">
        <v>51</v>
      </c>
      <c r="C5" t="s">
        <v>52</v>
      </c>
      <c r="D5">
        <v>3768</v>
      </c>
      <c r="E5">
        <v>23120100</v>
      </c>
      <c r="F5" t="s">
        <v>53</v>
      </c>
      <c r="G5" t="s">
        <v>54</v>
      </c>
      <c r="H5">
        <v>435.83</v>
      </c>
      <c r="I5">
        <v>7412.17</v>
      </c>
      <c r="J5">
        <v>3230446.05</v>
      </c>
      <c r="K5" s="7" t="str">
        <f>IFERROR(IF(B5&lt;&gt;"", TEXT(VLOOKUP(B5, 'Expected Date'!A:B, 2, FALSE) + DATE(RIGHT(C5,2),MID(C5,4,2),LEFT(C5,2)), "dd/mm/yy"), ""), "")</f>
        <v>05/09/23</v>
      </c>
      <c r="L5" t="s">
        <v>38</v>
      </c>
      <c r="M5" t="s">
        <v>48</v>
      </c>
      <c r="N5" t="s">
        <v>55</v>
      </c>
      <c r="O5" t="s">
        <v>56</v>
      </c>
      <c r="P5">
        <v>23190861</v>
      </c>
      <c r="Q5" t="s">
        <v>53</v>
      </c>
      <c r="R5" t="s">
        <v>54</v>
      </c>
      <c r="S5">
        <v>30.38</v>
      </c>
      <c r="T5">
        <v>7412.17</v>
      </c>
      <c r="U5">
        <v>225181.72</v>
      </c>
      <c r="V5" t="str">
        <f t="shared" si="16"/>
        <v>Hyderabad</v>
      </c>
      <c r="W5" t="str">
        <f>VLOOKUP(B5, Currency!A:B, 2, FALSE)</f>
        <v>INR</v>
      </c>
      <c r="X5" t="str">
        <f t="shared" si="16"/>
        <v>Accepted</v>
      </c>
      <c r="Y5">
        <f>IFERROR(VLOOKUP(N5, Payment_Terms!A:B, 2, FALSE), "Payment term not found!")</f>
        <v>0</v>
      </c>
      <c r="Z5" t="str">
        <f>IFERROR(VLOOKUP(R5, Item_Category!A:B, 2, FALSE), "Uncategorized")</f>
        <v>Coal materials</v>
      </c>
      <c r="AA5" s="5">
        <f t="shared" si="3"/>
        <v>1.3042566794577706E-16</v>
      </c>
      <c r="AB5">
        <f t="shared" si="4"/>
        <v>4</v>
      </c>
      <c r="AC5" s="10">
        <f t="shared" si="5"/>
        <v>-32</v>
      </c>
      <c r="AD5">
        <f t="shared" si="6"/>
        <v>5</v>
      </c>
      <c r="AE5" s="10">
        <f t="shared" si="7"/>
        <v>12</v>
      </c>
      <c r="AF5" s="5">
        <f t="shared" si="0"/>
        <v>1</v>
      </c>
      <c r="AG5" s="5">
        <f t="shared" si="1"/>
        <v>1</v>
      </c>
      <c r="AH5" s="5">
        <f t="shared" si="8"/>
        <v>0</v>
      </c>
      <c r="AI5">
        <f>IF(B5&lt;&gt;"", COUNTIFS($B$2:B5, B5), "")</f>
        <v>1</v>
      </c>
      <c r="AJ5">
        <f t="shared" si="9"/>
        <v>5</v>
      </c>
      <c r="AK5">
        <f t="shared" si="2"/>
        <v>5</v>
      </c>
      <c r="AL5">
        <f t="shared" si="10"/>
        <v>8</v>
      </c>
      <c r="AM5" t="str">
        <f t="shared" si="11"/>
        <v>August</v>
      </c>
      <c r="AN5">
        <f t="shared" si="12"/>
        <v>2023</v>
      </c>
      <c r="AO5" t="str">
        <f t="shared" si="13"/>
        <v>&gt;3</v>
      </c>
      <c r="AP5" t="str">
        <f t="shared" si="14"/>
        <v>&gt;3</v>
      </c>
      <c r="AQ5" t="str">
        <f t="shared" si="15"/>
        <v>&gt;3</v>
      </c>
    </row>
    <row r="6" spans="1:43" x14ac:dyDescent="0.3">
      <c r="A6" t="s">
        <v>33</v>
      </c>
      <c r="B6" t="s">
        <v>51</v>
      </c>
      <c r="C6" t="s">
        <v>52</v>
      </c>
      <c r="D6">
        <v>3768</v>
      </c>
      <c r="E6">
        <v>23120100</v>
      </c>
      <c r="F6" t="s">
        <v>53</v>
      </c>
      <c r="G6" t="s">
        <v>54</v>
      </c>
      <c r="H6">
        <v>435.83</v>
      </c>
      <c r="I6">
        <v>7412.17</v>
      </c>
      <c r="J6">
        <v>3230446.05</v>
      </c>
      <c r="K6" s="7" t="str">
        <f>IFERROR(IF(B6&lt;&gt;"", TEXT(VLOOKUP(B6, 'Expected Date'!A:B, 2, FALSE) + DATE(RIGHT(C6,2),MID(C6,4,2),LEFT(C6,2)), "dd/mm/yy"), ""), "")</f>
        <v>05/09/23</v>
      </c>
      <c r="L6" t="s">
        <v>38</v>
      </c>
      <c r="M6" t="s">
        <v>48</v>
      </c>
      <c r="N6" t="s">
        <v>55</v>
      </c>
      <c r="O6" t="s">
        <v>56</v>
      </c>
      <c r="P6">
        <v>23190860</v>
      </c>
      <c r="Q6" t="s">
        <v>53</v>
      </c>
      <c r="R6" t="s">
        <v>54</v>
      </c>
      <c r="S6">
        <v>30.6</v>
      </c>
      <c r="T6">
        <v>7412.17</v>
      </c>
      <c r="U6">
        <v>226812.4</v>
      </c>
      <c r="V6" t="str">
        <f t="shared" si="16"/>
        <v>Hyderabad</v>
      </c>
      <c r="W6" t="str">
        <f>VLOOKUP(B6, Currency!A:B, 2, FALSE)</f>
        <v>INR</v>
      </c>
      <c r="X6" t="str">
        <f t="shared" si="16"/>
        <v>Accepted</v>
      </c>
      <c r="Y6">
        <f>IFERROR(VLOOKUP(N6, Payment_Terms!A:B, 2, FALSE), "Payment term not found!")</f>
        <v>0</v>
      </c>
      <c r="Z6" t="str">
        <f>IFERROR(VLOOKUP(R6, Item_Category!A:B, 2, FALSE), "Uncategorized")</f>
        <v>Coal materials</v>
      </c>
      <c r="AA6" s="5">
        <f t="shared" si="3"/>
        <v>1.3042566794577706E-16</v>
      </c>
      <c r="AB6">
        <f t="shared" si="4"/>
        <v>4</v>
      </c>
      <c r="AC6" s="10">
        <f t="shared" si="5"/>
        <v>-32</v>
      </c>
      <c r="AD6">
        <f t="shared" si="6"/>
        <v>5</v>
      </c>
      <c r="AE6" s="10">
        <f t="shared" si="7"/>
        <v>12</v>
      </c>
      <c r="AF6" s="5">
        <f t="shared" si="0"/>
        <v>1</v>
      </c>
      <c r="AG6" s="5">
        <f t="shared" si="1"/>
        <v>1</v>
      </c>
      <c r="AH6" s="5">
        <f t="shared" si="8"/>
        <v>0</v>
      </c>
      <c r="AI6">
        <f>IF(B6&lt;&gt;"", COUNTIFS($B$2:B6, B6), "")</f>
        <v>2</v>
      </c>
      <c r="AJ6">
        <f t="shared" si="9"/>
        <v>5</v>
      </c>
      <c r="AK6">
        <f t="shared" si="2"/>
        <v>5</v>
      </c>
      <c r="AL6">
        <f t="shared" si="10"/>
        <v>8</v>
      </c>
      <c r="AM6" t="str">
        <f t="shared" si="11"/>
        <v>August</v>
      </c>
      <c r="AN6">
        <f t="shared" si="12"/>
        <v>2023</v>
      </c>
      <c r="AO6" t="str">
        <f t="shared" si="13"/>
        <v>&gt;3</v>
      </c>
      <c r="AP6" t="str">
        <f t="shared" si="14"/>
        <v>&gt;3</v>
      </c>
      <c r="AQ6" t="str">
        <f t="shared" si="15"/>
        <v>&gt;3</v>
      </c>
    </row>
    <row r="7" spans="1:43" x14ac:dyDescent="0.3">
      <c r="A7" t="s">
        <v>33</v>
      </c>
      <c r="B7" t="s">
        <v>51</v>
      </c>
      <c r="C7" t="s">
        <v>52</v>
      </c>
      <c r="D7">
        <v>3768</v>
      </c>
      <c r="E7">
        <v>23120100</v>
      </c>
      <c r="F7" t="s">
        <v>53</v>
      </c>
      <c r="G7" t="s">
        <v>54</v>
      </c>
      <c r="H7">
        <v>435.83</v>
      </c>
      <c r="I7">
        <v>7412.17</v>
      </c>
      <c r="J7">
        <v>3230446.05</v>
      </c>
      <c r="K7" s="7" t="str">
        <f>IFERROR(IF(B7&lt;&gt;"", TEXT(VLOOKUP(B7, 'Expected Date'!A:B, 2, FALSE) + DATE(RIGHT(C7,2),MID(C7,4,2),LEFT(C7,2)), "dd/mm/yy"), ""), "")</f>
        <v>05/09/23</v>
      </c>
      <c r="L7" t="s">
        <v>38</v>
      </c>
      <c r="M7" t="s">
        <v>48</v>
      </c>
      <c r="N7" t="s">
        <v>55</v>
      </c>
      <c r="O7" t="s">
        <v>57</v>
      </c>
      <c r="P7">
        <v>23190859</v>
      </c>
      <c r="Q7" t="s">
        <v>53</v>
      </c>
      <c r="R7" t="s">
        <v>54</v>
      </c>
      <c r="S7">
        <v>30.84</v>
      </c>
      <c r="T7">
        <v>7412.17</v>
      </c>
      <c r="U7">
        <v>228591.32</v>
      </c>
      <c r="V7" t="str">
        <f t="shared" si="16"/>
        <v>Hyderabad</v>
      </c>
      <c r="W7" t="str">
        <f>VLOOKUP(B7, Currency!A:B, 2, FALSE)</f>
        <v>INR</v>
      </c>
      <c r="X7" t="str">
        <f t="shared" si="16"/>
        <v>Accepted</v>
      </c>
      <c r="Y7">
        <f>IFERROR(VLOOKUP(N7, Payment_Terms!A:B, 2, FALSE), "Payment term not found!")</f>
        <v>0</v>
      </c>
      <c r="Z7" t="str">
        <f>IFERROR(VLOOKUP(R7, Item_Category!A:B, 2, FALSE), "Uncategorized")</f>
        <v>Coal materials</v>
      </c>
      <c r="AA7" s="5">
        <f t="shared" si="3"/>
        <v>1.3042566794577706E-16</v>
      </c>
      <c r="AB7">
        <f t="shared" si="4"/>
        <v>4</v>
      </c>
      <c r="AC7" s="10">
        <f t="shared" si="5"/>
        <v>-33</v>
      </c>
      <c r="AD7">
        <f t="shared" si="6"/>
        <v>5</v>
      </c>
      <c r="AE7" s="10">
        <f t="shared" si="7"/>
        <v>13</v>
      </c>
      <c r="AF7" s="5">
        <f t="shared" si="0"/>
        <v>1</v>
      </c>
      <c r="AG7" s="5">
        <f t="shared" si="1"/>
        <v>1</v>
      </c>
      <c r="AH7" s="5">
        <f t="shared" si="8"/>
        <v>0</v>
      </c>
      <c r="AI7">
        <f>IF(B7&lt;&gt;"", COUNTIFS($B$2:B7, B7), "")</f>
        <v>3</v>
      </c>
      <c r="AJ7">
        <f t="shared" si="9"/>
        <v>5</v>
      </c>
      <c r="AK7">
        <f t="shared" si="2"/>
        <v>5</v>
      </c>
      <c r="AL7">
        <f t="shared" si="10"/>
        <v>8</v>
      </c>
      <c r="AM7" t="str">
        <f t="shared" si="11"/>
        <v>August</v>
      </c>
      <c r="AN7">
        <f t="shared" si="12"/>
        <v>2023</v>
      </c>
      <c r="AO7" t="str">
        <f t="shared" si="13"/>
        <v>&gt;3</v>
      </c>
      <c r="AP7" t="str">
        <f t="shared" si="14"/>
        <v>&gt;3</v>
      </c>
      <c r="AQ7" t="str">
        <f t="shared" si="15"/>
        <v>&gt;3</v>
      </c>
    </row>
    <row r="8" spans="1:43" x14ac:dyDescent="0.3">
      <c r="A8" t="s">
        <v>33</v>
      </c>
      <c r="B8" t="s">
        <v>51</v>
      </c>
      <c r="C8" t="s">
        <v>52</v>
      </c>
      <c r="D8">
        <v>3768</v>
      </c>
      <c r="E8">
        <v>23120100</v>
      </c>
      <c r="F8" t="s">
        <v>53</v>
      </c>
      <c r="G8" t="s">
        <v>54</v>
      </c>
      <c r="H8">
        <v>435.83</v>
      </c>
      <c r="I8">
        <v>7412.17</v>
      </c>
      <c r="J8">
        <v>3230446.05</v>
      </c>
      <c r="K8" s="7" t="str">
        <f>IFERROR(IF(B8&lt;&gt;"", TEXT(VLOOKUP(B8, 'Expected Date'!A:B, 2, FALSE) + DATE(RIGHT(C8,2),MID(C8,4,2),LEFT(C8,2)), "dd/mm/yy"), ""), "")</f>
        <v>05/09/23</v>
      </c>
      <c r="L8" t="s">
        <v>38</v>
      </c>
      <c r="M8" t="s">
        <v>48</v>
      </c>
      <c r="N8" t="s">
        <v>55</v>
      </c>
      <c r="O8" t="s">
        <v>58</v>
      </c>
      <c r="P8">
        <v>23190858</v>
      </c>
      <c r="Q8" t="s">
        <v>53</v>
      </c>
      <c r="R8" t="s">
        <v>54</v>
      </c>
      <c r="S8">
        <v>30.86</v>
      </c>
      <c r="T8">
        <v>7412.17</v>
      </c>
      <c r="U8">
        <v>228739.57</v>
      </c>
      <c r="V8" t="str">
        <f t="shared" si="16"/>
        <v>Hyderabad</v>
      </c>
      <c r="W8" t="str">
        <f>VLOOKUP(B8, Currency!A:B, 2, FALSE)</f>
        <v>INR</v>
      </c>
      <c r="X8" t="str">
        <f t="shared" si="16"/>
        <v>Accepted</v>
      </c>
      <c r="Y8">
        <f>IFERROR(VLOOKUP(N8, Payment_Terms!A:B, 2, FALSE), "Payment term not found!")</f>
        <v>0</v>
      </c>
      <c r="Z8" t="str">
        <f>IFERROR(VLOOKUP(R8, Item_Category!A:B, 2, FALSE), "Uncategorized")</f>
        <v>Coal materials</v>
      </c>
      <c r="AA8" s="5">
        <f t="shared" si="3"/>
        <v>1.3042566794577706E-16</v>
      </c>
      <c r="AB8">
        <f t="shared" si="4"/>
        <v>4</v>
      </c>
      <c r="AC8" s="10">
        <f t="shared" si="5"/>
        <v>-35</v>
      </c>
      <c r="AD8">
        <f t="shared" si="6"/>
        <v>5</v>
      </c>
      <c r="AE8" s="10">
        <f t="shared" si="7"/>
        <v>15</v>
      </c>
      <c r="AF8" s="5">
        <f t="shared" si="0"/>
        <v>1</v>
      </c>
      <c r="AG8" s="5">
        <f t="shared" si="1"/>
        <v>1</v>
      </c>
      <c r="AH8" s="5">
        <f t="shared" si="8"/>
        <v>0</v>
      </c>
      <c r="AI8">
        <f>IF(B8&lt;&gt;"", COUNTIFS($B$2:B8, B8), "")</f>
        <v>4</v>
      </c>
      <c r="AJ8">
        <f t="shared" si="9"/>
        <v>5</v>
      </c>
      <c r="AK8">
        <f t="shared" si="2"/>
        <v>5</v>
      </c>
      <c r="AL8">
        <f t="shared" si="10"/>
        <v>8</v>
      </c>
      <c r="AM8" t="str">
        <f t="shared" si="11"/>
        <v>August</v>
      </c>
      <c r="AN8">
        <f t="shared" si="12"/>
        <v>2023</v>
      </c>
      <c r="AO8" t="str">
        <f t="shared" si="13"/>
        <v>&gt;3</v>
      </c>
      <c r="AP8" t="str">
        <f t="shared" si="14"/>
        <v>&gt;3</v>
      </c>
      <c r="AQ8" t="str">
        <f t="shared" si="15"/>
        <v>&gt;3</v>
      </c>
    </row>
    <row r="9" spans="1:43" x14ac:dyDescent="0.3">
      <c r="A9" t="s">
        <v>33</v>
      </c>
      <c r="B9" t="s">
        <v>51</v>
      </c>
      <c r="C9" t="s">
        <v>52</v>
      </c>
      <c r="D9">
        <v>3768</v>
      </c>
      <c r="E9">
        <v>23120100</v>
      </c>
      <c r="F9" t="s">
        <v>53</v>
      </c>
      <c r="G9" t="s">
        <v>54</v>
      </c>
      <c r="H9">
        <v>435.83</v>
      </c>
      <c r="I9">
        <v>7412.17</v>
      </c>
      <c r="J9">
        <v>3230446.05</v>
      </c>
      <c r="K9" s="7" t="str">
        <f>IFERROR(IF(B9&lt;&gt;"", TEXT(VLOOKUP(B9, 'Expected Date'!A:B, 2, FALSE) + DATE(RIGHT(C9,2),MID(C9,4,2),LEFT(C9,2)), "dd/mm/yy"), ""), "")</f>
        <v>05/09/23</v>
      </c>
      <c r="L9" t="s">
        <v>38</v>
      </c>
      <c r="M9" t="s">
        <v>48</v>
      </c>
      <c r="N9" t="s">
        <v>55</v>
      </c>
      <c r="O9" t="s">
        <v>59</v>
      </c>
      <c r="P9">
        <v>23190865</v>
      </c>
      <c r="Q9" t="s">
        <v>53</v>
      </c>
      <c r="R9" t="s">
        <v>54</v>
      </c>
      <c r="S9">
        <v>30.76</v>
      </c>
      <c r="T9">
        <v>7412.17</v>
      </c>
      <c r="U9">
        <v>227998.35</v>
      </c>
      <c r="V9" t="str">
        <f t="shared" si="16"/>
        <v>Hyderabad</v>
      </c>
      <c r="W9" t="str">
        <f>VLOOKUP(B9, Currency!A:B, 2, FALSE)</f>
        <v>INR</v>
      </c>
      <c r="X9" t="str">
        <f t="shared" si="16"/>
        <v>Accepted</v>
      </c>
      <c r="Y9">
        <f>IFERROR(VLOOKUP(N9, Payment_Terms!A:B, 2, FALSE), "Payment term not found!")</f>
        <v>0</v>
      </c>
      <c r="Z9" t="str">
        <f>IFERROR(VLOOKUP(R9, Item_Category!A:B, 2, FALSE), "Uncategorized")</f>
        <v>Coal materials</v>
      </c>
      <c r="AA9" s="5">
        <f t="shared" si="3"/>
        <v>1.3042566794577706E-16</v>
      </c>
      <c r="AB9">
        <f t="shared" si="4"/>
        <v>4</v>
      </c>
      <c r="AC9" s="10">
        <f t="shared" si="5"/>
        <v>-31</v>
      </c>
      <c r="AD9">
        <f t="shared" si="6"/>
        <v>5</v>
      </c>
      <c r="AE9" s="10">
        <f t="shared" si="7"/>
        <v>11</v>
      </c>
      <c r="AF9" s="5">
        <f t="shared" si="0"/>
        <v>1</v>
      </c>
      <c r="AG9" s="5">
        <f t="shared" si="1"/>
        <v>1</v>
      </c>
      <c r="AH9" s="5">
        <f t="shared" si="8"/>
        <v>0</v>
      </c>
      <c r="AI9">
        <f>IF(B9&lt;&gt;"", COUNTIFS($B$2:B9, B9), "")</f>
        <v>5</v>
      </c>
      <c r="AJ9">
        <f t="shared" si="9"/>
        <v>5</v>
      </c>
      <c r="AK9">
        <f t="shared" si="2"/>
        <v>5</v>
      </c>
      <c r="AL9">
        <f t="shared" si="10"/>
        <v>8</v>
      </c>
      <c r="AM9" t="str">
        <f t="shared" si="11"/>
        <v>August</v>
      </c>
      <c r="AN9">
        <f t="shared" si="12"/>
        <v>2023</v>
      </c>
      <c r="AO9" t="str">
        <f t="shared" si="13"/>
        <v>&gt;3</v>
      </c>
      <c r="AP9" t="str">
        <f t="shared" si="14"/>
        <v>&gt;3</v>
      </c>
      <c r="AQ9" t="str">
        <f t="shared" si="15"/>
        <v>&gt;3</v>
      </c>
    </row>
    <row r="10" spans="1:43" x14ac:dyDescent="0.3">
      <c r="A10" t="s">
        <v>33</v>
      </c>
      <c r="B10" t="s">
        <v>51</v>
      </c>
      <c r="C10" t="s">
        <v>60</v>
      </c>
      <c r="D10">
        <v>2658</v>
      </c>
      <c r="E10">
        <v>23120061</v>
      </c>
      <c r="F10" t="s">
        <v>61</v>
      </c>
      <c r="G10" t="s">
        <v>62</v>
      </c>
      <c r="H10">
        <v>21</v>
      </c>
      <c r="I10">
        <v>7368.4189999999999</v>
      </c>
      <c r="J10">
        <v>154736.79999999999</v>
      </c>
      <c r="K10" s="7" t="str">
        <f>IFERROR(IF(B10&lt;&gt;"", TEXT(VLOOKUP(B10, 'Expected Date'!A:B, 2, FALSE) + DATE(RIGHT(C10,2),MID(C10,4,2),LEFT(C10,2)), "dd/mm/yy"), ""), "")</f>
        <v>16/07/23</v>
      </c>
      <c r="L10" t="s">
        <v>38</v>
      </c>
      <c r="M10" t="s">
        <v>48</v>
      </c>
      <c r="N10" t="s">
        <v>55</v>
      </c>
      <c r="O10" t="s">
        <v>63</v>
      </c>
      <c r="P10">
        <v>23190500</v>
      </c>
      <c r="Q10" t="s">
        <v>61</v>
      </c>
      <c r="R10" t="s">
        <v>62</v>
      </c>
      <c r="S10">
        <v>21</v>
      </c>
      <c r="T10">
        <v>7368.4189999999999</v>
      </c>
      <c r="U10">
        <v>154736.79999999999</v>
      </c>
      <c r="V10" t="str">
        <f t="shared" si="16"/>
        <v>Hyderabad</v>
      </c>
      <c r="W10" t="str">
        <f>VLOOKUP(B10, Currency!A:B, 2, FALSE)</f>
        <v>INR</v>
      </c>
      <c r="X10" t="str">
        <f t="shared" si="16"/>
        <v>Accepted</v>
      </c>
      <c r="Y10">
        <f>IFERROR(VLOOKUP(N10, Payment_Terms!A:B, 2, FALSE), "Payment term not found!")</f>
        <v>0</v>
      </c>
      <c r="Z10" t="str">
        <f>IFERROR(VLOOKUP(R10, Item_Category!A:B, 2, FALSE), "Uncategorized")</f>
        <v>Coal materials</v>
      </c>
      <c r="AA10" s="5">
        <f t="shared" si="3"/>
        <v>0</v>
      </c>
      <c r="AB10">
        <f t="shared" si="4"/>
        <v>5</v>
      </c>
      <c r="AC10" s="10">
        <f t="shared" si="5"/>
        <v>-22</v>
      </c>
      <c r="AD10">
        <f t="shared" si="6"/>
        <v>5</v>
      </c>
      <c r="AE10" s="10">
        <f t="shared" si="7"/>
        <v>2</v>
      </c>
      <c r="AF10" s="5">
        <f t="shared" si="0"/>
        <v>1</v>
      </c>
      <c r="AG10" s="5">
        <f t="shared" si="1"/>
        <v>1</v>
      </c>
      <c r="AH10" s="5">
        <f t="shared" si="8"/>
        <v>0</v>
      </c>
      <c r="AI10">
        <f>IF(B10&lt;&gt;"", COUNTIFS($B$2:B10, B10), "")</f>
        <v>6</v>
      </c>
      <c r="AJ10">
        <f t="shared" si="9"/>
        <v>5</v>
      </c>
      <c r="AK10">
        <f t="shared" si="2"/>
        <v>5</v>
      </c>
      <c r="AL10">
        <f t="shared" si="10"/>
        <v>6</v>
      </c>
      <c r="AM10" t="str">
        <f t="shared" si="11"/>
        <v>June</v>
      </c>
      <c r="AN10">
        <f t="shared" si="12"/>
        <v>2023</v>
      </c>
      <c r="AO10" t="str">
        <f t="shared" si="13"/>
        <v>&gt;3</v>
      </c>
      <c r="AP10" t="str">
        <f t="shared" si="14"/>
        <v>&gt;3</v>
      </c>
      <c r="AQ10" t="str">
        <f t="shared" si="15"/>
        <v>&gt;3</v>
      </c>
    </row>
    <row r="11" spans="1:43" x14ac:dyDescent="0.3">
      <c r="A11" t="s">
        <v>33</v>
      </c>
      <c r="B11" t="s">
        <v>51</v>
      </c>
      <c r="C11" t="s">
        <v>52</v>
      </c>
      <c r="D11">
        <v>3768</v>
      </c>
      <c r="E11">
        <v>23120100</v>
      </c>
      <c r="F11" t="s">
        <v>53</v>
      </c>
      <c r="G11" t="s">
        <v>54</v>
      </c>
      <c r="H11">
        <v>435.83</v>
      </c>
      <c r="I11">
        <v>7412.17</v>
      </c>
      <c r="J11">
        <v>3230446.05</v>
      </c>
      <c r="K11" s="7" t="str">
        <f>IFERROR(IF(B11&lt;&gt;"", TEXT(VLOOKUP(B11, 'Expected Date'!A:B, 2, FALSE) + DATE(RIGHT(C11,2),MID(C11,4,2),LEFT(C11,2)), "dd/mm/yy"), ""), "")</f>
        <v>05/09/23</v>
      </c>
      <c r="L11" t="s">
        <v>38</v>
      </c>
      <c r="M11" t="s">
        <v>48</v>
      </c>
      <c r="N11" t="s">
        <v>55</v>
      </c>
      <c r="O11" t="s">
        <v>59</v>
      </c>
      <c r="P11">
        <v>23190864</v>
      </c>
      <c r="Q11" t="s">
        <v>53</v>
      </c>
      <c r="R11" t="s">
        <v>54</v>
      </c>
      <c r="S11">
        <v>25.96</v>
      </c>
      <c r="T11">
        <v>7412.17</v>
      </c>
      <c r="U11">
        <v>192419.93</v>
      </c>
      <c r="V11" t="str">
        <f t="shared" si="16"/>
        <v>Hyderabad</v>
      </c>
      <c r="W11" t="str">
        <f>VLOOKUP(B11, Currency!A:B, 2, FALSE)</f>
        <v>INR</v>
      </c>
      <c r="X11" t="str">
        <f t="shared" si="16"/>
        <v>Accepted</v>
      </c>
      <c r="Y11">
        <f>IFERROR(VLOOKUP(N11, Payment_Terms!A:B, 2, FALSE), "Payment term not found!")</f>
        <v>0</v>
      </c>
      <c r="Z11" t="str">
        <f>IFERROR(VLOOKUP(R11, Item_Category!A:B, 2, FALSE), "Uncategorized")</f>
        <v>Coal materials</v>
      </c>
      <c r="AA11" s="5">
        <f t="shared" si="3"/>
        <v>1.3042566794577706E-16</v>
      </c>
      <c r="AB11">
        <f t="shared" si="4"/>
        <v>4</v>
      </c>
      <c r="AC11" s="10">
        <f t="shared" si="5"/>
        <v>-31</v>
      </c>
      <c r="AD11">
        <f t="shared" si="6"/>
        <v>5</v>
      </c>
      <c r="AE11" s="10">
        <f t="shared" si="7"/>
        <v>11</v>
      </c>
      <c r="AF11" s="5">
        <f t="shared" si="0"/>
        <v>1</v>
      </c>
      <c r="AG11" s="5">
        <f t="shared" si="1"/>
        <v>1</v>
      </c>
      <c r="AH11" s="5">
        <f t="shared" si="8"/>
        <v>0</v>
      </c>
      <c r="AI11">
        <f>IF(B11&lt;&gt;"", COUNTIFS($B$2:B11, B11), "")</f>
        <v>7</v>
      </c>
      <c r="AJ11">
        <f t="shared" si="9"/>
        <v>5</v>
      </c>
      <c r="AK11">
        <f t="shared" si="2"/>
        <v>5</v>
      </c>
      <c r="AL11">
        <f t="shared" si="10"/>
        <v>8</v>
      </c>
      <c r="AM11" t="str">
        <f t="shared" si="11"/>
        <v>August</v>
      </c>
      <c r="AN11">
        <f t="shared" si="12"/>
        <v>2023</v>
      </c>
      <c r="AO11" t="str">
        <f t="shared" si="13"/>
        <v>&gt;3</v>
      </c>
      <c r="AP11" t="str">
        <f t="shared" si="14"/>
        <v>&gt;3</v>
      </c>
      <c r="AQ11" t="str">
        <f t="shared" si="15"/>
        <v>&gt;3</v>
      </c>
    </row>
    <row r="12" spans="1:43" x14ac:dyDescent="0.3">
      <c r="A12" t="s">
        <v>33</v>
      </c>
      <c r="B12" t="s">
        <v>51</v>
      </c>
      <c r="C12" t="s">
        <v>52</v>
      </c>
      <c r="D12">
        <v>3768</v>
      </c>
      <c r="E12">
        <v>23120100</v>
      </c>
      <c r="F12" t="s">
        <v>53</v>
      </c>
      <c r="G12" t="s">
        <v>54</v>
      </c>
      <c r="H12">
        <v>435.83</v>
      </c>
      <c r="I12">
        <v>7412.17</v>
      </c>
      <c r="J12">
        <v>3230446.05</v>
      </c>
      <c r="K12" s="7" t="str">
        <f>IFERROR(IF(B12&lt;&gt;"", TEXT(VLOOKUP(B12, 'Expected Date'!A:B, 2, FALSE) + DATE(RIGHT(C12,2),MID(C12,4,2),LEFT(C12,2)), "dd/mm/yy"), ""), "")</f>
        <v>05/09/23</v>
      </c>
      <c r="L12" t="s">
        <v>38</v>
      </c>
      <c r="M12" t="s">
        <v>48</v>
      </c>
      <c r="N12" t="s">
        <v>55</v>
      </c>
      <c r="O12" t="s">
        <v>56</v>
      </c>
      <c r="P12">
        <v>23190863</v>
      </c>
      <c r="Q12" t="s">
        <v>53</v>
      </c>
      <c r="R12" t="s">
        <v>54</v>
      </c>
      <c r="S12">
        <v>25.78</v>
      </c>
      <c r="T12">
        <v>7412.17</v>
      </c>
      <c r="U12">
        <v>191085.74</v>
      </c>
      <c r="V12" t="str">
        <f t="shared" si="16"/>
        <v>Hyderabad</v>
      </c>
      <c r="W12" t="str">
        <f>VLOOKUP(B12, Currency!A:B, 2, FALSE)</f>
        <v>INR</v>
      </c>
      <c r="X12" t="str">
        <f t="shared" si="16"/>
        <v>Accepted</v>
      </c>
      <c r="Y12">
        <f>IFERROR(VLOOKUP(N12, Payment_Terms!A:B, 2, FALSE), "Payment term not found!")</f>
        <v>0</v>
      </c>
      <c r="Z12" t="str">
        <f>IFERROR(VLOOKUP(R12, Item_Category!A:B, 2, FALSE), "Uncategorized")</f>
        <v>Coal materials</v>
      </c>
      <c r="AA12" s="5">
        <f t="shared" si="3"/>
        <v>1.3042566794577706E-16</v>
      </c>
      <c r="AB12">
        <f t="shared" si="4"/>
        <v>4</v>
      </c>
      <c r="AC12" s="10">
        <f t="shared" si="5"/>
        <v>-32</v>
      </c>
      <c r="AD12">
        <f t="shared" si="6"/>
        <v>5</v>
      </c>
      <c r="AE12" s="10">
        <f t="shared" si="7"/>
        <v>12</v>
      </c>
      <c r="AF12" s="5">
        <f t="shared" si="0"/>
        <v>1</v>
      </c>
      <c r="AG12" s="5">
        <f t="shared" si="1"/>
        <v>1</v>
      </c>
      <c r="AH12" s="5">
        <f t="shared" si="8"/>
        <v>0</v>
      </c>
      <c r="AI12">
        <f>IF(B12&lt;&gt;"", COUNTIFS($B$2:B12, B12), "")</f>
        <v>8</v>
      </c>
      <c r="AJ12">
        <f t="shared" si="9"/>
        <v>5</v>
      </c>
      <c r="AK12">
        <f t="shared" si="2"/>
        <v>5</v>
      </c>
      <c r="AL12">
        <f t="shared" si="10"/>
        <v>8</v>
      </c>
      <c r="AM12" t="str">
        <f t="shared" si="11"/>
        <v>August</v>
      </c>
      <c r="AN12">
        <f t="shared" si="12"/>
        <v>2023</v>
      </c>
      <c r="AO12" t="str">
        <f t="shared" si="13"/>
        <v>&gt;3</v>
      </c>
      <c r="AP12" t="str">
        <f t="shared" si="14"/>
        <v>&gt;3</v>
      </c>
      <c r="AQ12" t="str">
        <f t="shared" si="15"/>
        <v>&gt;3</v>
      </c>
    </row>
    <row r="13" spans="1:43" x14ac:dyDescent="0.3">
      <c r="A13" t="s">
        <v>33</v>
      </c>
      <c r="B13" t="s">
        <v>64</v>
      </c>
      <c r="C13" t="s">
        <v>65</v>
      </c>
      <c r="D13">
        <v>1352</v>
      </c>
      <c r="E13">
        <v>23120006</v>
      </c>
      <c r="F13" t="s">
        <v>66</v>
      </c>
      <c r="G13" t="s">
        <v>67</v>
      </c>
      <c r="H13">
        <v>6000</v>
      </c>
      <c r="I13">
        <v>22.5</v>
      </c>
      <c r="J13">
        <v>135000</v>
      </c>
      <c r="K13" s="7" t="str">
        <f>IFERROR(IF(B13&lt;&gt;"", TEXT(VLOOKUP(B13, 'Expected Date'!A:B, 2, FALSE) + DATE(RIGHT(C13,2),MID(C13,4,2),LEFT(C13,2)), "dd/mm/yy"), ""), "")</f>
        <v>29/04/23</v>
      </c>
      <c r="L13" t="s">
        <v>68</v>
      </c>
      <c r="M13" t="s">
        <v>39</v>
      </c>
      <c r="N13" t="s">
        <v>69</v>
      </c>
      <c r="O13" t="s">
        <v>70</v>
      </c>
      <c r="P13">
        <v>23190106</v>
      </c>
      <c r="Q13" t="s">
        <v>66</v>
      </c>
      <c r="R13" t="s">
        <v>67</v>
      </c>
      <c r="S13">
        <v>4800</v>
      </c>
      <c r="T13">
        <v>22.5</v>
      </c>
      <c r="U13">
        <v>108000</v>
      </c>
      <c r="V13" t="str">
        <f t="shared" si="16"/>
        <v>Hyderabad</v>
      </c>
      <c r="W13" t="str">
        <f>VLOOKUP(B13, Currency!A:B, 2, FALSE)</f>
        <v>INR</v>
      </c>
      <c r="X13" t="str">
        <f t="shared" si="16"/>
        <v>Accepted</v>
      </c>
      <c r="Y13">
        <f>IFERROR(VLOOKUP(N13, Payment_Terms!A:B, 2, FALSE), "Payment term not found!")</f>
        <v>30</v>
      </c>
      <c r="Z13" t="str">
        <f>IFERROR(VLOOKUP(R13, Item_Category!A:B, 2, FALSE), "Uncategorized")</f>
        <v>Bags</v>
      </c>
      <c r="AA13" s="5">
        <f t="shared" si="3"/>
        <v>0.2</v>
      </c>
      <c r="AB13">
        <f t="shared" si="4"/>
        <v>1</v>
      </c>
      <c r="AC13" s="10">
        <f t="shared" si="5"/>
        <v>-5</v>
      </c>
      <c r="AD13">
        <f t="shared" si="6"/>
        <v>5</v>
      </c>
      <c r="AE13" s="10">
        <f t="shared" si="7"/>
        <v>5</v>
      </c>
      <c r="AF13" s="5">
        <f t="shared" si="0"/>
        <v>1</v>
      </c>
      <c r="AG13" s="5">
        <f t="shared" si="1"/>
        <v>1</v>
      </c>
      <c r="AH13" s="5">
        <f t="shared" si="8"/>
        <v>0</v>
      </c>
      <c r="AI13">
        <f>IF(B13&lt;&gt;"", COUNTIFS($B$2:B13, B13), "")</f>
        <v>1</v>
      </c>
      <c r="AJ13">
        <f t="shared" si="9"/>
        <v>5</v>
      </c>
      <c r="AK13">
        <f t="shared" si="2"/>
        <v>4</v>
      </c>
      <c r="AL13">
        <f t="shared" si="10"/>
        <v>4</v>
      </c>
      <c r="AM13" t="str">
        <f t="shared" si="11"/>
        <v>April</v>
      </c>
      <c r="AN13">
        <f t="shared" si="12"/>
        <v>2023</v>
      </c>
      <c r="AO13" t="str">
        <f t="shared" si="13"/>
        <v>&gt;3</v>
      </c>
      <c r="AP13" t="str">
        <f t="shared" si="14"/>
        <v>&lt;=3</v>
      </c>
      <c r="AQ13" t="str">
        <f t="shared" si="15"/>
        <v>&gt;3</v>
      </c>
    </row>
    <row r="14" spans="1:43" x14ac:dyDescent="0.3">
      <c r="A14" t="s">
        <v>33</v>
      </c>
      <c r="B14" t="s">
        <v>51</v>
      </c>
      <c r="C14" t="s">
        <v>60</v>
      </c>
      <c r="D14">
        <v>2658</v>
      </c>
      <c r="E14">
        <v>23120061</v>
      </c>
      <c r="F14" t="s">
        <v>53</v>
      </c>
      <c r="G14" t="s">
        <v>54</v>
      </c>
      <c r="H14">
        <v>81</v>
      </c>
      <c r="I14">
        <v>7412.1710000000003</v>
      </c>
      <c r="J14">
        <v>600385.85</v>
      </c>
      <c r="K14" s="7" t="str">
        <f>IFERROR(IF(B14&lt;&gt;"", TEXT(VLOOKUP(B14, 'Expected Date'!A:B, 2, FALSE) + DATE(RIGHT(C14,2),MID(C14,4,2),LEFT(C14,2)), "dd/mm/yy"), ""), "")</f>
        <v>16/07/23</v>
      </c>
      <c r="L14" t="s">
        <v>38</v>
      </c>
      <c r="M14" t="s">
        <v>48</v>
      </c>
      <c r="N14" t="s">
        <v>55</v>
      </c>
      <c r="O14" t="s">
        <v>45</v>
      </c>
      <c r="P14">
        <v>23190488</v>
      </c>
      <c r="Q14" t="s">
        <v>53</v>
      </c>
      <c r="R14" t="s">
        <v>54</v>
      </c>
      <c r="S14">
        <v>25.53</v>
      </c>
      <c r="T14">
        <v>7412.1710000000003</v>
      </c>
      <c r="U14">
        <v>189232.73</v>
      </c>
      <c r="V14" t="str">
        <f t="shared" si="16"/>
        <v>Hyderabad</v>
      </c>
      <c r="W14" t="str">
        <f>VLOOKUP(B14, Currency!A:B, 2, FALSE)</f>
        <v>INR</v>
      </c>
      <c r="X14" t="str">
        <f t="shared" si="16"/>
        <v>Accepted</v>
      </c>
      <c r="Y14">
        <f>IFERROR(VLOOKUP(N14, Payment_Terms!A:B, 2, FALSE), "Payment term not found!")</f>
        <v>0</v>
      </c>
      <c r="Z14" t="str">
        <f>IFERROR(VLOOKUP(R14, Item_Category!A:B, 2, FALSE), "Uncategorized")</f>
        <v>Coal materials</v>
      </c>
      <c r="AA14" s="5">
        <f t="shared" si="3"/>
        <v>0</v>
      </c>
      <c r="AB14">
        <f t="shared" si="4"/>
        <v>5</v>
      </c>
      <c r="AC14" s="10">
        <f t="shared" si="5"/>
        <v>-29</v>
      </c>
      <c r="AD14">
        <f t="shared" si="6"/>
        <v>5</v>
      </c>
      <c r="AE14" s="10">
        <f t="shared" si="7"/>
        <v>9</v>
      </c>
      <c r="AF14" s="5">
        <f t="shared" si="0"/>
        <v>1</v>
      </c>
      <c r="AG14" s="5">
        <f t="shared" si="1"/>
        <v>1</v>
      </c>
      <c r="AH14" s="5">
        <f t="shared" si="8"/>
        <v>0</v>
      </c>
      <c r="AI14">
        <f>IF(B14&lt;&gt;"", COUNTIFS($B$2:B14, B14), "")</f>
        <v>9</v>
      </c>
      <c r="AJ14">
        <f t="shared" si="9"/>
        <v>5</v>
      </c>
      <c r="AK14">
        <f t="shared" si="2"/>
        <v>5</v>
      </c>
      <c r="AL14">
        <f t="shared" si="10"/>
        <v>6</v>
      </c>
      <c r="AM14" t="str">
        <f t="shared" si="11"/>
        <v>June</v>
      </c>
      <c r="AN14">
        <f t="shared" si="12"/>
        <v>2023</v>
      </c>
      <c r="AO14" t="str">
        <f t="shared" si="13"/>
        <v>&gt;3</v>
      </c>
      <c r="AP14" t="str">
        <f t="shared" si="14"/>
        <v>&gt;3</v>
      </c>
      <c r="AQ14" t="str">
        <f t="shared" si="15"/>
        <v>&gt;3</v>
      </c>
    </row>
    <row r="15" spans="1:43" x14ac:dyDescent="0.3">
      <c r="A15" t="s">
        <v>33</v>
      </c>
      <c r="B15" t="s">
        <v>51</v>
      </c>
      <c r="C15" t="s">
        <v>60</v>
      </c>
      <c r="D15">
        <v>2658</v>
      </c>
      <c r="E15">
        <v>23120061</v>
      </c>
      <c r="F15" t="s">
        <v>53</v>
      </c>
      <c r="G15" t="s">
        <v>54</v>
      </c>
      <c r="H15">
        <v>81</v>
      </c>
      <c r="I15">
        <v>7412.1710000000003</v>
      </c>
      <c r="J15">
        <v>600385.85</v>
      </c>
      <c r="K15" s="7" t="str">
        <f>IFERROR(IF(B15&lt;&gt;"", TEXT(VLOOKUP(B15, 'Expected Date'!A:B, 2, FALSE) + DATE(RIGHT(C15,2),MID(C15,4,2),LEFT(C15,2)), "dd/mm/yy"), ""), "")</f>
        <v>16/07/23</v>
      </c>
      <c r="L15" t="s">
        <v>38</v>
      </c>
      <c r="M15" t="s">
        <v>48</v>
      </c>
      <c r="N15" t="s">
        <v>55</v>
      </c>
      <c r="O15" t="s">
        <v>71</v>
      </c>
      <c r="P15">
        <v>23190489</v>
      </c>
      <c r="Q15" t="s">
        <v>53</v>
      </c>
      <c r="R15" t="s">
        <v>54</v>
      </c>
      <c r="S15">
        <v>29.5</v>
      </c>
      <c r="T15">
        <v>7412.1710000000003</v>
      </c>
      <c r="U15">
        <v>218659.04</v>
      </c>
      <c r="V15" t="str">
        <f t="shared" si="16"/>
        <v>Hyderabad</v>
      </c>
      <c r="W15" t="str">
        <f>VLOOKUP(B15, Currency!A:B, 2, FALSE)</f>
        <v>INR</v>
      </c>
      <c r="X15" t="str">
        <f t="shared" si="16"/>
        <v>Accepted</v>
      </c>
      <c r="Y15">
        <f>IFERROR(VLOOKUP(N15, Payment_Terms!A:B, 2, FALSE), "Payment term not found!")</f>
        <v>0</v>
      </c>
      <c r="Z15" t="str">
        <f>IFERROR(VLOOKUP(R15, Item_Category!A:B, 2, FALSE), "Uncategorized")</f>
        <v>Coal materials</v>
      </c>
      <c r="AA15" s="5">
        <f t="shared" si="3"/>
        <v>0</v>
      </c>
      <c r="AB15">
        <f t="shared" si="4"/>
        <v>5</v>
      </c>
      <c r="AC15" s="10">
        <f t="shared" si="5"/>
        <v>-24</v>
      </c>
      <c r="AD15">
        <f t="shared" si="6"/>
        <v>5</v>
      </c>
      <c r="AE15" s="10">
        <f t="shared" si="7"/>
        <v>4</v>
      </c>
      <c r="AF15" s="5">
        <f t="shared" si="0"/>
        <v>1</v>
      </c>
      <c r="AG15" s="5">
        <f t="shared" si="1"/>
        <v>1</v>
      </c>
      <c r="AH15" s="5">
        <f t="shared" si="8"/>
        <v>0</v>
      </c>
      <c r="AI15">
        <f>IF(B15&lt;&gt;"", COUNTIFS($B$2:B15, B15), "")</f>
        <v>10</v>
      </c>
      <c r="AJ15">
        <f t="shared" si="9"/>
        <v>5</v>
      </c>
      <c r="AK15">
        <f t="shared" si="2"/>
        <v>5</v>
      </c>
      <c r="AL15">
        <f t="shared" si="10"/>
        <v>6</v>
      </c>
      <c r="AM15" t="str">
        <f t="shared" si="11"/>
        <v>June</v>
      </c>
      <c r="AN15">
        <f t="shared" si="12"/>
        <v>2023</v>
      </c>
      <c r="AO15" t="str">
        <f t="shared" si="13"/>
        <v>&gt;3</v>
      </c>
      <c r="AP15" t="str">
        <f t="shared" si="14"/>
        <v>&gt;3</v>
      </c>
      <c r="AQ15" t="str">
        <f t="shared" si="15"/>
        <v>&gt;3</v>
      </c>
    </row>
    <row r="16" spans="1:43" x14ac:dyDescent="0.3">
      <c r="A16" t="s">
        <v>33</v>
      </c>
      <c r="B16" t="s">
        <v>51</v>
      </c>
      <c r="C16" t="s">
        <v>60</v>
      </c>
      <c r="D16">
        <v>2658</v>
      </c>
      <c r="E16">
        <v>23120061</v>
      </c>
      <c r="F16" t="s">
        <v>53</v>
      </c>
      <c r="G16" t="s">
        <v>54</v>
      </c>
      <c r="H16">
        <v>81</v>
      </c>
      <c r="I16">
        <v>7412.1710000000003</v>
      </c>
      <c r="J16">
        <v>600385.85</v>
      </c>
      <c r="K16" s="7" t="str">
        <f>IFERROR(IF(B16&lt;&gt;"", TEXT(VLOOKUP(B16, 'Expected Date'!A:B, 2, FALSE) + DATE(RIGHT(C16,2),MID(C16,4,2),LEFT(C16,2)), "dd/mm/yy"), ""), "")</f>
        <v>16/07/23</v>
      </c>
      <c r="L16" t="s">
        <v>38</v>
      </c>
      <c r="M16" t="s">
        <v>48</v>
      </c>
      <c r="N16" t="s">
        <v>55</v>
      </c>
      <c r="O16" t="s">
        <v>72</v>
      </c>
      <c r="P16">
        <v>23190490</v>
      </c>
      <c r="Q16" t="s">
        <v>53</v>
      </c>
      <c r="R16" t="s">
        <v>54</v>
      </c>
      <c r="S16">
        <v>25.97</v>
      </c>
      <c r="T16">
        <v>7412.1710000000003</v>
      </c>
      <c r="U16">
        <v>192494.07999999999</v>
      </c>
      <c r="V16" t="str">
        <f t="shared" si="16"/>
        <v>Hyderabad</v>
      </c>
      <c r="W16" t="str">
        <f>VLOOKUP(B16, Currency!A:B, 2, FALSE)</f>
        <v>INR</v>
      </c>
      <c r="X16" t="str">
        <f t="shared" si="16"/>
        <v>Accepted</v>
      </c>
      <c r="Y16">
        <f>IFERROR(VLOOKUP(N16, Payment_Terms!A:B, 2, FALSE), "Payment term not found!")</f>
        <v>0</v>
      </c>
      <c r="Z16" t="str">
        <f>IFERROR(VLOOKUP(R16, Item_Category!A:B, 2, FALSE), "Uncategorized")</f>
        <v>Coal materials</v>
      </c>
      <c r="AA16" s="5">
        <f t="shared" si="3"/>
        <v>0</v>
      </c>
      <c r="AB16">
        <f t="shared" si="4"/>
        <v>5</v>
      </c>
      <c r="AC16" s="10">
        <f t="shared" si="5"/>
        <v>-23</v>
      </c>
      <c r="AD16">
        <f t="shared" si="6"/>
        <v>5</v>
      </c>
      <c r="AE16" s="10">
        <f t="shared" si="7"/>
        <v>3</v>
      </c>
      <c r="AF16" s="5">
        <f t="shared" si="0"/>
        <v>1</v>
      </c>
      <c r="AG16" s="5">
        <f t="shared" si="1"/>
        <v>1</v>
      </c>
      <c r="AH16" s="5">
        <f t="shared" si="8"/>
        <v>0</v>
      </c>
      <c r="AI16">
        <f>IF(B16&lt;&gt;"", COUNTIFS($B$2:B16, B16), "")</f>
        <v>11</v>
      </c>
      <c r="AJ16">
        <f t="shared" si="9"/>
        <v>5</v>
      </c>
      <c r="AK16">
        <f t="shared" si="2"/>
        <v>5</v>
      </c>
      <c r="AL16">
        <f t="shared" si="10"/>
        <v>6</v>
      </c>
      <c r="AM16" t="str">
        <f t="shared" si="11"/>
        <v>June</v>
      </c>
      <c r="AN16">
        <f t="shared" si="12"/>
        <v>2023</v>
      </c>
      <c r="AO16" t="str">
        <f t="shared" si="13"/>
        <v>&gt;3</v>
      </c>
      <c r="AP16" t="str">
        <f t="shared" si="14"/>
        <v>&gt;3</v>
      </c>
      <c r="AQ16" t="str">
        <f t="shared" si="15"/>
        <v>&gt;3</v>
      </c>
    </row>
    <row r="17" spans="1:43" x14ac:dyDescent="0.3">
      <c r="A17" t="s">
        <v>33</v>
      </c>
      <c r="B17" t="s">
        <v>73</v>
      </c>
      <c r="C17" t="s">
        <v>74</v>
      </c>
      <c r="D17">
        <v>3662</v>
      </c>
      <c r="E17">
        <v>23120099</v>
      </c>
      <c r="F17" t="s">
        <v>75</v>
      </c>
      <c r="G17" t="s">
        <v>76</v>
      </c>
      <c r="H17">
        <v>60</v>
      </c>
      <c r="I17">
        <v>900</v>
      </c>
      <c r="J17">
        <v>54000</v>
      </c>
      <c r="K17" s="7" t="str">
        <f>IFERROR(IF(B17&lt;&gt;"", TEXT(VLOOKUP(B17, 'Expected Date'!A:B, 2, FALSE) + DATE(RIGHT(C17,2),MID(C17,4,2),LEFT(C17,2)), "dd/mm/yy"), ""), "")</f>
        <v>31/08/23</v>
      </c>
      <c r="L17" t="s">
        <v>38</v>
      </c>
      <c r="M17" t="s">
        <v>39</v>
      </c>
      <c r="N17" t="s">
        <v>77</v>
      </c>
      <c r="O17" t="s">
        <v>78</v>
      </c>
      <c r="P17">
        <v>23190960</v>
      </c>
      <c r="Q17" t="s">
        <v>75</v>
      </c>
      <c r="R17" t="s">
        <v>76</v>
      </c>
      <c r="S17">
        <v>60</v>
      </c>
      <c r="T17">
        <v>900</v>
      </c>
      <c r="U17">
        <v>54000</v>
      </c>
      <c r="V17" t="str">
        <f t="shared" si="16"/>
        <v>Hyderabad</v>
      </c>
      <c r="W17" t="str">
        <f>VLOOKUP(B17, Currency!A:B, 2, FALSE)</f>
        <v>INR</v>
      </c>
      <c r="X17" t="str">
        <f t="shared" si="16"/>
        <v>Accepted</v>
      </c>
      <c r="Y17">
        <f>IFERROR(VLOOKUP(N17, Payment_Terms!A:B, 2, FALSE), "Payment term not found!")</f>
        <v>0</v>
      </c>
      <c r="Z17" t="str">
        <f>IFERROR(VLOOKUP(R17, Item_Category!A:B, 2, FALSE), "Uncategorized")</f>
        <v>Pallets</v>
      </c>
      <c r="AA17" s="5">
        <f t="shared" si="3"/>
        <v>0</v>
      </c>
      <c r="AB17">
        <f t="shared" si="4"/>
        <v>5</v>
      </c>
      <c r="AC17" s="10">
        <f t="shared" si="5"/>
        <v>-7</v>
      </c>
      <c r="AD17">
        <f t="shared" si="6"/>
        <v>5</v>
      </c>
      <c r="AE17" s="10">
        <f t="shared" si="7"/>
        <v>13</v>
      </c>
      <c r="AF17" s="5">
        <f t="shared" si="0"/>
        <v>1</v>
      </c>
      <c r="AG17" s="5">
        <f t="shared" si="1"/>
        <v>1</v>
      </c>
      <c r="AH17" s="5">
        <f t="shared" si="8"/>
        <v>0</v>
      </c>
      <c r="AI17">
        <f>IF(B17&lt;&gt;"", COUNTIFS($B$2:B17, B17), "")</f>
        <v>1</v>
      </c>
      <c r="AJ17">
        <f t="shared" si="9"/>
        <v>5</v>
      </c>
      <c r="AK17">
        <f t="shared" si="2"/>
        <v>5</v>
      </c>
      <c r="AL17">
        <f t="shared" si="10"/>
        <v>8</v>
      </c>
      <c r="AM17" t="str">
        <f t="shared" si="11"/>
        <v>August</v>
      </c>
      <c r="AN17">
        <f t="shared" si="12"/>
        <v>2023</v>
      </c>
      <c r="AO17" t="str">
        <f t="shared" si="13"/>
        <v>&gt;3</v>
      </c>
      <c r="AP17" t="str">
        <f t="shared" si="14"/>
        <v>&gt;3</v>
      </c>
      <c r="AQ17" t="str">
        <f t="shared" si="15"/>
        <v>&gt;3</v>
      </c>
    </row>
    <row r="18" spans="1:43" x14ac:dyDescent="0.3">
      <c r="A18" t="s">
        <v>33</v>
      </c>
      <c r="B18" t="s">
        <v>79</v>
      </c>
      <c r="C18" t="s">
        <v>80</v>
      </c>
      <c r="D18">
        <v>1277</v>
      </c>
      <c r="E18">
        <v>23110025</v>
      </c>
      <c r="F18" t="s">
        <v>81</v>
      </c>
      <c r="G18" t="s">
        <v>82</v>
      </c>
      <c r="H18">
        <v>21000</v>
      </c>
      <c r="I18">
        <v>0.4</v>
      </c>
      <c r="J18">
        <v>8400</v>
      </c>
      <c r="K18" s="7" t="str">
        <f>IFERROR(IF(B18&lt;&gt;"", TEXT(VLOOKUP(B18, 'Expected Date'!A:B, 2, FALSE) + DATE(RIGHT(C18,2),MID(C18,4,2),LEFT(C18,2)), "dd/mm/yy"), ""), "")</f>
        <v>04/05/23</v>
      </c>
      <c r="L18" t="s">
        <v>38</v>
      </c>
      <c r="M18" t="s">
        <v>48</v>
      </c>
      <c r="N18" t="s">
        <v>83</v>
      </c>
      <c r="O18" t="s">
        <v>84</v>
      </c>
      <c r="P18">
        <v>23190105</v>
      </c>
      <c r="Q18" t="s">
        <v>81</v>
      </c>
      <c r="R18" t="s">
        <v>82</v>
      </c>
      <c r="S18">
        <v>25060</v>
      </c>
      <c r="T18">
        <v>0.4</v>
      </c>
      <c r="U18">
        <v>10024</v>
      </c>
      <c r="V18" t="str">
        <f t="shared" si="16"/>
        <v>Hyderabad</v>
      </c>
      <c r="W18" t="str">
        <f>VLOOKUP(B18, Currency!A:B, 2, FALSE)</f>
        <v>INR</v>
      </c>
      <c r="X18" t="str">
        <f t="shared" si="16"/>
        <v>Accepted</v>
      </c>
      <c r="Y18">
        <f>IFERROR(VLOOKUP(N18, Payment_Terms!A:B, 2, FALSE), "Payment term not found!")</f>
        <v>0</v>
      </c>
      <c r="Z18" t="str">
        <f>IFERROR(VLOOKUP(R18, Item_Category!A:B, 2, FALSE), "Uncategorized")</f>
        <v>HCL</v>
      </c>
      <c r="AA18" s="5">
        <f t="shared" si="3"/>
        <v>0</v>
      </c>
      <c r="AB18">
        <f t="shared" si="4"/>
        <v>5</v>
      </c>
      <c r="AC18" s="10">
        <f t="shared" si="5"/>
        <v>-13</v>
      </c>
      <c r="AD18">
        <f t="shared" si="6"/>
        <v>5</v>
      </c>
      <c r="AE18" s="10">
        <f t="shared" si="7"/>
        <v>7</v>
      </c>
      <c r="AF18" s="5">
        <f t="shared" si="0"/>
        <v>1</v>
      </c>
      <c r="AG18" s="5">
        <f t="shared" si="1"/>
        <v>1</v>
      </c>
      <c r="AH18" s="5">
        <f t="shared" si="8"/>
        <v>0</v>
      </c>
      <c r="AI18">
        <f>IF(B18&lt;&gt;"", COUNTIFS($B$2:B18, B18), "")</f>
        <v>1</v>
      </c>
      <c r="AJ18">
        <f t="shared" si="9"/>
        <v>5</v>
      </c>
      <c r="AK18">
        <f t="shared" si="2"/>
        <v>5</v>
      </c>
      <c r="AL18">
        <f t="shared" si="10"/>
        <v>4</v>
      </c>
      <c r="AM18" t="str">
        <f t="shared" si="11"/>
        <v>April</v>
      </c>
      <c r="AN18">
        <f t="shared" si="12"/>
        <v>2023</v>
      </c>
      <c r="AO18" t="str">
        <f t="shared" si="13"/>
        <v>&gt;3</v>
      </c>
      <c r="AP18" t="str">
        <f t="shared" si="14"/>
        <v>&gt;3</v>
      </c>
      <c r="AQ18" t="str">
        <f t="shared" si="15"/>
        <v>&gt;3</v>
      </c>
    </row>
    <row r="19" spans="1:43" x14ac:dyDescent="0.3">
      <c r="A19" t="s">
        <v>33</v>
      </c>
      <c r="B19" t="s">
        <v>64</v>
      </c>
      <c r="C19" t="s">
        <v>65</v>
      </c>
      <c r="D19">
        <v>1352</v>
      </c>
      <c r="E19">
        <v>23120006</v>
      </c>
      <c r="F19" t="s">
        <v>85</v>
      </c>
      <c r="G19" t="s">
        <v>86</v>
      </c>
      <c r="H19">
        <v>3000</v>
      </c>
      <c r="I19">
        <v>22.5</v>
      </c>
      <c r="J19">
        <v>67500</v>
      </c>
      <c r="K19" s="7" t="str">
        <f>IFERROR(IF(B19&lt;&gt;"", TEXT(VLOOKUP(B19, 'Expected Date'!A:B, 2, FALSE) + DATE(RIGHT(C19,2),MID(C19,4,2),LEFT(C19,2)), "dd/mm/yy"), ""), "")</f>
        <v>29/04/23</v>
      </c>
      <c r="L19" t="s">
        <v>38</v>
      </c>
      <c r="M19" t="s">
        <v>39</v>
      </c>
      <c r="N19" t="s">
        <v>69</v>
      </c>
      <c r="O19" t="s">
        <v>70</v>
      </c>
      <c r="P19">
        <v>23190106</v>
      </c>
      <c r="Q19" t="s">
        <v>85</v>
      </c>
      <c r="R19" t="s">
        <v>86</v>
      </c>
      <c r="S19">
        <v>3200</v>
      </c>
      <c r="T19">
        <v>22.5</v>
      </c>
      <c r="U19">
        <v>72000</v>
      </c>
      <c r="V19" t="str">
        <f t="shared" si="16"/>
        <v>Hyderabad</v>
      </c>
      <c r="W19" t="str">
        <f>VLOOKUP(B19, Currency!A:B, 2, FALSE)</f>
        <v>INR</v>
      </c>
      <c r="X19" t="str">
        <f t="shared" si="16"/>
        <v>Accepted</v>
      </c>
      <c r="Y19">
        <f>IFERROR(VLOOKUP(N19, Payment_Terms!A:B, 2, FALSE), "Payment term not found!")</f>
        <v>30</v>
      </c>
      <c r="Z19" t="str">
        <f>IFERROR(VLOOKUP(R19, Item_Category!A:B, 2, FALSE), "Uncategorized")</f>
        <v>Bags</v>
      </c>
      <c r="AA19" s="5">
        <f t="shared" si="3"/>
        <v>0</v>
      </c>
      <c r="AB19">
        <f t="shared" si="4"/>
        <v>5</v>
      </c>
      <c r="AC19" s="10">
        <f t="shared" si="5"/>
        <v>-5</v>
      </c>
      <c r="AD19">
        <f t="shared" si="6"/>
        <v>5</v>
      </c>
      <c r="AE19" s="10">
        <f t="shared" si="7"/>
        <v>5</v>
      </c>
      <c r="AF19" s="5">
        <f t="shared" si="0"/>
        <v>1</v>
      </c>
      <c r="AG19" s="5">
        <f t="shared" si="1"/>
        <v>1</v>
      </c>
      <c r="AH19" s="5">
        <f t="shared" si="8"/>
        <v>0</v>
      </c>
      <c r="AI19">
        <f>IF(B19&lt;&gt;"", COUNTIFS($B$2:B19, B19), "")</f>
        <v>2</v>
      </c>
      <c r="AJ19">
        <f t="shared" si="9"/>
        <v>5</v>
      </c>
      <c r="AK19">
        <f t="shared" si="2"/>
        <v>5</v>
      </c>
      <c r="AL19">
        <f t="shared" si="10"/>
        <v>4</v>
      </c>
      <c r="AM19" t="str">
        <f t="shared" si="11"/>
        <v>April</v>
      </c>
      <c r="AN19">
        <f t="shared" si="12"/>
        <v>2023</v>
      </c>
      <c r="AO19" t="str">
        <f t="shared" si="13"/>
        <v>&gt;3</v>
      </c>
      <c r="AP19" t="str">
        <f t="shared" si="14"/>
        <v>&gt;3</v>
      </c>
      <c r="AQ19" t="str">
        <f t="shared" si="15"/>
        <v>&gt;3</v>
      </c>
    </row>
    <row r="20" spans="1:43" x14ac:dyDescent="0.3">
      <c r="A20" t="s">
        <v>33</v>
      </c>
      <c r="B20" t="s">
        <v>73</v>
      </c>
      <c r="C20" t="s">
        <v>72</v>
      </c>
      <c r="D20">
        <v>2593</v>
      </c>
      <c r="E20">
        <v>23120058</v>
      </c>
      <c r="F20" t="s">
        <v>75</v>
      </c>
      <c r="G20" t="s">
        <v>76</v>
      </c>
      <c r="H20">
        <v>10</v>
      </c>
      <c r="I20">
        <v>1000</v>
      </c>
      <c r="J20">
        <v>10000</v>
      </c>
      <c r="K20" s="7" t="str">
        <f>IFERROR(IF(B20&lt;&gt;"", TEXT(VLOOKUP(B20, 'Expected Date'!A:B, 2, FALSE) + DATE(RIGHT(C20,2),MID(C20,4,2),LEFT(C20,2)), "dd/mm/yy"), ""), "")</f>
        <v>13/07/23</v>
      </c>
      <c r="L20" t="s">
        <v>38</v>
      </c>
      <c r="M20" t="s">
        <v>39</v>
      </c>
      <c r="N20" t="s">
        <v>77</v>
      </c>
      <c r="O20" t="s">
        <v>60</v>
      </c>
      <c r="P20">
        <v>23190482</v>
      </c>
      <c r="Q20" t="s">
        <v>75</v>
      </c>
      <c r="R20" t="s">
        <v>76</v>
      </c>
      <c r="S20">
        <v>10</v>
      </c>
      <c r="T20">
        <v>1000</v>
      </c>
      <c r="U20">
        <v>10000</v>
      </c>
      <c r="V20" t="str">
        <f t="shared" si="16"/>
        <v>Hyderabad</v>
      </c>
      <c r="W20" t="str">
        <f>VLOOKUP(B20, Currency!A:B, 2, FALSE)</f>
        <v>INR</v>
      </c>
      <c r="X20" t="str">
        <f t="shared" si="16"/>
        <v>Accepted</v>
      </c>
      <c r="Y20">
        <f>IFERROR(VLOOKUP(N20, Payment_Terms!A:B, 2, FALSE), "Payment term not found!")</f>
        <v>0</v>
      </c>
      <c r="Z20" t="str">
        <f>IFERROR(VLOOKUP(R20, Item_Category!A:B, 2, FALSE), "Uncategorized")</f>
        <v>Pallets</v>
      </c>
      <c r="AA20" s="5">
        <f t="shared" si="3"/>
        <v>0</v>
      </c>
      <c r="AB20">
        <f t="shared" si="4"/>
        <v>5</v>
      </c>
      <c r="AC20" s="10">
        <f t="shared" si="5"/>
        <v>-17</v>
      </c>
      <c r="AD20">
        <f t="shared" si="6"/>
        <v>5</v>
      </c>
      <c r="AE20" s="10">
        <f t="shared" si="7"/>
        <v>3</v>
      </c>
      <c r="AF20" s="5">
        <f t="shared" si="0"/>
        <v>1</v>
      </c>
      <c r="AG20" s="5">
        <f t="shared" si="1"/>
        <v>1</v>
      </c>
      <c r="AH20" s="5">
        <f t="shared" si="8"/>
        <v>0</v>
      </c>
      <c r="AI20">
        <f>IF(B20&lt;&gt;"", COUNTIFS($B$2:B20, B20), "")</f>
        <v>2</v>
      </c>
      <c r="AJ20">
        <f t="shared" si="9"/>
        <v>5</v>
      </c>
      <c r="AK20">
        <f t="shared" si="2"/>
        <v>5</v>
      </c>
      <c r="AL20">
        <f t="shared" si="10"/>
        <v>6</v>
      </c>
      <c r="AM20" t="str">
        <f t="shared" si="11"/>
        <v>June</v>
      </c>
      <c r="AN20">
        <f t="shared" si="12"/>
        <v>2023</v>
      </c>
      <c r="AO20" t="str">
        <f t="shared" si="13"/>
        <v>&gt;3</v>
      </c>
      <c r="AP20" t="str">
        <f t="shared" si="14"/>
        <v>&gt;3</v>
      </c>
      <c r="AQ20" t="str">
        <f t="shared" si="15"/>
        <v>&gt;3</v>
      </c>
    </row>
    <row r="21" spans="1:43" x14ac:dyDescent="0.3">
      <c r="A21" t="s">
        <v>33</v>
      </c>
      <c r="B21" t="s">
        <v>51</v>
      </c>
      <c r="C21" t="s">
        <v>87</v>
      </c>
      <c r="D21">
        <v>3043</v>
      </c>
      <c r="E21">
        <v>23120087</v>
      </c>
      <c r="F21" t="s">
        <v>53</v>
      </c>
      <c r="G21" t="s">
        <v>54</v>
      </c>
      <c r="H21">
        <v>164.11</v>
      </c>
      <c r="I21">
        <v>7412.1719000000003</v>
      </c>
      <c r="J21">
        <v>1216411.53</v>
      </c>
      <c r="K21" s="7" t="str">
        <f>IFERROR(IF(B21&lt;&gt;"", TEXT(VLOOKUP(B21, 'Expected Date'!A:B, 2, FALSE) + DATE(RIGHT(C21,2),MID(C21,4,2),LEFT(C21,2)), "dd/mm/yy"), ""), "")</f>
        <v>01/08/23</v>
      </c>
      <c r="L21" t="s">
        <v>38</v>
      </c>
      <c r="M21" t="s">
        <v>48</v>
      </c>
      <c r="N21" t="s">
        <v>55</v>
      </c>
      <c r="O21" t="s">
        <v>88</v>
      </c>
      <c r="P21">
        <v>23190623</v>
      </c>
      <c r="Q21" t="s">
        <v>53</v>
      </c>
      <c r="R21" t="s">
        <v>54</v>
      </c>
      <c r="S21">
        <v>25.42</v>
      </c>
      <c r="T21">
        <v>7412.1719000000003</v>
      </c>
      <c r="U21">
        <v>188417.41</v>
      </c>
      <c r="V21" t="str">
        <f t="shared" si="16"/>
        <v>Hyderabad</v>
      </c>
      <c r="W21" t="str">
        <f>VLOOKUP(B21, Currency!A:B, 2, FALSE)</f>
        <v>INR</v>
      </c>
      <c r="X21" t="str">
        <f t="shared" si="16"/>
        <v>Accepted</v>
      </c>
      <c r="Y21">
        <f>IFERROR(VLOOKUP(N21, Payment_Terms!A:B, 2, FALSE), "Payment term not found!")</f>
        <v>0</v>
      </c>
      <c r="Z21" t="str">
        <f>IFERROR(VLOOKUP(R21, Item_Category!A:B, 2, FALSE), "Uncategorized")</f>
        <v>Coal materials</v>
      </c>
      <c r="AA21" s="5">
        <f t="shared" si="3"/>
        <v>0</v>
      </c>
      <c r="AB21">
        <f t="shared" si="4"/>
        <v>5</v>
      </c>
      <c r="AC21" s="10">
        <f t="shared" si="5"/>
        <v>-28</v>
      </c>
      <c r="AD21">
        <f t="shared" si="6"/>
        <v>5</v>
      </c>
      <c r="AE21" s="10">
        <f t="shared" si="7"/>
        <v>8</v>
      </c>
      <c r="AF21" s="5">
        <f t="shared" si="0"/>
        <v>1</v>
      </c>
      <c r="AG21" s="5">
        <f t="shared" si="1"/>
        <v>1</v>
      </c>
      <c r="AH21" s="5">
        <f t="shared" si="8"/>
        <v>0</v>
      </c>
      <c r="AI21">
        <f>IF(B21&lt;&gt;"", COUNTIFS($B$2:B21, B21), "")</f>
        <v>12</v>
      </c>
      <c r="AJ21">
        <f t="shared" si="9"/>
        <v>5</v>
      </c>
      <c r="AK21">
        <f t="shared" si="2"/>
        <v>5</v>
      </c>
      <c r="AL21">
        <f t="shared" si="10"/>
        <v>7</v>
      </c>
      <c r="AM21" t="str">
        <f t="shared" si="11"/>
        <v>July</v>
      </c>
      <c r="AN21">
        <f t="shared" si="12"/>
        <v>2023</v>
      </c>
      <c r="AO21" t="str">
        <f t="shared" si="13"/>
        <v>&gt;3</v>
      </c>
      <c r="AP21" t="str">
        <f t="shared" si="14"/>
        <v>&gt;3</v>
      </c>
      <c r="AQ21" t="str">
        <f t="shared" si="15"/>
        <v>&gt;3</v>
      </c>
    </row>
    <row r="22" spans="1:43" x14ac:dyDescent="0.3">
      <c r="A22" t="s">
        <v>33</v>
      </c>
      <c r="B22" t="s">
        <v>51</v>
      </c>
      <c r="C22" t="s">
        <v>87</v>
      </c>
      <c r="D22">
        <v>3043</v>
      </c>
      <c r="E22">
        <v>23120087</v>
      </c>
      <c r="F22" t="s">
        <v>53</v>
      </c>
      <c r="G22" t="s">
        <v>54</v>
      </c>
      <c r="H22">
        <v>164.11</v>
      </c>
      <c r="I22">
        <v>7412.1719000000003</v>
      </c>
      <c r="J22">
        <v>1216411.53</v>
      </c>
      <c r="K22" s="7" t="str">
        <f>IFERROR(IF(B22&lt;&gt;"", TEXT(VLOOKUP(B22, 'Expected Date'!A:B, 2, FALSE) + DATE(RIGHT(C22,2),MID(C22,4,2),LEFT(C22,2)), "dd/mm/yy"), ""), "")</f>
        <v>01/08/23</v>
      </c>
      <c r="L22" t="s">
        <v>38</v>
      </c>
      <c r="M22" t="s">
        <v>48</v>
      </c>
      <c r="N22" t="s">
        <v>55</v>
      </c>
      <c r="O22" t="s">
        <v>89</v>
      </c>
      <c r="P22">
        <v>23190624</v>
      </c>
      <c r="Q22" t="s">
        <v>53</v>
      </c>
      <c r="R22" t="s">
        <v>54</v>
      </c>
      <c r="S22">
        <v>30.94</v>
      </c>
      <c r="T22">
        <v>7412.1719000000003</v>
      </c>
      <c r="U22">
        <v>229332.6</v>
      </c>
      <c r="V22" t="str">
        <f t="shared" si="16"/>
        <v>Hyderabad</v>
      </c>
      <c r="W22" t="str">
        <f>VLOOKUP(B22, Currency!A:B, 2, FALSE)</f>
        <v>INR</v>
      </c>
      <c r="X22" t="str">
        <f t="shared" si="16"/>
        <v>Accepted</v>
      </c>
      <c r="Y22">
        <f>IFERROR(VLOOKUP(N22, Payment_Terms!A:B, 2, FALSE), "Payment term not found!")</f>
        <v>0</v>
      </c>
      <c r="Z22" t="str">
        <f>IFERROR(VLOOKUP(R22, Item_Category!A:B, 2, FALSE), "Uncategorized")</f>
        <v>Coal materials</v>
      </c>
      <c r="AA22" s="5">
        <f t="shared" si="3"/>
        <v>0</v>
      </c>
      <c r="AB22">
        <f t="shared" si="4"/>
        <v>5</v>
      </c>
      <c r="AC22" s="10">
        <f t="shared" si="5"/>
        <v>-27</v>
      </c>
      <c r="AD22">
        <f t="shared" si="6"/>
        <v>5</v>
      </c>
      <c r="AE22" s="10">
        <f t="shared" si="7"/>
        <v>7</v>
      </c>
      <c r="AF22" s="5">
        <f t="shared" si="0"/>
        <v>1</v>
      </c>
      <c r="AG22" s="5">
        <f t="shared" si="1"/>
        <v>1</v>
      </c>
      <c r="AH22" s="5">
        <f t="shared" si="8"/>
        <v>0</v>
      </c>
      <c r="AI22">
        <f>IF(B22&lt;&gt;"", COUNTIFS($B$2:B22, B22), "")</f>
        <v>13</v>
      </c>
      <c r="AJ22">
        <f t="shared" si="9"/>
        <v>5</v>
      </c>
      <c r="AK22">
        <f t="shared" si="2"/>
        <v>5</v>
      </c>
      <c r="AL22">
        <f t="shared" si="10"/>
        <v>7</v>
      </c>
      <c r="AM22" t="str">
        <f t="shared" si="11"/>
        <v>July</v>
      </c>
      <c r="AN22">
        <f t="shared" si="12"/>
        <v>2023</v>
      </c>
      <c r="AO22" t="str">
        <f t="shared" si="13"/>
        <v>&gt;3</v>
      </c>
      <c r="AP22" t="str">
        <f t="shared" si="14"/>
        <v>&gt;3</v>
      </c>
      <c r="AQ22" t="str">
        <f t="shared" si="15"/>
        <v>&gt;3</v>
      </c>
    </row>
    <row r="23" spans="1:43" x14ac:dyDescent="0.3">
      <c r="A23" t="s">
        <v>33</v>
      </c>
      <c r="B23" t="s">
        <v>51</v>
      </c>
      <c r="C23" t="s">
        <v>87</v>
      </c>
      <c r="D23">
        <v>3043</v>
      </c>
      <c r="E23">
        <v>23120087</v>
      </c>
      <c r="F23" t="s">
        <v>53</v>
      </c>
      <c r="G23" t="s">
        <v>54</v>
      </c>
      <c r="H23">
        <v>164.11</v>
      </c>
      <c r="I23">
        <v>7412.1719000000003</v>
      </c>
      <c r="J23">
        <v>1216411.53</v>
      </c>
      <c r="K23" s="7" t="str">
        <f>IFERROR(IF(B23&lt;&gt;"", TEXT(VLOOKUP(B23, 'Expected Date'!A:B, 2, FALSE) + DATE(RIGHT(C23,2),MID(C23,4,2),LEFT(C23,2)), "dd/mm/yy"), ""), "")</f>
        <v>01/08/23</v>
      </c>
      <c r="L23" t="s">
        <v>38</v>
      </c>
      <c r="M23" t="s">
        <v>48</v>
      </c>
      <c r="N23" t="s">
        <v>55</v>
      </c>
      <c r="O23" t="s">
        <v>89</v>
      </c>
      <c r="P23">
        <v>23190625</v>
      </c>
      <c r="Q23" t="s">
        <v>53</v>
      </c>
      <c r="R23" t="s">
        <v>54</v>
      </c>
      <c r="S23">
        <v>25.82</v>
      </c>
      <c r="T23">
        <v>7412.1719000000003</v>
      </c>
      <c r="U23">
        <v>191382.28</v>
      </c>
      <c r="V23" t="str">
        <f t="shared" si="16"/>
        <v>Hyderabad</v>
      </c>
      <c r="W23" t="str">
        <f>VLOOKUP(B23, Currency!A:B, 2, FALSE)</f>
        <v>INR</v>
      </c>
      <c r="X23" t="str">
        <f t="shared" si="16"/>
        <v>Accepted</v>
      </c>
      <c r="Y23">
        <f>IFERROR(VLOOKUP(N23, Payment_Terms!A:B, 2, FALSE), "Payment term not found!")</f>
        <v>0</v>
      </c>
      <c r="Z23" t="str">
        <f>IFERROR(VLOOKUP(R23, Item_Category!A:B, 2, FALSE), "Uncategorized")</f>
        <v>Coal materials</v>
      </c>
      <c r="AA23" s="5">
        <f t="shared" si="3"/>
        <v>0</v>
      </c>
      <c r="AB23">
        <f t="shared" si="4"/>
        <v>5</v>
      </c>
      <c r="AC23" s="10">
        <f t="shared" si="5"/>
        <v>-27</v>
      </c>
      <c r="AD23">
        <f t="shared" si="6"/>
        <v>5</v>
      </c>
      <c r="AE23" s="10">
        <f t="shared" si="7"/>
        <v>7</v>
      </c>
      <c r="AF23" s="5">
        <f t="shared" si="0"/>
        <v>1</v>
      </c>
      <c r="AG23" s="5">
        <f t="shared" si="1"/>
        <v>1</v>
      </c>
      <c r="AH23" s="5">
        <f t="shared" si="8"/>
        <v>0</v>
      </c>
      <c r="AI23">
        <f>IF(B23&lt;&gt;"", COUNTIFS($B$2:B23, B23), "")</f>
        <v>14</v>
      </c>
      <c r="AJ23">
        <f t="shared" si="9"/>
        <v>5</v>
      </c>
      <c r="AK23">
        <f t="shared" si="2"/>
        <v>5</v>
      </c>
      <c r="AL23">
        <f t="shared" si="10"/>
        <v>7</v>
      </c>
      <c r="AM23" t="str">
        <f t="shared" si="11"/>
        <v>July</v>
      </c>
      <c r="AN23">
        <f t="shared" si="12"/>
        <v>2023</v>
      </c>
      <c r="AO23" t="str">
        <f t="shared" si="13"/>
        <v>&gt;3</v>
      </c>
      <c r="AP23" t="str">
        <f t="shared" si="14"/>
        <v>&gt;3</v>
      </c>
      <c r="AQ23" t="str">
        <f t="shared" si="15"/>
        <v>&gt;3</v>
      </c>
    </row>
    <row r="24" spans="1:43" x14ac:dyDescent="0.3">
      <c r="A24" t="s">
        <v>33</v>
      </c>
      <c r="B24" t="s">
        <v>51</v>
      </c>
      <c r="C24" t="s">
        <v>87</v>
      </c>
      <c r="D24">
        <v>3043</v>
      </c>
      <c r="E24">
        <v>23120087</v>
      </c>
      <c r="F24" t="s">
        <v>53</v>
      </c>
      <c r="G24" t="s">
        <v>54</v>
      </c>
      <c r="H24">
        <v>164.11</v>
      </c>
      <c r="I24">
        <v>7412.1719000000003</v>
      </c>
      <c r="J24">
        <v>1216411.53</v>
      </c>
      <c r="K24" s="7" t="str">
        <f>IFERROR(IF(B24&lt;&gt;"", TEXT(VLOOKUP(B24, 'Expected Date'!A:B, 2, FALSE) + DATE(RIGHT(C24,2),MID(C24,4,2),LEFT(C24,2)), "dd/mm/yy"), ""), "")</f>
        <v>01/08/23</v>
      </c>
      <c r="L24" t="s">
        <v>38</v>
      </c>
      <c r="M24" t="s">
        <v>48</v>
      </c>
      <c r="N24" t="s">
        <v>55</v>
      </c>
      <c r="O24" t="s">
        <v>90</v>
      </c>
      <c r="P24">
        <v>23190626</v>
      </c>
      <c r="Q24" t="s">
        <v>53</v>
      </c>
      <c r="R24" t="s">
        <v>54</v>
      </c>
      <c r="S24">
        <v>25.89</v>
      </c>
      <c r="T24">
        <v>7412.1719000000003</v>
      </c>
      <c r="U24">
        <v>191901.13</v>
      </c>
      <c r="V24" t="str">
        <f t="shared" si="16"/>
        <v>Hyderabad</v>
      </c>
      <c r="W24" t="str">
        <f>VLOOKUP(B24, Currency!A:B, 2, FALSE)</f>
        <v>INR</v>
      </c>
      <c r="X24" t="str">
        <f t="shared" si="16"/>
        <v>Accepted</v>
      </c>
      <c r="Y24">
        <f>IFERROR(VLOOKUP(N24, Payment_Terms!A:B, 2, FALSE), "Payment term not found!")</f>
        <v>0</v>
      </c>
      <c r="Z24" t="str">
        <f>IFERROR(VLOOKUP(R24, Item_Category!A:B, 2, FALSE), "Uncategorized")</f>
        <v>Coal materials</v>
      </c>
      <c r="AA24" s="5">
        <f t="shared" si="3"/>
        <v>0</v>
      </c>
      <c r="AB24">
        <f t="shared" si="4"/>
        <v>5</v>
      </c>
      <c r="AC24" s="10">
        <f t="shared" si="5"/>
        <v>-26</v>
      </c>
      <c r="AD24">
        <f t="shared" si="6"/>
        <v>5</v>
      </c>
      <c r="AE24" s="10">
        <f t="shared" si="7"/>
        <v>6</v>
      </c>
      <c r="AF24" s="5">
        <f t="shared" si="0"/>
        <v>1</v>
      </c>
      <c r="AG24" s="5">
        <f t="shared" si="1"/>
        <v>1</v>
      </c>
      <c r="AH24" s="5">
        <f t="shared" si="8"/>
        <v>0</v>
      </c>
      <c r="AI24">
        <f>IF(B24&lt;&gt;"", COUNTIFS($B$2:B24, B24), "")</f>
        <v>15</v>
      </c>
      <c r="AJ24">
        <f t="shared" si="9"/>
        <v>5</v>
      </c>
      <c r="AK24">
        <f t="shared" si="2"/>
        <v>5</v>
      </c>
      <c r="AL24">
        <f t="shared" si="10"/>
        <v>7</v>
      </c>
      <c r="AM24" t="str">
        <f t="shared" si="11"/>
        <v>July</v>
      </c>
      <c r="AN24">
        <f t="shared" si="12"/>
        <v>2023</v>
      </c>
      <c r="AO24" t="str">
        <f t="shared" si="13"/>
        <v>&gt;3</v>
      </c>
      <c r="AP24" t="str">
        <f t="shared" si="14"/>
        <v>&gt;3</v>
      </c>
      <c r="AQ24" t="str">
        <f t="shared" si="15"/>
        <v>&gt;3</v>
      </c>
    </row>
    <row r="25" spans="1:43" x14ac:dyDescent="0.3">
      <c r="A25" t="s">
        <v>33</v>
      </c>
      <c r="B25" t="s">
        <v>51</v>
      </c>
      <c r="C25" t="s">
        <v>87</v>
      </c>
      <c r="D25">
        <v>3043</v>
      </c>
      <c r="E25">
        <v>23120087</v>
      </c>
      <c r="F25" t="s">
        <v>53</v>
      </c>
      <c r="G25" t="s">
        <v>54</v>
      </c>
      <c r="H25">
        <v>164.11</v>
      </c>
      <c r="I25">
        <v>7412.1719000000003</v>
      </c>
      <c r="J25">
        <v>1216411.53</v>
      </c>
      <c r="K25" s="7" t="str">
        <f>IFERROR(IF(B25&lt;&gt;"", TEXT(VLOOKUP(B25, 'Expected Date'!A:B, 2, FALSE) + DATE(RIGHT(C25,2),MID(C25,4,2),LEFT(C25,2)), "dd/mm/yy"), ""), "")</f>
        <v>01/08/23</v>
      </c>
      <c r="L25" t="s">
        <v>38</v>
      </c>
      <c r="M25" t="s">
        <v>48</v>
      </c>
      <c r="N25" t="s">
        <v>55</v>
      </c>
      <c r="O25" t="s">
        <v>91</v>
      </c>
      <c r="P25">
        <v>23190627</v>
      </c>
      <c r="Q25" t="s">
        <v>53</v>
      </c>
      <c r="R25" t="s">
        <v>54</v>
      </c>
      <c r="S25">
        <v>25.82</v>
      </c>
      <c r="T25">
        <v>7412.1719000000003</v>
      </c>
      <c r="U25">
        <v>191382.28</v>
      </c>
      <c r="V25" t="str">
        <f t="shared" si="16"/>
        <v>Hyderabad</v>
      </c>
      <c r="W25" t="str">
        <f>VLOOKUP(B25, Currency!A:B, 2, FALSE)</f>
        <v>INR</v>
      </c>
      <c r="X25" t="str">
        <f t="shared" si="16"/>
        <v>Accepted</v>
      </c>
      <c r="Y25">
        <f>IFERROR(VLOOKUP(N25, Payment_Terms!A:B, 2, FALSE), "Payment term not found!")</f>
        <v>0</v>
      </c>
      <c r="Z25" t="str">
        <f>IFERROR(VLOOKUP(R25, Item_Category!A:B, 2, FALSE), "Uncategorized")</f>
        <v>Coal materials</v>
      </c>
      <c r="AA25" s="5">
        <f t="shared" si="3"/>
        <v>0</v>
      </c>
      <c r="AB25">
        <f t="shared" si="4"/>
        <v>5</v>
      </c>
      <c r="AC25" s="10">
        <f t="shared" si="5"/>
        <v>-23</v>
      </c>
      <c r="AD25">
        <f t="shared" si="6"/>
        <v>5</v>
      </c>
      <c r="AE25" s="10">
        <f t="shared" si="7"/>
        <v>3</v>
      </c>
      <c r="AF25" s="5">
        <f t="shared" si="0"/>
        <v>1</v>
      </c>
      <c r="AG25" s="5">
        <f t="shared" si="1"/>
        <v>1</v>
      </c>
      <c r="AH25" s="5">
        <f t="shared" si="8"/>
        <v>0</v>
      </c>
      <c r="AI25">
        <f>IF(B25&lt;&gt;"", COUNTIFS($B$2:B25, B25), "")</f>
        <v>16</v>
      </c>
      <c r="AJ25">
        <f t="shared" si="9"/>
        <v>5</v>
      </c>
      <c r="AK25">
        <f t="shared" si="2"/>
        <v>5</v>
      </c>
      <c r="AL25">
        <f t="shared" si="10"/>
        <v>7</v>
      </c>
      <c r="AM25" t="str">
        <f t="shared" si="11"/>
        <v>July</v>
      </c>
      <c r="AN25">
        <f t="shared" si="12"/>
        <v>2023</v>
      </c>
      <c r="AO25" t="str">
        <f t="shared" si="13"/>
        <v>&gt;3</v>
      </c>
      <c r="AP25" t="str">
        <f t="shared" si="14"/>
        <v>&gt;3</v>
      </c>
      <c r="AQ25" t="str">
        <f t="shared" si="15"/>
        <v>&gt;3</v>
      </c>
    </row>
    <row r="26" spans="1:43" x14ac:dyDescent="0.3">
      <c r="A26" t="s">
        <v>33</v>
      </c>
      <c r="B26" t="s">
        <v>51</v>
      </c>
      <c r="C26" t="s">
        <v>87</v>
      </c>
      <c r="D26">
        <v>3043</v>
      </c>
      <c r="E26">
        <v>23120087</v>
      </c>
      <c r="F26" t="s">
        <v>53</v>
      </c>
      <c r="G26" t="s">
        <v>54</v>
      </c>
      <c r="H26">
        <v>164.11</v>
      </c>
      <c r="I26">
        <v>7412.1719000000003</v>
      </c>
      <c r="J26">
        <v>1216411.53</v>
      </c>
      <c r="K26" s="7" t="str">
        <f>IFERROR(IF(B26&lt;&gt;"", TEXT(VLOOKUP(B26, 'Expected Date'!A:B, 2, FALSE) + DATE(RIGHT(C26,2),MID(C26,4,2),LEFT(C26,2)), "dd/mm/yy"), ""), "")</f>
        <v>01/08/23</v>
      </c>
      <c r="L26" t="s">
        <v>38</v>
      </c>
      <c r="M26" t="s">
        <v>48</v>
      </c>
      <c r="N26" t="s">
        <v>55</v>
      </c>
      <c r="O26" t="s">
        <v>91</v>
      </c>
      <c r="P26">
        <v>23190628</v>
      </c>
      <c r="Q26" t="s">
        <v>53</v>
      </c>
      <c r="R26" t="s">
        <v>54</v>
      </c>
      <c r="S26">
        <v>30.22</v>
      </c>
      <c r="T26">
        <v>7412.1719000000003</v>
      </c>
      <c r="U26">
        <v>223995.83</v>
      </c>
      <c r="V26" t="str">
        <f t="shared" si="16"/>
        <v>Hyderabad</v>
      </c>
      <c r="W26" t="str">
        <f>VLOOKUP(B26, Currency!A:B, 2, FALSE)</f>
        <v>INR</v>
      </c>
      <c r="X26" t="str">
        <f t="shared" si="16"/>
        <v>Accepted</v>
      </c>
      <c r="Y26">
        <f>IFERROR(VLOOKUP(N26, Payment_Terms!A:B, 2, FALSE), "Payment term not found!")</f>
        <v>0</v>
      </c>
      <c r="Z26" t="str">
        <f>IFERROR(VLOOKUP(R26, Item_Category!A:B, 2, FALSE), "Uncategorized")</f>
        <v>Coal materials</v>
      </c>
      <c r="AA26" s="5">
        <f t="shared" si="3"/>
        <v>0</v>
      </c>
      <c r="AB26">
        <f t="shared" si="4"/>
        <v>5</v>
      </c>
      <c r="AC26" s="10">
        <f t="shared" si="5"/>
        <v>-23</v>
      </c>
      <c r="AD26">
        <f t="shared" si="6"/>
        <v>5</v>
      </c>
      <c r="AE26" s="10">
        <f t="shared" si="7"/>
        <v>3</v>
      </c>
      <c r="AF26" s="5">
        <f t="shared" si="0"/>
        <v>1</v>
      </c>
      <c r="AG26" s="5">
        <f t="shared" si="1"/>
        <v>1</v>
      </c>
      <c r="AH26" s="5">
        <f t="shared" si="8"/>
        <v>0</v>
      </c>
      <c r="AI26">
        <f>IF(B26&lt;&gt;"", COUNTIFS($B$2:B26, B26), "")</f>
        <v>17</v>
      </c>
      <c r="AJ26">
        <f t="shared" si="9"/>
        <v>5</v>
      </c>
      <c r="AK26">
        <f t="shared" si="2"/>
        <v>5</v>
      </c>
      <c r="AL26">
        <f t="shared" si="10"/>
        <v>7</v>
      </c>
      <c r="AM26" t="str">
        <f t="shared" si="11"/>
        <v>July</v>
      </c>
      <c r="AN26">
        <f t="shared" si="12"/>
        <v>2023</v>
      </c>
      <c r="AO26" t="str">
        <f t="shared" si="13"/>
        <v>&gt;3</v>
      </c>
      <c r="AP26" t="str">
        <f t="shared" si="14"/>
        <v>&gt;3</v>
      </c>
      <c r="AQ26" t="str">
        <f t="shared" si="15"/>
        <v>&gt;3</v>
      </c>
    </row>
    <row r="27" spans="1:43" x14ac:dyDescent="0.3">
      <c r="A27" t="s">
        <v>33</v>
      </c>
      <c r="B27" t="s">
        <v>34</v>
      </c>
      <c r="C27" t="s">
        <v>72</v>
      </c>
      <c r="D27">
        <v>2594</v>
      </c>
      <c r="E27">
        <v>23120059</v>
      </c>
      <c r="F27" t="s">
        <v>92</v>
      </c>
      <c r="G27" t="s">
        <v>93</v>
      </c>
      <c r="H27">
        <v>6000</v>
      </c>
      <c r="I27">
        <v>33.75</v>
      </c>
      <c r="J27">
        <v>202500</v>
      </c>
      <c r="K27" s="7" t="str">
        <f>IFERROR(IF(B27&lt;&gt;"", TEXT(VLOOKUP(B27, 'Expected Date'!A:B, 2, FALSE) + DATE(RIGHT(C27,2),MID(C27,4,2),LEFT(C27,2)), "dd/mm/yy"), ""), "")</f>
        <v>03/07/23</v>
      </c>
      <c r="L27" t="s">
        <v>38</v>
      </c>
      <c r="M27" t="s">
        <v>39</v>
      </c>
      <c r="N27" t="s">
        <v>40</v>
      </c>
      <c r="O27" t="s">
        <v>89</v>
      </c>
      <c r="P27">
        <v>23190583</v>
      </c>
      <c r="Q27" t="s">
        <v>92</v>
      </c>
      <c r="R27" t="s">
        <v>93</v>
      </c>
      <c r="S27">
        <v>6030</v>
      </c>
      <c r="T27">
        <v>33.75</v>
      </c>
      <c r="U27">
        <v>203512.5</v>
      </c>
      <c r="V27" t="str">
        <f t="shared" si="16"/>
        <v>Hyderabad</v>
      </c>
      <c r="W27" t="str">
        <f>VLOOKUP(B27, Currency!A:B, 2, FALSE)</f>
        <v>INR</v>
      </c>
      <c r="X27" t="str">
        <f t="shared" si="16"/>
        <v>Accepted</v>
      </c>
      <c r="Y27">
        <f>IFERROR(VLOOKUP(N27, Payment_Terms!A:B, 2, FALSE), "Payment term not found!")</f>
        <v>30</v>
      </c>
      <c r="Z27" t="str">
        <f>IFERROR(VLOOKUP(R27, Item_Category!A:B, 2, FALSE), "Uncategorized")</f>
        <v>Bags</v>
      </c>
      <c r="AA27" s="5">
        <f t="shared" si="3"/>
        <v>0</v>
      </c>
      <c r="AB27">
        <f t="shared" si="4"/>
        <v>5</v>
      </c>
      <c r="AC27" s="10">
        <f t="shared" si="5"/>
        <v>2</v>
      </c>
      <c r="AD27">
        <f t="shared" si="6"/>
        <v>5</v>
      </c>
      <c r="AE27" s="10">
        <f t="shared" si="7"/>
        <v>12</v>
      </c>
      <c r="AF27" s="5">
        <f t="shared" si="0"/>
        <v>1</v>
      </c>
      <c r="AG27" s="5">
        <f t="shared" si="1"/>
        <v>1</v>
      </c>
      <c r="AH27" s="5">
        <f t="shared" si="8"/>
        <v>0</v>
      </c>
      <c r="AI27">
        <f>IF(B27&lt;&gt;"", COUNTIFS($B$2:B27, B27), "")</f>
        <v>3</v>
      </c>
      <c r="AJ27">
        <f t="shared" si="9"/>
        <v>5</v>
      </c>
      <c r="AK27">
        <f t="shared" si="2"/>
        <v>5</v>
      </c>
      <c r="AL27">
        <f t="shared" si="10"/>
        <v>6</v>
      </c>
      <c r="AM27" t="str">
        <f t="shared" si="11"/>
        <v>June</v>
      </c>
      <c r="AN27">
        <f t="shared" si="12"/>
        <v>2023</v>
      </c>
      <c r="AO27" t="str">
        <f t="shared" si="13"/>
        <v>&gt;3</v>
      </c>
      <c r="AP27" t="str">
        <f t="shared" si="14"/>
        <v>&gt;3</v>
      </c>
      <c r="AQ27" t="str">
        <f t="shared" si="15"/>
        <v>&gt;3</v>
      </c>
    </row>
    <row r="28" spans="1:43" x14ac:dyDescent="0.3">
      <c r="A28" t="s">
        <v>33</v>
      </c>
      <c r="B28" t="s">
        <v>51</v>
      </c>
      <c r="C28" t="s">
        <v>52</v>
      </c>
      <c r="D28">
        <v>3768</v>
      </c>
      <c r="E28">
        <v>23120100</v>
      </c>
      <c r="F28" t="s">
        <v>53</v>
      </c>
      <c r="G28" t="s">
        <v>54</v>
      </c>
      <c r="H28">
        <v>435.83</v>
      </c>
      <c r="I28">
        <v>7412.17</v>
      </c>
      <c r="J28">
        <v>3230446.05</v>
      </c>
      <c r="K28" s="7" t="str">
        <f>IFERROR(IF(B28&lt;&gt;"", TEXT(VLOOKUP(B28, 'Expected Date'!A:B, 2, FALSE) + DATE(RIGHT(C28,2),MID(C28,4,2),LEFT(C28,2)), "dd/mm/yy"), ""), "")</f>
        <v>05/09/23</v>
      </c>
      <c r="L28" t="s">
        <v>38</v>
      </c>
      <c r="M28" t="s">
        <v>48</v>
      </c>
      <c r="N28" t="s">
        <v>55</v>
      </c>
      <c r="O28" t="s">
        <v>56</v>
      </c>
      <c r="P28">
        <v>23190862</v>
      </c>
      <c r="Q28" t="s">
        <v>53</v>
      </c>
      <c r="R28" t="s">
        <v>54</v>
      </c>
      <c r="S28">
        <v>30.92</v>
      </c>
      <c r="T28">
        <v>7412.17</v>
      </c>
      <c r="U28">
        <v>229184.3</v>
      </c>
      <c r="V28" t="str">
        <f t="shared" si="16"/>
        <v>Hyderabad</v>
      </c>
      <c r="W28" t="str">
        <f>VLOOKUP(B28, Currency!A:B, 2, FALSE)</f>
        <v>INR</v>
      </c>
      <c r="X28" t="str">
        <f t="shared" si="16"/>
        <v>Accepted</v>
      </c>
      <c r="Y28">
        <f>IFERROR(VLOOKUP(N28, Payment_Terms!A:B, 2, FALSE), "Payment term not found!")</f>
        <v>0</v>
      </c>
      <c r="Z28" t="str">
        <f>IFERROR(VLOOKUP(R28, Item_Category!A:B, 2, FALSE), "Uncategorized")</f>
        <v>Coal materials</v>
      </c>
      <c r="AA28" s="5">
        <f t="shared" si="3"/>
        <v>1.3042566794577706E-16</v>
      </c>
      <c r="AB28">
        <f t="shared" si="4"/>
        <v>4</v>
      </c>
      <c r="AC28" s="10">
        <f t="shared" si="5"/>
        <v>-32</v>
      </c>
      <c r="AD28">
        <f t="shared" si="6"/>
        <v>5</v>
      </c>
      <c r="AE28" s="10">
        <f t="shared" si="7"/>
        <v>12</v>
      </c>
      <c r="AF28" s="5">
        <f t="shared" si="0"/>
        <v>1</v>
      </c>
      <c r="AG28" s="5">
        <f t="shared" si="1"/>
        <v>1</v>
      </c>
      <c r="AH28" s="5">
        <f t="shared" si="8"/>
        <v>0</v>
      </c>
      <c r="AI28">
        <f>IF(B28&lt;&gt;"", COUNTIFS($B$2:B28, B28), "")</f>
        <v>18</v>
      </c>
      <c r="AJ28">
        <f t="shared" si="9"/>
        <v>5</v>
      </c>
      <c r="AK28">
        <f t="shared" si="2"/>
        <v>5</v>
      </c>
      <c r="AL28">
        <f t="shared" si="10"/>
        <v>8</v>
      </c>
      <c r="AM28" t="str">
        <f t="shared" si="11"/>
        <v>August</v>
      </c>
      <c r="AN28">
        <f t="shared" si="12"/>
        <v>2023</v>
      </c>
      <c r="AO28" t="str">
        <f t="shared" si="13"/>
        <v>&gt;3</v>
      </c>
      <c r="AP28" t="str">
        <f t="shared" si="14"/>
        <v>&gt;3</v>
      </c>
      <c r="AQ28" t="str">
        <f t="shared" si="15"/>
        <v>&gt;3</v>
      </c>
    </row>
    <row r="29" spans="1:43" x14ac:dyDescent="0.3">
      <c r="A29" t="s">
        <v>33</v>
      </c>
      <c r="B29" t="s">
        <v>51</v>
      </c>
      <c r="C29" t="s">
        <v>52</v>
      </c>
      <c r="D29">
        <v>3768</v>
      </c>
      <c r="E29">
        <v>23120100</v>
      </c>
      <c r="F29" t="s">
        <v>53</v>
      </c>
      <c r="G29" t="s">
        <v>54</v>
      </c>
      <c r="H29">
        <v>435.83</v>
      </c>
      <c r="I29">
        <v>7412.17</v>
      </c>
      <c r="J29">
        <v>3230446.05</v>
      </c>
      <c r="K29" s="7" t="str">
        <f>IFERROR(IF(B29&lt;&gt;"", TEXT(VLOOKUP(B29, 'Expected Date'!A:B, 2, FALSE) + DATE(RIGHT(C29,2),MID(C29,4,2),LEFT(C29,2)), "dd/mm/yy"), ""), "")</f>
        <v>05/09/23</v>
      </c>
      <c r="L29" t="s">
        <v>38</v>
      </c>
      <c r="M29" t="s">
        <v>48</v>
      </c>
      <c r="N29" t="s">
        <v>55</v>
      </c>
      <c r="O29" t="s">
        <v>94</v>
      </c>
      <c r="P29">
        <v>23190866</v>
      </c>
      <c r="Q29" t="s">
        <v>53</v>
      </c>
      <c r="R29" t="s">
        <v>54</v>
      </c>
      <c r="S29">
        <v>30.9</v>
      </c>
      <c r="T29">
        <v>7412.17</v>
      </c>
      <c r="U29">
        <v>229036.05</v>
      </c>
      <c r="V29" t="str">
        <f t="shared" si="16"/>
        <v>Hyderabad</v>
      </c>
      <c r="W29" t="str">
        <f>VLOOKUP(B29, Currency!A:B, 2, FALSE)</f>
        <v>INR</v>
      </c>
      <c r="X29" t="str">
        <f t="shared" si="16"/>
        <v>Accepted</v>
      </c>
      <c r="Y29">
        <f>IFERROR(VLOOKUP(N29, Payment_Terms!A:B, 2, FALSE), "Payment term not found!")</f>
        <v>0</v>
      </c>
      <c r="Z29" t="str">
        <f>IFERROR(VLOOKUP(R29, Item_Category!A:B, 2, FALSE), "Uncategorized")</f>
        <v>Coal materials</v>
      </c>
      <c r="AA29" s="5">
        <f t="shared" si="3"/>
        <v>1.3042566794577706E-16</v>
      </c>
      <c r="AB29">
        <f t="shared" si="4"/>
        <v>4</v>
      </c>
      <c r="AC29" s="10">
        <f t="shared" si="5"/>
        <v>-29</v>
      </c>
      <c r="AD29">
        <f t="shared" si="6"/>
        <v>5</v>
      </c>
      <c r="AE29" s="10">
        <f t="shared" si="7"/>
        <v>9</v>
      </c>
      <c r="AF29" s="5">
        <f t="shared" si="0"/>
        <v>1</v>
      </c>
      <c r="AG29" s="5">
        <f t="shared" si="1"/>
        <v>1</v>
      </c>
      <c r="AH29" s="5">
        <f t="shared" si="8"/>
        <v>0</v>
      </c>
      <c r="AI29">
        <f>IF(B29&lt;&gt;"", COUNTIFS($B$2:B29, B29), "")</f>
        <v>19</v>
      </c>
      <c r="AJ29">
        <f t="shared" si="9"/>
        <v>5</v>
      </c>
      <c r="AK29">
        <f t="shared" si="2"/>
        <v>5</v>
      </c>
      <c r="AL29">
        <f t="shared" si="10"/>
        <v>8</v>
      </c>
      <c r="AM29" t="str">
        <f t="shared" si="11"/>
        <v>August</v>
      </c>
      <c r="AN29">
        <f t="shared" si="12"/>
        <v>2023</v>
      </c>
      <c r="AO29" t="str">
        <f t="shared" si="13"/>
        <v>&gt;3</v>
      </c>
      <c r="AP29" t="str">
        <f t="shared" si="14"/>
        <v>&gt;3</v>
      </c>
      <c r="AQ29" t="str">
        <f t="shared" si="15"/>
        <v>&gt;3</v>
      </c>
    </row>
    <row r="30" spans="1:43" x14ac:dyDescent="0.3">
      <c r="A30" t="s">
        <v>33</v>
      </c>
      <c r="B30" t="s">
        <v>51</v>
      </c>
      <c r="C30" t="s">
        <v>52</v>
      </c>
      <c r="D30">
        <v>3768</v>
      </c>
      <c r="E30">
        <v>23120100</v>
      </c>
      <c r="F30" t="s">
        <v>53</v>
      </c>
      <c r="G30" t="s">
        <v>54</v>
      </c>
      <c r="H30">
        <v>435.83</v>
      </c>
      <c r="I30">
        <v>7412.17</v>
      </c>
      <c r="J30">
        <v>3230446.05</v>
      </c>
      <c r="K30" s="7" t="str">
        <f>IFERROR(IF(B30&lt;&gt;"", TEXT(VLOOKUP(B30, 'Expected Date'!A:B, 2, FALSE) + DATE(RIGHT(C30,2),MID(C30,4,2),LEFT(C30,2)), "dd/mm/yy"), ""), "")</f>
        <v>05/09/23</v>
      </c>
      <c r="L30" t="s">
        <v>38</v>
      </c>
      <c r="M30" t="s">
        <v>48</v>
      </c>
      <c r="N30" t="s">
        <v>55</v>
      </c>
      <c r="O30" t="s">
        <v>94</v>
      </c>
      <c r="P30">
        <v>23190867</v>
      </c>
      <c r="Q30" t="s">
        <v>53</v>
      </c>
      <c r="R30" t="s">
        <v>54</v>
      </c>
      <c r="S30">
        <v>13.45</v>
      </c>
      <c r="T30">
        <v>7412.17</v>
      </c>
      <c r="U30">
        <v>99693.69</v>
      </c>
      <c r="V30" t="str">
        <f t="shared" si="16"/>
        <v>Hyderabad</v>
      </c>
      <c r="W30" t="str">
        <f>VLOOKUP(B30, Currency!A:B, 2, FALSE)</f>
        <v>INR</v>
      </c>
      <c r="X30" t="str">
        <f t="shared" si="16"/>
        <v>Accepted</v>
      </c>
      <c r="Y30">
        <f>IFERROR(VLOOKUP(N30, Payment_Terms!A:B, 2, FALSE), "Payment term not found!")</f>
        <v>0</v>
      </c>
      <c r="Z30" t="str">
        <f>IFERROR(VLOOKUP(R30, Item_Category!A:B, 2, FALSE), "Uncategorized")</f>
        <v>Coal materials</v>
      </c>
      <c r="AA30" s="5">
        <f t="shared" si="3"/>
        <v>1.3042566794577706E-16</v>
      </c>
      <c r="AB30">
        <f t="shared" si="4"/>
        <v>4</v>
      </c>
      <c r="AC30" s="10">
        <f t="shared" si="5"/>
        <v>-29</v>
      </c>
      <c r="AD30">
        <f t="shared" si="6"/>
        <v>5</v>
      </c>
      <c r="AE30" s="10">
        <f t="shared" si="7"/>
        <v>9</v>
      </c>
      <c r="AF30" s="5">
        <f t="shared" si="0"/>
        <v>1</v>
      </c>
      <c r="AG30" s="5">
        <f t="shared" si="1"/>
        <v>1</v>
      </c>
      <c r="AH30" s="5">
        <f t="shared" si="8"/>
        <v>0</v>
      </c>
      <c r="AI30">
        <f>IF(B30&lt;&gt;"", COUNTIFS($B$2:B30, B30), "")</f>
        <v>20</v>
      </c>
      <c r="AJ30">
        <f t="shared" si="9"/>
        <v>5</v>
      </c>
      <c r="AK30">
        <f t="shared" si="2"/>
        <v>5</v>
      </c>
      <c r="AL30">
        <f t="shared" si="10"/>
        <v>8</v>
      </c>
      <c r="AM30" t="str">
        <f t="shared" si="11"/>
        <v>August</v>
      </c>
      <c r="AN30">
        <f t="shared" si="12"/>
        <v>2023</v>
      </c>
      <c r="AO30" t="str">
        <f t="shared" si="13"/>
        <v>&gt;3</v>
      </c>
      <c r="AP30" t="str">
        <f t="shared" si="14"/>
        <v>&gt;3</v>
      </c>
      <c r="AQ30" t="str">
        <f t="shared" si="15"/>
        <v>&gt;3</v>
      </c>
    </row>
    <row r="31" spans="1:43" x14ac:dyDescent="0.3">
      <c r="A31" t="s">
        <v>95</v>
      </c>
      <c r="B31" t="s">
        <v>96</v>
      </c>
      <c r="C31" t="s">
        <v>97</v>
      </c>
      <c r="D31">
        <v>1231</v>
      </c>
      <c r="E31">
        <v>23120003</v>
      </c>
      <c r="F31" t="s">
        <v>98</v>
      </c>
      <c r="G31" t="s">
        <v>99</v>
      </c>
      <c r="H31">
        <v>75</v>
      </c>
      <c r="I31">
        <v>820</v>
      </c>
      <c r="J31">
        <v>4987650</v>
      </c>
      <c r="K31" s="7" t="str">
        <f>IFERROR(IF(B31&lt;&gt;"", TEXT(VLOOKUP(B31, 'Expected Date'!A:B, 2, FALSE) + DATE(RIGHT(C31,2),MID(C31,4,2),LEFT(C31,2)), "dd/mm/yy"), ""), "")</f>
        <v>10/06/23</v>
      </c>
      <c r="L31" t="s">
        <v>38</v>
      </c>
      <c r="M31" t="s">
        <v>101</v>
      </c>
      <c r="N31" t="s">
        <v>102</v>
      </c>
      <c r="O31" t="s">
        <v>103</v>
      </c>
      <c r="P31">
        <v>23191040</v>
      </c>
      <c r="Q31" t="s">
        <v>98</v>
      </c>
      <c r="R31" t="s">
        <v>99</v>
      </c>
      <c r="S31">
        <v>78.995999999999995</v>
      </c>
      <c r="T31">
        <v>820</v>
      </c>
      <c r="U31">
        <v>5324646.38</v>
      </c>
      <c r="V31" t="str">
        <f t="shared" si="16"/>
        <v>Hyderabad</v>
      </c>
      <c r="W31" t="str">
        <f>VLOOKUP(B31, Currency!A:B, 2, FALSE)</f>
        <v>USD</v>
      </c>
      <c r="X31" t="str">
        <f t="shared" si="16"/>
        <v>Accepted</v>
      </c>
      <c r="Y31">
        <f>IFERROR(VLOOKUP(N31, Payment_Terms!A:B, 2, FALSE), "Payment term not found!")</f>
        <v>60</v>
      </c>
      <c r="Z31" t="str">
        <f>IFERROR(VLOOKUP(R31, Item_Category!A:B, 2, FALSE), "Uncategorized")</f>
        <v>Wood pulp</v>
      </c>
      <c r="AA31" s="5">
        <f t="shared" si="3"/>
        <v>0</v>
      </c>
      <c r="AB31">
        <f t="shared" si="4"/>
        <v>5</v>
      </c>
      <c r="AC31" s="10">
        <f t="shared" si="5"/>
        <v>88</v>
      </c>
      <c r="AD31">
        <f t="shared" si="6"/>
        <v>1</v>
      </c>
      <c r="AE31" s="10">
        <f t="shared" si="7"/>
        <v>148</v>
      </c>
      <c r="AF31" s="5">
        <f t="shared" si="0"/>
        <v>1</v>
      </c>
      <c r="AG31" s="5">
        <f t="shared" si="1"/>
        <v>1</v>
      </c>
      <c r="AH31" s="5">
        <f t="shared" si="8"/>
        <v>0</v>
      </c>
      <c r="AI31">
        <f>IF(B31&lt;&gt;"", COUNTIFS($B$2:B31, B31), "")</f>
        <v>1</v>
      </c>
      <c r="AJ31">
        <f t="shared" si="9"/>
        <v>5</v>
      </c>
      <c r="AK31">
        <f t="shared" si="2"/>
        <v>4</v>
      </c>
      <c r="AL31">
        <f t="shared" si="10"/>
        <v>4</v>
      </c>
      <c r="AM31" t="str">
        <f t="shared" si="11"/>
        <v>April</v>
      </c>
      <c r="AN31">
        <f t="shared" si="12"/>
        <v>2023</v>
      </c>
      <c r="AO31" t="str">
        <f t="shared" si="13"/>
        <v>&gt;3</v>
      </c>
      <c r="AP31" t="str">
        <f t="shared" si="14"/>
        <v>&gt;3</v>
      </c>
      <c r="AQ31" t="str">
        <f t="shared" si="15"/>
        <v>&lt;=3</v>
      </c>
    </row>
    <row r="32" spans="1:43" x14ac:dyDescent="0.3">
      <c r="A32" t="s">
        <v>33</v>
      </c>
      <c r="B32" t="s">
        <v>34</v>
      </c>
      <c r="C32" t="s">
        <v>105</v>
      </c>
      <c r="D32">
        <v>4032</v>
      </c>
      <c r="E32">
        <v>23120110</v>
      </c>
      <c r="F32" t="s">
        <v>92</v>
      </c>
      <c r="G32" t="s">
        <v>93</v>
      </c>
      <c r="H32">
        <v>5000</v>
      </c>
      <c r="I32">
        <v>33.75</v>
      </c>
      <c r="J32">
        <v>168750</v>
      </c>
      <c r="K32" s="7" t="str">
        <f>IFERROR(IF(B32&lt;&gt;"", TEXT(VLOOKUP(B32, 'Expected Date'!A:B, 2, FALSE) + DATE(RIGHT(C32,2),MID(C32,4,2),LEFT(C32,2)), "dd/mm/yy"), ""), "")</f>
        <v>04/09/23</v>
      </c>
      <c r="L32" t="s">
        <v>38</v>
      </c>
      <c r="M32" t="s">
        <v>39</v>
      </c>
      <c r="N32" t="s">
        <v>40</v>
      </c>
      <c r="O32" t="s">
        <v>106</v>
      </c>
      <c r="P32">
        <v>23191045</v>
      </c>
      <c r="Q32" t="s">
        <v>92</v>
      </c>
      <c r="R32" t="s">
        <v>93</v>
      </c>
      <c r="S32">
        <v>5160</v>
      </c>
      <c r="T32">
        <v>33.75</v>
      </c>
      <c r="U32">
        <v>174150</v>
      </c>
      <c r="V32" t="str">
        <f t="shared" si="16"/>
        <v>Hyderabad</v>
      </c>
      <c r="W32" t="str">
        <f>VLOOKUP(B32, Currency!A:B, 2, FALSE)</f>
        <v>INR</v>
      </c>
      <c r="X32" t="str">
        <f t="shared" si="16"/>
        <v>Accepted</v>
      </c>
      <c r="Y32">
        <f>IFERROR(VLOOKUP(N32, Payment_Terms!A:B, 2, FALSE), "Payment term not found!")</f>
        <v>30</v>
      </c>
      <c r="Z32" t="str">
        <f>IFERROR(VLOOKUP(R32, Item_Category!A:B, 2, FALSE), "Uncategorized")</f>
        <v>Bags</v>
      </c>
      <c r="AA32" s="5">
        <f t="shared" si="3"/>
        <v>0</v>
      </c>
      <c r="AB32">
        <f t="shared" si="4"/>
        <v>5</v>
      </c>
      <c r="AC32" s="10">
        <f t="shared" si="5"/>
        <v>5</v>
      </c>
      <c r="AD32">
        <f t="shared" si="6"/>
        <v>3</v>
      </c>
      <c r="AE32" s="10">
        <f t="shared" si="7"/>
        <v>15</v>
      </c>
      <c r="AF32" s="5">
        <f t="shared" si="0"/>
        <v>1</v>
      </c>
      <c r="AG32" s="5">
        <f t="shared" si="1"/>
        <v>1</v>
      </c>
      <c r="AH32" s="5">
        <f t="shared" si="8"/>
        <v>0</v>
      </c>
      <c r="AI32">
        <f>IF(B32&lt;&gt;"", COUNTIFS($B$2:B32, B32), "")</f>
        <v>4</v>
      </c>
      <c r="AJ32">
        <f t="shared" si="9"/>
        <v>5</v>
      </c>
      <c r="AK32">
        <f t="shared" si="2"/>
        <v>5</v>
      </c>
      <c r="AL32">
        <f t="shared" si="10"/>
        <v>8</v>
      </c>
      <c r="AM32" t="str">
        <f t="shared" si="11"/>
        <v>August</v>
      </c>
      <c r="AN32">
        <f t="shared" si="12"/>
        <v>2023</v>
      </c>
      <c r="AO32" t="str">
        <f t="shared" si="13"/>
        <v>&gt;3</v>
      </c>
      <c r="AP32" t="str">
        <f t="shared" si="14"/>
        <v>&gt;3</v>
      </c>
      <c r="AQ32" t="str">
        <f t="shared" si="15"/>
        <v>&lt;=3</v>
      </c>
    </row>
    <row r="33" spans="1:43" x14ac:dyDescent="0.3">
      <c r="A33" t="s">
        <v>33</v>
      </c>
      <c r="B33" t="s">
        <v>107</v>
      </c>
      <c r="C33" t="s">
        <v>108</v>
      </c>
      <c r="D33">
        <v>1804</v>
      </c>
      <c r="E33">
        <v>23120020</v>
      </c>
      <c r="F33" t="s">
        <v>92</v>
      </c>
      <c r="G33" t="s">
        <v>93</v>
      </c>
      <c r="H33">
        <v>12000</v>
      </c>
      <c r="I33">
        <v>33.799999999999997</v>
      </c>
      <c r="J33">
        <v>405600</v>
      </c>
      <c r="K33" s="7" t="str">
        <f>IFERROR(IF(B33&lt;&gt;"", TEXT(VLOOKUP(B33, 'Expected Date'!A:B, 2, FALSE) + DATE(RIGHT(C33,2),MID(C33,4,2),LEFT(C33,2)), "dd/mm/yy"), ""), "")</f>
        <v>20/05/23</v>
      </c>
      <c r="L33" t="s">
        <v>68</v>
      </c>
      <c r="M33" t="s">
        <v>39</v>
      </c>
      <c r="N33" t="s">
        <v>109</v>
      </c>
      <c r="O33" t="s">
        <v>110</v>
      </c>
      <c r="P33">
        <v>23190377</v>
      </c>
      <c r="Q33" t="s">
        <v>92</v>
      </c>
      <c r="R33" t="s">
        <v>93</v>
      </c>
      <c r="S33">
        <v>5677</v>
      </c>
      <c r="T33">
        <v>33.799999999999997</v>
      </c>
      <c r="U33">
        <v>191882.6</v>
      </c>
      <c r="V33" t="str">
        <f t="shared" si="16"/>
        <v>Hyderabad</v>
      </c>
      <c r="W33" t="str">
        <f>VLOOKUP(B33, Currency!A:B, 2, FALSE)</f>
        <v>INR</v>
      </c>
      <c r="X33" t="str">
        <f t="shared" si="16"/>
        <v>Accepted</v>
      </c>
      <c r="Y33">
        <f>IFERROR(VLOOKUP(N33, Payment_Terms!A:B, 2, FALSE), "Payment term not found!")</f>
        <v>0</v>
      </c>
      <c r="Z33" t="str">
        <f>IFERROR(VLOOKUP(R33, Item_Category!A:B, 2, FALSE), "Uncategorized")</f>
        <v>Bags</v>
      </c>
      <c r="AA33" s="5">
        <f t="shared" si="3"/>
        <v>0.10591666666666667</v>
      </c>
      <c r="AB33">
        <f t="shared" si="4"/>
        <v>1</v>
      </c>
      <c r="AC33" s="10">
        <f t="shared" si="5"/>
        <v>11</v>
      </c>
      <c r="AD33">
        <f t="shared" si="6"/>
        <v>1</v>
      </c>
      <c r="AE33" s="10">
        <f t="shared" si="7"/>
        <v>21</v>
      </c>
      <c r="AF33" s="5">
        <f t="shared" si="0"/>
        <v>1</v>
      </c>
      <c r="AG33" s="5">
        <f t="shared" si="1"/>
        <v>1</v>
      </c>
      <c r="AH33" s="5">
        <f t="shared" si="8"/>
        <v>0</v>
      </c>
      <c r="AI33">
        <f>IF(B33&lt;&gt;"", COUNTIFS($B$2:B33, B33), "")</f>
        <v>1</v>
      </c>
      <c r="AJ33">
        <f t="shared" si="9"/>
        <v>5</v>
      </c>
      <c r="AK33">
        <f t="shared" si="2"/>
        <v>3</v>
      </c>
      <c r="AL33">
        <f t="shared" si="10"/>
        <v>5</v>
      </c>
      <c r="AM33" t="str">
        <f t="shared" si="11"/>
        <v>May</v>
      </c>
      <c r="AN33">
        <f t="shared" si="12"/>
        <v>2023</v>
      </c>
      <c r="AO33" t="str">
        <f t="shared" si="13"/>
        <v>&gt;3</v>
      </c>
      <c r="AP33" t="str">
        <f t="shared" si="14"/>
        <v>&lt;=3</v>
      </c>
      <c r="AQ33" t="str">
        <f t="shared" si="15"/>
        <v>&lt;=3</v>
      </c>
    </row>
    <row r="34" spans="1:43" x14ac:dyDescent="0.3">
      <c r="A34" t="s">
        <v>111</v>
      </c>
      <c r="B34" t="s">
        <v>112</v>
      </c>
      <c r="C34" t="s">
        <v>88</v>
      </c>
      <c r="D34">
        <v>2818</v>
      </c>
      <c r="E34">
        <v>23120079</v>
      </c>
      <c r="F34" t="s">
        <v>113</v>
      </c>
      <c r="G34" t="s">
        <v>114</v>
      </c>
      <c r="H34">
        <v>3000</v>
      </c>
      <c r="I34">
        <v>25</v>
      </c>
      <c r="J34">
        <v>75000</v>
      </c>
      <c r="K34" s="7" t="str">
        <f>IFERROR(IF(B34&lt;&gt;"", TEXT(VLOOKUP(B34, 'Expected Date'!A:B, 2, FALSE) + DATE(RIGHT(C34,2),MID(C34,4,2),LEFT(C34,2)), "dd/mm/yy"), ""), "")</f>
        <v>19/07/23</v>
      </c>
      <c r="L34" t="s">
        <v>38</v>
      </c>
      <c r="M34" t="s">
        <v>48</v>
      </c>
      <c r="N34" t="s">
        <v>115</v>
      </c>
      <c r="O34" t="s">
        <v>116</v>
      </c>
      <c r="P34">
        <v>23190715</v>
      </c>
      <c r="Q34" t="s">
        <v>113</v>
      </c>
      <c r="R34" t="s">
        <v>114</v>
      </c>
      <c r="S34">
        <v>3000</v>
      </c>
      <c r="T34">
        <v>25</v>
      </c>
      <c r="U34">
        <v>75000</v>
      </c>
      <c r="V34" t="str">
        <f t="shared" si="16"/>
        <v>Hyderabad</v>
      </c>
      <c r="W34" t="str">
        <f>VLOOKUP(B34, Currency!A:B, 2, FALSE)</f>
        <v>INR</v>
      </c>
      <c r="X34" t="str">
        <f t="shared" si="16"/>
        <v>Accepted</v>
      </c>
      <c r="Y34">
        <f>IFERROR(VLOOKUP(N34, Payment_Terms!A:B, 2, FALSE), "Payment term not found!")</f>
        <v>30</v>
      </c>
      <c r="Z34" t="str">
        <f>IFERROR(VLOOKUP(R34, Item_Category!A:B, 2, FALSE), "Uncategorized")</f>
        <v>Talc</v>
      </c>
      <c r="AA34" s="5">
        <f t="shared" si="3"/>
        <v>0</v>
      </c>
      <c r="AB34">
        <f t="shared" si="4"/>
        <v>5</v>
      </c>
      <c r="AC34" s="10">
        <f t="shared" si="5"/>
        <v>-1</v>
      </c>
      <c r="AD34">
        <f t="shared" si="6"/>
        <v>5</v>
      </c>
      <c r="AE34" s="10">
        <f t="shared" si="7"/>
        <v>14</v>
      </c>
      <c r="AF34" s="5">
        <f t="shared" si="0"/>
        <v>1</v>
      </c>
      <c r="AG34" s="5">
        <f t="shared" si="1"/>
        <v>0.56000000000000005</v>
      </c>
      <c r="AH34" s="5">
        <f t="shared" si="8"/>
        <v>0.44</v>
      </c>
      <c r="AI34">
        <f>IF(B34&lt;&gt;"", COUNTIFS($B$2:B34, B34), "")</f>
        <v>1</v>
      </c>
      <c r="AJ34">
        <f t="shared" si="9"/>
        <v>1</v>
      </c>
      <c r="AK34">
        <f t="shared" si="2"/>
        <v>4</v>
      </c>
      <c r="AL34">
        <f t="shared" si="10"/>
        <v>7</v>
      </c>
      <c r="AM34" t="str">
        <f t="shared" si="11"/>
        <v>July</v>
      </c>
      <c r="AN34">
        <f t="shared" si="12"/>
        <v>2023</v>
      </c>
      <c r="AO34" t="str">
        <f t="shared" si="13"/>
        <v>&lt;=3</v>
      </c>
      <c r="AP34" t="str">
        <f t="shared" si="14"/>
        <v>&gt;3</v>
      </c>
      <c r="AQ34" t="str">
        <f t="shared" si="15"/>
        <v>&gt;3</v>
      </c>
    </row>
    <row r="35" spans="1:43" x14ac:dyDescent="0.3">
      <c r="A35" t="s">
        <v>33</v>
      </c>
      <c r="B35" t="s">
        <v>107</v>
      </c>
      <c r="C35" t="s">
        <v>117</v>
      </c>
      <c r="D35">
        <v>2899</v>
      </c>
      <c r="E35">
        <v>23120083</v>
      </c>
      <c r="F35" t="s">
        <v>118</v>
      </c>
      <c r="G35" t="s">
        <v>119</v>
      </c>
      <c r="H35">
        <v>6000</v>
      </c>
      <c r="I35">
        <v>33.25</v>
      </c>
      <c r="J35">
        <v>199500</v>
      </c>
      <c r="K35" s="7" t="str">
        <f>IFERROR(IF(B35&lt;&gt;"", TEXT(VLOOKUP(B35, 'Expected Date'!A:B, 2, FALSE) + DATE(RIGHT(C35,2),MID(C35,4,2),LEFT(C35,2)), "dd/mm/yy"), ""), "")</f>
        <v>17/07/23</v>
      </c>
      <c r="L35" t="s">
        <v>38</v>
      </c>
      <c r="M35" t="s">
        <v>39</v>
      </c>
      <c r="N35" t="s">
        <v>109</v>
      </c>
      <c r="O35" t="s">
        <v>52</v>
      </c>
      <c r="P35">
        <v>23190856</v>
      </c>
      <c r="Q35" t="s">
        <v>118</v>
      </c>
      <c r="R35" t="s">
        <v>119</v>
      </c>
      <c r="S35">
        <v>4028</v>
      </c>
      <c r="T35">
        <v>33.25</v>
      </c>
      <c r="U35">
        <v>133931</v>
      </c>
      <c r="V35" t="str">
        <f t="shared" si="16"/>
        <v>Hyderabad</v>
      </c>
      <c r="W35" t="str">
        <f>VLOOKUP(B35, Currency!A:B, 2, FALSE)</f>
        <v>INR</v>
      </c>
      <c r="X35" t="str">
        <f t="shared" si="16"/>
        <v>Accepted</v>
      </c>
      <c r="Y35">
        <f>IFERROR(VLOOKUP(N35, Payment_Terms!A:B, 2, FALSE), "Payment term not found!")</f>
        <v>0</v>
      </c>
      <c r="Z35" t="str">
        <f>IFERROR(VLOOKUP(R35, Item_Category!A:B, 2, FALSE), "Uncategorized")</f>
        <v>Bags</v>
      </c>
      <c r="AA35" s="5">
        <f t="shared" si="3"/>
        <v>0</v>
      </c>
      <c r="AB35">
        <f t="shared" si="4"/>
        <v>5</v>
      </c>
      <c r="AC35" s="10">
        <f t="shared" si="5"/>
        <v>30</v>
      </c>
      <c r="AD35">
        <f t="shared" si="6"/>
        <v>1</v>
      </c>
      <c r="AE35" s="10">
        <f t="shared" si="7"/>
        <v>40</v>
      </c>
      <c r="AF35" s="5">
        <f t="shared" si="0"/>
        <v>1</v>
      </c>
      <c r="AG35" s="5">
        <f t="shared" si="1"/>
        <v>1</v>
      </c>
      <c r="AH35" s="5">
        <f t="shared" si="8"/>
        <v>0</v>
      </c>
      <c r="AI35">
        <f>IF(B35&lt;&gt;"", COUNTIFS($B$2:B35, B35), "")</f>
        <v>2</v>
      </c>
      <c r="AJ35">
        <f t="shared" si="9"/>
        <v>5</v>
      </c>
      <c r="AK35">
        <f t="shared" si="2"/>
        <v>4</v>
      </c>
      <c r="AL35">
        <f t="shared" si="10"/>
        <v>7</v>
      </c>
      <c r="AM35" t="str">
        <f t="shared" si="11"/>
        <v>July</v>
      </c>
      <c r="AN35">
        <f t="shared" si="12"/>
        <v>2023</v>
      </c>
      <c r="AO35" t="str">
        <f t="shared" si="13"/>
        <v>&gt;3</v>
      </c>
      <c r="AP35" t="str">
        <f t="shared" si="14"/>
        <v>&gt;3</v>
      </c>
      <c r="AQ35" t="str">
        <f t="shared" si="15"/>
        <v>&lt;=3</v>
      </c>
    </row>
    <row r="36" spans="1:43" x14ac:dyDescent="0.3">
      <c r="A36" t="s">
        <v>33</v>
      </c>
      <c r="B36" t="s">
        <v>51</v>
      </c>
      <c r="C36" t="s">
        <v>52</v>
      </c>
      <c r="D36">
        <v>3768</v>
      </c>
      <c r="E36">
        <v>23120100</v>
      </c>
      <c r="F36" t="s">
        <v>61</v>
      </c>
      <c r="G36" t="s">
        <v>62</v>
      </c>
      <c r="H36">
        <v>142</v>
      </c>
      <c r="I36">
        <v>6288.5</v>
      </c>
      <c r="J36">
        <v>892967</v>
      </c>
      <c r="K36" s="7" t="str">
        <f>IFERROR(IF(B36&lt;&gt;"", TEXT(VLOOKUP(B36, 'Expected Date'!A:B, 2, FALSE) + DATE(RIGHT(C36,2),MID(C36,4,2),LEFT(C36,2)), "dd/mm/yy"), ""), "")</f>
        <v>05/09/23</v>
      </c>
      <c r="L36" t="s">
        <v>38</v>
      </c>
      <c r="M36" t="s">
        <v>48</v>
      </c>
      <c r="N36" t="s">
        <v>55</v>
      </c>
      <c r="O36" t="s">
        <v>121</v>
      </c>
      <c r="P36">
        <v>23190870</v>
      </c>
      <c r="Q36" t="s">
        <v>61</v>
      </c>
      <c r="R36" t="s">
        <v>62</v>
      </c>
      <c r="S36">
        <v>20</v>
      </c>
      <c r="T36">
        <v>6288.5</v>
      </c>
      <c r="U36">
        <v>125770</v>
      </c>
      <c r="V36" t="str">
        <f t="shared" si="16"/>
        <v>Hyderabad</v>
      </c>
      <c r="W36" t="str">
        <f>VLOOKUP(B36, Currency!A:B, 2, FALSE)</f>
        <v>INR</v>
      </c>
      <c r="X36" t="str">
        <f t="shared" si="16"/>
        <v>Accepted</v>
      </c>
      <c r="Y36">
        <f>IFERROR(VLOOKUP(N36, Payment_Terms!A:B, 2, FALSE), "Payment term not found!")</f>
        <v>0</v>
      </c>
      <c r="Z36" t="str">
        <f>IFERROR(VLOOKUP(R36, Item_Category!A:B, 2, FALSE), "Uncategorized")</f>
        <v>Coal materials</v>
      </c>
      <c r="AA36" s="5">
        <f t="shared" si="3"/>
        <v>0</v>
      </c>
      <c r="AB36">
        <f t="shared" si="4"/>
        <v>5</v>
      </c>
      <c r="AC36" s="10">
        <f t="shared" si="5"/>
        <v>-26</v>
      </c>
      <c r="AD36">
        <f t="shared" si="6"/>
        <v>5</v>
      </c>
      <c r="AE36" s="10">
        <f t="shared" si="7"/>
        <v>6</v>
      </c>
      <c r="AF36" s="5">
        <f t="shared" si="0"/>
        <v>1</v>
      </c>
      <c r="AG36" s="5">
        <f t="shared" si="1"/>
        <v>1</v>
      </c>
      <c r="AH36" s="5">
        <f t="shared" si="8"/>
        <v>0</v>
      </c>
      <c r="AI36">
        <f>IF(B36&lt;&gt;"", COUNTIFS($B$2:B36, B36), "")</f>
        <v>21</v>
      </c>
      <c r="AJ36">
        <f t="shared" si="9"/>
        <v>5</v>
      </c>
      <c r="AK36">
        <f t="shared" si="2"/>
        <v>5</v>
      </c>
      <c r="AL36">
        <f t="shared" si="10"/>
        <v>8</v>
      </c>
      <c r="AM36" t="str">
        <f t="shared" si="11"/>
        <v>August</v>
      </c>
      <c r="AN36">
        <f t="shared" si="12"/>
        <v>2023</v>
      </c>
      <c r="AO36" t="str">
        <f t="shared" si="13"/>
        <v>&gt;3</v>
      </c>
      <c r="AP36" t="str">
        <f t="shared" si="14"/>
        <v>&gt;3</v>
      </c>
      <c r="AQ36" t="str">
        <f t="shared" si="15"/>
        <v>&gt;3</v>
      </c>
    </row>
    <row r="37" spans="1:43" x14ac:dyDescent="0.3">
      <c r="A37" t="s">
        <v>33</v>
      </c>
      <c r="B37" t="s">
        <v>51</v>
      </c>
      <c r="C37" t="s">
        <v>52</v>
      </c>
      <c r="D37">
        <v>3768</v>
      </c>
      <c r="E37">
        <v>23120100</v>
      </c>
      <c r="F37" t="s">
        <v>61</v>
      </c>
      <c r="G37" t="s">
        <v>62</v>
      </c>
      <c r="H37">
        <v>142</v>
      </c>
      <c r="I37">
        <v>6288.5</v>
      </c>
      <c r="J37">
        <v>892967</v>
      </c>
      <c r="K37" s="7" t="str">
        <f>IFERROR(IF(B37&lt;&gt;"", TEXT(VLOOKUP(B37, 'Expected Date'!A:B, 2, FALSE) + DATE(RIGHT(C37,2),MID(C37,4,2),LEFT(C37,2)), "dd/mm/yy"), ""), "")</f>
        <v>05/09/23</v>
      </c>
      <c r="L37" t="s">
        <v>38</v>
      </c>
      <c r="M37" t="s">
        <v>48</v>
      </c>
      <c r="N37" t="s">
        <v>55</v>
      </c>
      <c r="O37" t="s">
        <v>74</v>
      </c>
      <c r="P37">
        <v>23190873</v>
      </c>
      <c r="Q37" t="s">
        <v>61</v>
      </c>
      <c r="R37" t="s">
        <v>62</v>
      </c>
      <c r="S37">
        <v>21</v>
      </c>
      <c r="T37">
        <v>6288.5</v>
      </c>
      <c r="U37">
        <v>132058.5</v>
      </c>
      <c r="V37" t="str">
        <f t="shared" si="16"/>
        <v>Hyderabad</v>
      </c>
      <c r="W37" t="str">
        <f>VLOOKUP(B37, Currency!A:B, 2, FALSE)</f>
        <v>INR</v>
      </c>
      <c r="X37" t="str">
        <f t="shared" si="16"/>
        <v>Accepted</v>
      </c>
      <c r="Y37">
        <f>IFERROR(VLOOKUP(N37, Payment_Terms!A:B, 2, FALSE), "Payment term not found!")</f>
        <v>0</v>
      </c>
      <c r="Z37" t="str">
        <f>IFERROR(VLOOKUP(R37, Item_Category!A:B, 2, FALSE), "Uncategorized")</f>
        <v>Coal materials</v>
      </c>
      <c r="AA37" s="5">
        <f t="shared" si="3"/>
        <v>0</v>
      </c>
      <c r="AB37">
        <f t="shared" si="4"/>
        <v>5</v>
      </c>
      <c r="AC37" s="10">
        <f t="shared" si="5"/>
        <v>-25</v>
      </c>
      <c r="AD37">
        <f t="shared" si="6"/>
        <v>5</v>
      </c>
      <c r="AE37" s="10">
        <f t="shared" si="7"/>
        <v>5</v>
      </c>
      <c r="AF37" s="5">
        <f t="shared" si="0"/>
        <v>1</v>
      </c>
      <c r="AG37" s="5">
        <f t="shared" si="1"/>
        <v>1</v>
      </c>
      <c r="AH37" s="5">
        <f t="shared" si="8"/>
        <v>0</v>
      </c>
      <c r="AI37">
        <f>IF(B37&lt;&gt;"", COUNTIFS($B$2:B37, B37), "")</f>
        <v>22</v>
      </c>
      <c r="AJ37">
        <f t="shared" si="9"/>
        <v>5</v>
      </c>
      <c r="AK37">
        <f t="shared" si="2"/>
        <v>5</v>
      </c>
      <c r="AL37">
        <f t="shared" si="10"/>
        <v>8</v>
      </c>
      <c r="AM37" t="str">
        <f t="shared" si="11"/>
        <v>August</v>
      </c>
      <c r="AN37">
        <f t="shared" si="12"/>
        <v>2023</v>
      </c>
      <c r="AO37" t="str">
        <f t="shared" si="13"/>
        <v>&gt;3</v>
      </c>
      <c r="AP37" t="str">
        <f t="shared" si="14"/>
        <v>&gt;3</v>
      </c>
      <c r="AQ37" t="str">
        <f t="shared" si="15"/>
        <v>&gt;3</v>
      </c>
    </row>
    <row r="38" spans="1:43" x14ac:dyDescent="0.3">
      <c r="A38" t="s">
        <v>33</v>
      </c>
      <c r="B38" t="s">
        <v>122</v>
      </c>
      <c r="C38" t="s">
        <v>65</v>
      </c>
      <c r="D38">
        <v>1393</v>
      </c>
      <c r="E38">
        <v>23120007</v>
      </c>
      <c r="F38" t="s">
        <v>75</v>
      </c>
      <c r="G38" t="s">
        <v>76</v>
      </c>
      <c r="H38">
        <v>444</v>
      </c>
      <c r="I38">
        <v>1011.19</v>
      </c>
      <c r="J38">
        <v>448968.36</v>
      </c>
      <c r="K38" s="7" t="str">
        <f>IFERROR(IF(B38&lt;&gt;"", TEXT(VLOOKUP(B38, 'Expected Date'!A:B, 2, FALSE) + DATE(RIGHT(C38,2),MID(C38,4,2),LEFT(C38,2)), "dd/mm/yy"), ""), "")</f>
        <v>04/05/23</v>
      </c>
      <c r="L38" t="s">
        <v>38</v>
      </c>
      <c r="M38" t="s">
        <v>39</v>
      </c>
      <c r="N38" t="s">
        <v>123</v>
      </c>
      <c r="O38" t="s">
        <v>124</v>
      </c>
      <c r="P38">
        <v>23190104</v>
      </c>
      <c r="Q38" t="s">
        <v>75</v>
      </c>
      <c r="R38" t="s">
        <v>76</v>
      </c>
      <c r="S38">
        <v>444</v>
      </c>
      <c r="T38">
        <v>1011.19</v>
      </c>
      <c r="U38">
        <v>448968.36</v>
      </c>
      <c r="V38" t="str">
        <f t="shared" si="16"/>
        <v>Hyderabad</v>
      </c>
      <c r="W38" t="str">
        <f>VLOOKUP(B38, Currency!A:B, 2, FALSE)</f>
        <v>INR</v>
      </c>
      <c r="X38" t="str">
        <f t="shared" si="16"/>
        <v>Accepted</v>
      </c>
      <c r="Y38">
        <f>IFERROR(VLOOKUP(N38, Payment_Terms!A:B, 2, FALSE), "Payment term not found!")</f>
        <v>0</v>
      </c>
      <c r="Z38" t="str">
        <f>IFERROR(VLOOKUP(R38, Item_Category!A:B, 2, FALSE), "Uncategorized")</f>
        <v>Pallets</v>
      </c>
      <c r="AA38" s="5">
        <f t="shared" si="3"/>
        <v>0</v>
      </c>
      <c r="AB38">
        <f t="shared" si="4"/>
        <v>5</v>
      </c>
      <c r="AC38" s="10">
        <f t="shared" si="5"/>
        <v>-16</v>
      </c>
      <c r="AD38">
        <f t="shared" si="6"/>
        <v>5</v>
      </c>
      <c r="AE38" s="10">
        <f t="shared" si="7"/>
        <v>1</v>
      </c>
      <c r="AF38" s="5">
        <f t="shared" si="0"/>
        <v>1</v>
      </c>
      <c r="AG38" s="5">
        <f t="shared" si="1"/>
        <v>1</v>
      </c>
      <c r="AH38" s="5">
        <f t="shared" si="8"/>
        <v>0</v>
      </c>
      <c r="AI38">
        <f>IF(B38&lt;&gt;"", COUNTIFS($B$2:B38, B38), "")</f>
        <v>1</v>
      </c>
      <c r="AJ38">
        <f t="shared" si="9"/>
        <v>5</v>
      </c>
      <c r="AK38">
        <f t="shared" si="2"/>
        <v>5</v>
      </c>
      <c r="AL38">
        <f t="shared" si="10"/>
        <v>4</v>
      </c>
      <c r="AM38" t="str">
        <f t="shared" si="11"/>
        <v>April</v>
      </c>
      <c r="AN38">
        <f t="shared" si="12"/>
        <v>2023</v>
      </c>
      <c r="AO38" t="str">
        <f t="shared" si="13"/>
        <v>&gt;3</v>
      </c>
      <c r="AP38" t="str">
        <f t="shared" si="14"/>
        <v>&gt;3</v>
      </c>
      <c r="AQ38" t="str">
        <f t="shared" si="15"/>
        <v>&gt;3</v>
      </c>
    </row>
    <row r="39" spans="1:43" x14ac:dyDescent="0.3">
      <c r="A39" t="s">
        <v>33</v>
      </c>
      <c r="B39" t="s">
        <v>64</v>
      </c>
      <c r="C39" t="s">
        <v>65</v>
      </c>
      <c r="D39">
        <v>1352</v>
      </c>
      <c r="E39">
        <v>23120006</v>
      </c>
      <c r="F39" t="s">
        <v>125</v>
      </c>
      <c r="G39" t="s">
        <v>126</v>
      </c>
      <c r="H39">
        <v>4000</v>
      </c>
      <c r="I39">
        <v>22.5</v>
      </c>
      <c r="J39">
        <v>90000</v>
      </c>
      <c r="K39" s="7" t="str">
        <f>IFERROR(IF(B39&lt;&gt;"", TEXT(VLOOKUP(B39, 'Expected Date'!A:B, 2, FALSE) + DATE(RIGHT(C39,2),MID(C39,4,2),LEFT(C39,2)), "dd/mm/yy"), ""), "")</f>
        <v>29/04/23</v>
      </c>
      <c r="L39" t="s">
        <v>68</v>
      </c>
      <c r="M39" t="s">
        <v>39</v>
      </c>
      <c r="N39" t="s">
        <v>69</v>
      </c>
      <c r="O39" t="s">
        <v>70</v>
      </c>
      <c r="P39">
        <v>23190106</v>
      </c>
      <c r="Q39" t="s">
        <v>125</v>
      </c>
      <c r="R39" t="s">
        <v>126</v>
      </c>
      <c r="S39">
        <v>3200</v>
      </c>
      <c r="T39">
        <v>22.5</v>
      </c>
      <c r="U39">
        <v>72000</v>
      </c>
      <c r="V39" t="str">
        <f t="shared" si="16"/>
        <v>Hyderabad</v>
      </c>
      <c r="W39" t="str">
        <f>VLOOKUP(B39, Currency!A:B, 2, FALSE)</f>
        <v>INR</v>
      </c>
      <c r="X39" t="str">
        <f t="shared" si="16"/>
        <v>Accepted</v>
      </c>
      <c r="Y39">
        <f>IFERROR(VLOOKUP(N39, Payment_Terms!A:B, 2, FALSE), "Payment term not found!")</f>
        <v>30</v>
      </c>
      <c r="Z39" t="str">
        <f>IFERROR(VLOOKUP(R39, Item_Category!A:B, 2, FALSE), "Uncategorized")</f>
        <v>Bags</v>
      </c>
      <c r="AA39" s="5">
        <f t="shared" si="3"/>
        <v>0.2</v>
      </c>
      <c r="AB39">
        <f t="shared" si="4"/>
        <v>1</v>
      </c>
      <c r="AC39" s="10">
        <f t="shared" si="5"/>
        <v>-5</v>
      </c>
      <c r="AD39">
        <f t="shared" si="6"/>
        <v>5</v>
      </c>
      <c r="AE39" s="10">
        <f t="shared" si="7"/>
        <v>5</v>
      </c>
      <c r="AF39" s="5">
        <f t="shared" si="0"/>
        <v>1</v>
      </c>
      <c r="AG39" s="5">
        <f t="shared" si="1"/>
        <v>1</v>
      </c>
      <c r="AH39" s="5">
        <f t="shared" si="8"/>
        <v>0</v>
      </c>
      <c r="AI39">
        <f>IF(B39&lt;&gt;"", COUNTIFS($B$2:B39, B39), "")</f>
        <v>3</v>
      </c>
      <c r="AJ39">
        <f t="shared" si="9"/>
        <v>5</v>
      </c>
      <c r="AK39">
        <f t="shared" si="2"/>
        <v>4</v>
      </c>
      <c r="AL39">
        <f t="shared" si="10"/>
        <v>4</v>
      </c>
      <c r="AM39" t="str">
        <f t="shared" si="11"/>
        <v>April</v>
      </c>
      <c r="AN39">
        <f t="shared" si="12"/>
        <v>2023</v>
      </c>
      <c r="AO39" t="str">
        <f t="shared" si="13"/>
        <v>&gt;3</v>
      </c>
      <c r="AP39" t="str">
        <f t="shared" si="14"/>
        <v>&lt;=3</v>
      </c>
      <c r="AQ39" t="str">
        <f t="shared" si="15"/>
        <v>&gt;3</v>
      </c>
    </row>
    <row r="40" spans="1:43" x14ac:dyDescent="0.3">
      <c r="A40" t="s">
        <v>33</v>
      </c>
      <c r="B40" t="s">
        <v>73</v>
      </c>
      <c r="C40" t="s">
        <v>108</v>
      </c>
      <c r="D40">
        <v>1808</v>
      </c>
      <c r="E40">
        <v>23120022</v>
      </c>
      <c r="F40" t="s">
        <v>75</v>
      </c>
      <c r="G40" t="s">
        <v>76</v>
      </c>
      <c r="H40">
        <v>1600</v>
      </c>
      <c r="I40">
        <v>900</v>
      </c>
      <c r="J40">
        <v>1440000</v>
      </c>
      <c r="K40" s="7" t="str">
        <f>IFERROR(IF(B40&lt;&gt;"", TEXT(VLOOKUP(B40, 'Expected Date'!A:B, 2, FALSE) + DATE(RIGHT(C40,2),MID(C40,4,2),LEFT(C40,2)), "dd/mm/yy"), ""), "")</f>
        <v>30/05/23</v>
      </c>
      <c r="L40" t="s">
        <v>38</v>
      </c>
      <c r="M40" t="s">
        <v>39</v>
      </c>
      <c r="N40" t="s">
        <v>77</v>
      </c>
      <c r="O40" t="s">
        <v>127</v>
      </c>
      <c r="P40">
        <v>23190767</v>
      </c>
      <c r="Q40" t="s">
        <v>75</v>
      </c>
      <c r="R40" t="s">
        <v>76</v>
      </c>
      <c r="S40">
        <v>400</v>
      </c>
      <c r="T40">
        <v>900</v>
      </c>
      <c r="U40">
        <v>360000</v>
      </c>
      <c r="V40" t="str">
        <f t="shared" si="16"/>
        <v>Hyderabad</v>
      </c>
      <c r="W40" t="str">
        <f>VLOOKUP(B40, Currency!A:B, 2, FALSE)</f>
        <v>INR</v>
      </c>
      <c r="X40" t="str">
        <f t="shared" si="16"/>
        <v>Accepted</v>
      </c>
      <c r="Y40">
        <f>IFERROR(VLOOKUP(N40, Payment_Terms!A:B, 2, FALSE), "Payment term not found!")</f>
        <v>0</v>
      </c>
      <c r="Z40" t="str">
        <f>IFERROR(VLOOKUP(R40, Item_Category!A:B, 2, FALSE), "Uncategorized")</f>
        <v>Pallets</v>
      </c>
      <c r="AA40" s="5">
        <f t="shared" si="3"/>
        <v>0</v>
      </c>
      <c r="AB40">
        <f t="shared" si="4"/>
        <v>5</v>
      </c>
      <c r="AC40" s="10">
        <f t="shared" si="5"/>
        <v>64</v>
      </c>
      <c r="AD40">
        <f t="shared" si="6"/>
        <v>1</v>
      </c>
      <c r="AE40" s="10">
        <f t="shared" si="7"/>
        <v>84</v>
      </c>
      <c r="AF40" s="5">
        <f t="shared" si="0"/>
        <v>1</v>
      </c>
      <c r="AG40" s="5">
        <f t="shared" si="1"/>
        <v>1</v>
      </c>
      <c r="AH40" s="5">
        <f t="shared" si="8"/>
        <v>0</v>
      </c>
      <c r="AI40">
        <f>IF(B40&lt;&gt;"", COUNTIFS($B$2:B40, B40), "")</f>
        <v>3</v>
      </c>
      <c r="AJ40">
        <f t="shared" si="9"/>
        <v>5</v>
      </c>
      <c r="AK40">
        <f t="shared" si="2"/>
        <v>4</v>
      </c>
      <c r="AL40">
        <f t="shared" si="10"/>
        <v>5</v>
      </c>
      <c r="AM40" t="str">
        <f t="shared" si="11"/>
        <v>May</v>
      </c>
      <c r="AN40">
        <f t="shared" si="12"/>
        <v>2023</v>
      </c>
      <c r="AO40" t="str">
        <f t="shared" si="13"/>
        <v>&gt;3</v>
      </c>
      <c r="AP40" t="str">
        <f t="shared" si="14"/>
        <v>&gt;3</v>
      </c>
      <c r="AQ40" t="str">
        <f t="shared" si="15"/>
        <v>&lt;=3</v>
      </c>
    </row>
    <row r="41" spans="1:43" x14ac:dyDescent="0.3">
      <c r="A41" t="s">
        <v>33</v>
      </c>
      <c r="B41" t="s">
        <v>128</v>
      </c>
      <c r="C41" t="s">
        <v>117</v>
      </c>
      <c r="D41">
        <v>2898</v>
      </c>
      <c r="E41">
        <v>23120082</v>
      </c>
      <c r="F41" t="s">
        <v>129</v>
      </c>
      <c r="G41" t="s">
        <v>431</v>
      </c>
      <c r="H41">
        <v>20000</v>
      </c>
      <c r="I41">
        <v>8.4</v>
      </c>
      <c r="J41">
        <v>168000</v>
      </c>
      <c r="K41" s="7" t="str">
        <f>IFERROR(IF(B41&lt;&gt;"", TEXT(VLOOKUP(B41, 'Expected Date'!A:B, 2, FALSE) + DATE(RIGHT(C41,2),MID(C41,4,2),LEFT(C41,2)), "dd/mm/yy"), ""), "")</f>
        <v>17/07/23</v>
      </c>
      <c r="L41" t="s">
        <v>38</v>
      </c>
      <c r="M41" t="s">
        <v>48</v>
      </c>
      <c r="N41" t="s">
        <v>132</v>
      </c>
      <c r="O41" t="s">
        <v>116</v>
      </c>
      <c r="P41">
        <v>23190719</v>
      </c>
      <c r="Q41" t="s">
        <v>129</v>
      </c>
      <c r="R41" t="s">
        <v>431</v>
      </c>
      <c r="S41">
        <v>20000</v>
      </c>
      <c r="T41">
        <v>8.4</v>
      </c>
      <c r="U41">
        <v>168000</v>
      </c>
      <c r="V41" t="str">
        <f t="shared" si="16"/>
        <v>Hyderabad</v>
      </c>
      <c r="W41" t="str">
        <f>VLOOKUP(B41, Currency!A:B, 2, FALSE)</f>
        <v>INR</v>
      </c>
      <c r="X41" t="str">
        <f t="shared" si="16"/>
        <v>Accepted</v>
      </c>
      <c r="Y41">
        <f>IFERROR(VLOOKUP(N41, Payment_Terms!A:B, 2, FALSE), "Payment term not found!")</f>
        <v>0</v>
      </c>
      <c r="Z41" t="str">
        <f>IFERROR(VLOOKUP(R41, Item_Category!A:B, 2, FALSE), "Uncategorized")</f>
        <v>Lime</v>
      </c>
      <c r="AA41" s="5">
        <f t="shared" si="3"/>
        <v>0</v>
      </c>
      <c r="AB41">
        <f t="shared" si="4"/>
        <v>5</v>
      </c>
      <c r="AC41" s="10">
        <f t="shared" si="5"/>
        <v>1</v>
      </c>
      <c r="AD41">
        <f t="shared" si="6"/>
        <v>5</v>
      </c>
      <c r="AE41" s="10">
        <f t="shared" si="7"/>
        <v>11</v>
      </c>
      <c r="AF41" s="5">
        <f t="shared" si="0"/>
        <v>1</v>
      </c>
      <c r="AG41" s="5">
        <f t="shared" si="1"/>
        <v>1</v>
      </c>
      <c r="AH41" s="5">
        <f t="shared" si="8"/>
        <v>0</v>
      </c>
      <c r="AI41">
        <f>IF(B41&lt;&gt;"", COUNTIFS($B$2:B41, B41), "")</f>
        <v>1</v>
      </c>
      <c r="AJ41">
        <f t="shared" si="9"/>
        <v>5</v>
      </c>
      <c r="AK41">
        <f t="shared" si="2"/>
        <v>5</v>
      </c>
      <c r="AL41">
        <f t="shared" si="10"/>
        <v>7</v>
      </c>
      <c r="AM41" t="str">
        <f t="shared" si="11"/>
        <v>July</v>
      </c>
      <c r="AN41">
        <f t="shared" si="12"/>
        <v>2023</v>
      </c>
      <c r="AO41" t="str">
        <f t="shared" si="13"/>
        <v>&gt;3</v>
      </c>
      <c r="AP41" t="str">
        <f t="shared" si="14"/>
        <v>&gt;3</v>
      </c>
      <c r="AQ41" t="str">
        <f t="shared" si="15"/>
        <v>&gt;3</v>
      </c>
    </row>
    <row r="42" spans="1:43" x14ac:dyDescent="0.3">
      <c r="A42" t="s">
        <v>33</v>
      </c>
      <c r="B42" t="s">
        <v>51</v>
      </c>
      <c r="C42" t="s">
        <v>56</v>
      </c>
      <c r="D42">
        <v>3567</v>
      </c>
      <c r="E42">
        <v>23120096</v>
      </c>
      <c r="F42" t="s">
        <v>53</v>
      </c>
      <c r="G42" t="s">
        <v>54</v>
      </c>
      <c r="H42">
        <v>25.46</v>
      </c>
      <c r="I42">
        <v>7412.1710000000003</v>
      </c>
      <c r="J42">
        <v>188713.87</v>
      </c>
      <c r="K42" s="7" t="str">
        <f>IFERROR(IF(B42&lt;&gt;"", TEXT(VLOOKUP(B42, 'Expected Date'!A:B, 2, FALSE) + DATE(RIGHT(C42,2),MID(C42,4,2),LEFT(C42,2)), "dd/mm/yy"), ""), "")</f>
        <v>24/08/23</v>
      </c>
      <c r="L42" t="s">
        <v>38</v>
      </c>
      <c r="M42" t="s">
        <v>48</v>
      </c>
      <c r="N42" t="s">
        <v>55</v>
      </c>
      <c r="O42" t="s">
        <v>116</v>
      </c>
      <c r="P42">
        <v>23190765</v>
      </c>
      <c r="Q42" t="s">
        <v>53</v>
      </c>
      <c r="R42" t="s">
        <v>54</v>
      </c>
      <c r="S42">
        <v>25.46</v>
      </c>
      <c r="T42">
        <v>7412.1710000000003</v>
      </c>
      <c r="U42">
        <v>188713.87</v>
      </c>
      <c r="V42" t="str">
        <f t="shared" si="16"/>
        <v>Hyderabad</v>
      </c>
      <c r="W42" t="str">
        <f>VLOOKUP(B42, Currency!A:B, 2, FALSE)</f>
        <v>INR</v>
      </c>
      <c r="X42" t="str">
        <f t="shared" si="16"/>
        <v>Accepted</v>
      </c>
      <c r="Y42">
        <f>IFERROR(VLOOKUP(N42, Payment_Terms!A:B, 2, FALSE), "Payment term not found!")</f>
        <v>0</v>
      </c>
      <c r="Z42" t="str">
        <f>IFERROR(VLOOKUP(R42, Item_Category!A:B, 2, FALSE), "Uncategorized")</f>
        <v>Coal materials</v>
      </c>
      <c r="AA42" s="5">
        <f t="shared" si="3"/>
        <v>0</v>
      </c>
      <c r="AB42">
        <f t="shared" si="4"/>
        <v>5</v>
      </c>
      <c r="AC42" s="10">
        <f t="shared" si="5"/>
        <v>-37</v>
      </c>
      <c r="AD42">
        <f t="shared" si="6"/>
        <v>5</v>
      </c>
      <c r="AE42" s="10">
        <f t="shared" si="7"/>
        <v>17</v>
      </c>
      <c r="AF42" s="5">
        <f t="shared" si="0"/>
        <v>1</v>
      </c>
      <c r="AG42" s="5">
        <f t="shared" si="1"/>
        <v>1</v>
      </c>
      <c r="AH42" s="5">
        <f t="shared" si="8"/>
        <v>0</v>
      </c>
      <c r="AI42">
        <f>IF(B42&lt;&gt;"", COUNTIFS($B$2:B42, B42), "")</f>
        <v>23</v>
      </c>
      <c r="AJ42">
        <f t="shared" si="9"/>
        <v>5</v>
      </c>
      <c r="AK42">
        <f t="shared" si="2"/>
        <v>5</v>
      </c>
      <c r="AL42">
        <f t="shared" si="10"/>
        <v>8</v>
      </c>
      <c r="AM42" t="str">
        <f t="shared" si="11"/>
        <v>August</v>
      </c>
      <c r="AN42">
        <f t="shared" si="12"/>
        <v>2023</v>
      </c>
      <c r="AO42" t="str">
        <f t="shared" si="13"/>
        <v>&gt;3</v>
      </c>
      <c r="AP42" t="str">
        <f t="shared" si="14"/>
        <v>&gt;3</v>
      </c>
      <c r="AQ42" t="str">
        <f t="shared" si="15"/>
        <v>&gt;3</v>
      </c>
    </row>
    <row r="43" spans="1:43" x14ac:dyDescent="0.3">
      <c r="A43" t="s">
        <v>33</v>
      </c>
      <c r="B43" t="s">
        <v>79</v>
      </c>
      <c r="C43" t="s">
        <v>133</v>
      </c>
      <c r="D43">
        <v>2297</v>
      </c>
      <c r="E43">
        <v>23120038</v>
      </c>
      <c r="F43" t="s">
        <v>81</v>
      </c>
      <c r="G43" t="s">
        <v>82</v>
      </c>
      <c r="H43">
        <v>21000</v>
      </c>
      <c r="I43">
        <v>0.4</v>
      </c>
      <c r="J43">
        <v>8400</v>
      </c>
      <c r="K43" s="7" t="str">
        <f>IFERROR(IF(B43&lt;&gt;"", TEXT(VLOOKUP(B43, 'Expected Date'!A:B, 2, FALSE) + DATE(RIGHT(C43,2),MID(C43,4,2),LEFT(C43,2)), "dd/mm/yy"), ""), "")</f>
        <v>26/06/23</v>
      </c>
      <c r="L43" t="s">
        <v>68</v>
      </c>
      <c r="M43" t="s">
        <v>48</v>
      </c>
      <c r="N43" t="s">
        <v>83</v>
      </c>
      <c r="O43" t="s">
        <v>134</v>
      </c>
      <c r="P43">
        <v>23190519</v>
      </c>
      <c r="Q43" t="s">
        <v>81</v>
      </c>
      <c r="R43" t="s">
        <v>82</v>
      </c>
      <c r="S43">
        <v>19680</v>
      </c>
      <c r="T43">
        <v>0.4</v>
      </c>
      <c r="U43">
        <v>7872</v>
      </c>
      <c r="V43" t="str">
        <f t="shared" si="16"/>
        <v>Hyderabad</v>
      </c>
      <c r="W43" t="str">
        <f>VLOOKUP(B43, Currency!A:B, 2, FALSE)</f>
        <v>INR</v>
      </c>
      <c r="X43" t="str">
        <f t="shared" si="16"/>
        <v>Accepted</v>
      </c>
      <c r="Y43">
        <f>IFERROR(VLOOKUP(N43, Payment_Terms!A:B, 2, FALSE), "Payment term not found!")</f>
        <v>0</v>
      </c>
      <c r="Z43" t="str">
        <f>IFERROR(VLOOKUP(R43, Item_Category!A:B, 2, FALSE), "Uncategorized")</f>
        <v>HCL</v>
      </c>
      <c r="AA43" s="5">
        <f t="shared" si="3"/>
        <v>6.2857142857142861E-2</v>
      </c>
      <c r="AB43">
        <f t="shared" si="4"/>
        <v>2</v>
      </c>
      <c r="AC43" s="10">
        <f t="shared" si="5"/>
        <v>-18</v>
      </c>
      <c r="AD43">
        <f t="shared" si="6"/>
        <v>5</v>
      </c>
      <c r="AE43" s="10">
        <f t="shared" si="7"/>
        <v>2</v>
      </c>
      <c r="AF43" s="5">
        <f t="shared" si="0"/>
        <v>1</v>
      </c>
      <c r="AG43" s="5">
        <f t="shared" si="1"/>
        <v>1</v>
      </c>
      <c r="AH43" s="5">
        <f t="shared" si="8"/>
        <v>0</v>
      </c>
      <c r="AI43">
        <f>IF(B43&lt;&gt;"", COUNTIFS($B$2:B43, B43), "")</f>
        <v>2</v>
      </c>
      <c r="AJ43">
        <f t="shared" si="9"/>
        <v>5</v>
      </c>
      <c r="AK43">
        <f t="shared" si="2"/>
        <v>5</v>
      </c>
      <c r="AL43">
        <f t="shared" si="10"/>
        <v>6</v>
      </c>
      <c r="AM43" t="str">
        <f t="shared" si="11"/>
        <v>June</v>
      </c>
      <c r="AN43">
        <f t="shared" si="12"/>
        <v>2023</v>
      </c>
      <c r="AO43" t="str">
        <f t="shared" si="13"/>
        <v>&gt;3</v>
      </c>
      <c r="AP43" t="str">
        <f t="shared" si="14"/>
        <v>&lt;=3</v>
      </c>
      <c r="AQ43" t="str">
        <f t="shared" si="15"/>
        <v>&gt;3</v>
      </c>
    </row>
    <row r="44" spans="1:43" x14ac:dyDescent="0.3">
      <c r="A44" t="s">
        <v>33</v>
      </c>
      <c r="B44" t="s">
        <v>51</v>
      </c>
      <c r="C44" t="s">
        <v>133</v>
      </c>
      <c r="D44">
        <v>2298</v>
      </c>
      <c r="E44">
        <v>23120039</v>
      </c>
      <c r="F44" t="s">
        <v>135</v>
      </c>
      <c r="G44" t="s">
        <v>136</v>
      </c>
      <c r="H44">
        <v>40</v>
      </c>
      <c r="I44">
        <v>6732.43</v>
      </c>
      <c r="J44">
        <v>269297.2</v>
      </c>
      <c r="K44" s="7" t="str">
        <f>IFERROR(IF(B44&lt;&gt;"", TEXT(VLOOKUP(B44, 'Expected Date'!A:B, 2, FALSE) + DATE(RIGHT(C44,2),MID(C44,4,2),LEFT(C44,2)), "dd/mm/yy"), ""), "")</f>
        <v>26/06/23</v>
      </c>
      <c r="L44" t="s">
        <v>38</v>
      </c>
      <c r="M44" t="s">
        <v>48</v>
      </c>
      <c r="N44" t="s">
        <v>55</v>
      </c>
      <c r="O44" t="s">
        <v>137</v>
      </c>
      <c r="P44">
        <v>23190397</v>
      </c>
      <c r="Q44" t="s">
        <v>135</v>
      </c>
      <c r="R44" t="s">
        <v>136</v>
      </c>
      <c r="S44">
        <v>20</v>
      </c>
      <c r="T44">
        <v>6732.43</v>
      </c>
      <c r="U44">
        <v>134648.6</v>
      </c>
      <c r="V44" t="str">
        <f t="shared" si="16"/>
        <v>Hyderabad</v>
      </c>
      <c r="W44" t="str">
        <f>VLOOKUP(B44, Currency!A:B, 2, FALSE)</f>
        <v>INR</v>
      </c>
      <c r="X44" t="str">
        <f t="shared" si="16"/>
        <v>Accepted</v>
      </c>
      <c r="Y44">
        <f>IFERROR(VLOOKUP(N44, Payment_Terms!A:B, 2, FALSE), "Payment term not found!")</f>
        <v>0</v>
      </c>
      <c r="Z44" t="str">
        <f>IFERROR(VLOOKUP(R44, Item_Category!A:B, 2, FALSE), "Uncategorized")</f>
        <v>Coal materials</v>
      </c>
      <c r="AA44" s="5">
        <f t="shared" si="3"/>
        <v>0</v>
      </c>
      <c r="AB44">
        <f t="shared" si="4"/>
        <v>5</v>
      </c>
      <c r="AC44" s="10">
        <f t="shared" si="5"/>
        <v>-31</v>
      </c>
      <c r="AD44">
        <f t="shared" si="6"/>
        <v>5</v>
      </c>
      <c r="AE44" s="10">
        <f t="shared" si="7"/>
        <v>11</v>
      </c>
      <c r="AF44" s="5">
        <f t="shared" si="0"/>
        <v>1</v>
      </c>
      <c r="AG44" s="5">
        <f t="shared" si="1"/>
        <v>1</v>
      </c>
      <c r="AH44" s="5">
        <f t="shared" si="8"/>
        <v>0</v>
      </c>
      <c r="AI44">
        <f>IF(B44&lt;&gt;"", COUNTIFS($B$2:B44, B44), "")</f>
        <v>24</v>
      </c>
      <c r="AJ44">
        <f t="shared" si="9"/>
        <v>5</v>
      </c>
      <c r="AK44">
        <f t="shared" si="2"/>
        <v>5</v>
      </c>
      <c r="AL44">
        <f t="shared" si="10"/>
        <v>6</v>
      </c>
      <c r="AM44" t="str">
        <f t="shared" si="11"/>
        <v>June</v>
      </c>
      <c r="AN44">
        <f t="shared" si="12"/>
        <v>2023</v>
      </c>
      <c r="AO44" t="str">
        <f t="shared" si="13"/>
        <v>&gt;3</v>
      </c>
      <c r="AP44" t="str">
        <f t="shared" si="14"/>
        <v>&gt;3</v>
      </c>
      <c r="AQ44" t="str">
        <f t="shared" si="15"/>
        <v>&gt;3</v>
      </c>
    </row>
    <row r="45" spans="1:43" x14ac:dyDescent="0.3">
      <c r="A45" t="s">
        <v>33</v>
      </c>
      <c r="B45" t="s">
        <v>51</v>
      </c>
      <c r="C45" t="s">
        <v>133</v>
      </c>
      <c r="D45">
        <v>2298</v>
      </c>
      <c r="E45">
        <v>23120039</v>
      </c>
      <c r="F45" t="s">
        <v>135</v>
      </c>
      <c r="G45" t="s">
        <v>136</v>
      </c>
      <c r="H45">
        <v>40</v>
      </c>
      <c r="I45">
        <v>6732.43</v>
      </c>
      <c r="J45">
        <v>269297.2</v>
      </c>
      <c r="K45" s="7" t="str">
        <f>IFERROR(IF(B45&lt;&gt;"", TEXT(VLOOKUP(B45, 'Expected Date'!A:B, 2, FALSE) + DATE(RIGHT(C45,2),MID(C45,4,2),LEFT(C45,2)), "dd/mm/yy"), ""), "")</f>
        <v>26/06/23</v>
      </c>
      <c r="L45" t="s">
        <v>38</v>
      </c>
      <c r="M45" t="s">
        <v>48</v>
      </c>
      <c r="N45" t="s">
        <v>55</v>
      </c>
      <c r="O45" t="s">
        <v>138</v>
      </c>
      <c r="P45">
        <v>23190398</v>
      </c>
      <c r="Q45" t="s">
        <v>135</v>
      </c>
      <c r="R45" t="s">
        <v>136</v>
      </c>
      <c r="S45">
        <v>20</v>
      </c>
      <c r="T45">
        <v>6732.43</v>
      </c>
      <c r="U45">
        <v>134648.6</v>
      </c>
      <c r="V45" t="str">
        <f t="shared" si="16"/>
        <v>Hyderabad</v>
      </c>
      <c r="W45" t="str">
        <f>VLOOKUP(B45, Currency!A:B, 2, FALSE)</f>
        <v>INR</v>
      </c>
      <c r="X45" t="str">
        <f t="shared" si="16"/>
        <v>Accepted</v>
      </c>
      <c r="Y45">
        <f>IFERROR(VLOOKUP(N45, Payment_Terms!A:B, 2, FALSE), "Payment term not found!")</f>
        <v>0</v>
      </c>
      <c r="Z45" t="str">
        <f>IFERROR(VLOOKUP(R45, Item_Category!A:B, 2, FALSE), "Uncategorized")</f>
        <v>Coal materials</v>
      </c>
      <c r="AA45" s="5">
        <f t="shared" si="3"/>
        <v>0</v>
      </c>
      <c r="AB45">
        <f t="shared" si="4"/>
        <v>5</v>
      </c>
      <c r="AC45" s="10">
        <f t="shared" si="5"/>
        <v>-29</v>
      </c>
      <c r="AD45">
        <f t="shared" si="6"/>
        <v>5</v>
      </c>
      <c r="AE45" s="10">
        <f t="shared" si="7"/>
        <v>9</v>
      </c>
      <c r="AF45" s="5">
        <f t="shared" si="0"/>
        <v>1</v>
      </c>
      <c r="AG45" s="5">
        <f t="shared" si="1"/>
        <v>1</v>
      </c>
      <c r="AH45" s="5">
        <f t="shared" si="8"/>
        <v>0</v>
      </c>
      <c r="AI45">
        <f>IF(B45&lt;&gt;"", COUNTIFS($B$2:B45, B45), "")</f>
        <v>25</v>
      </c>
      <c r="AJ45">
        <f t="shared" si="9"/>
        <v>5</v>
      </c>
      <c r="AK45">
        <f t="shared" si="2"/>
        <v>5</v>
      </c>
      <c r="AL45">
        <f t="shared" si="10"/>
        <v>6</v>
      </c>
      <c r="AM45" t="str">
        <f t="shared" si="11"/>
        <v>June</v>
      </c>
      <c r="AN45">
        <f t="shared" si="12"/>
        <v>2023</v>
      </c>
      <c r="AO45" t="str">
        <f t="shared" si="13"/>
        <v>&gt;3</v>
      </c>
      <c r="AP45" t="str">
        <f t="shared" si="14"/>
        <v>&gt;3</v>
      </c>
      <c r="AQ45" t="str">
        <f t="shared" si="15"/>
        <v>&gt;3</v>
      </c>
    </row>
    <row r="46" spans="1:43" x14ac:dyDescent="0.3">
      <c r="A46" t="s">
        <v>33</v>
      </c>
      <c r="B46" t="s">
        <v>51</v>
      </c>
      <c r="C46" t="s">
        <v>88</v>
      </c>
      <c r="D46">
        <v>2839</v>
      </c>
      <c r="E46">
        <v>23120080</v>
      </c>
      <c r="F46" t="s">
        <v>53</v>
      </c>
      <c r="G46" t="s">
        <v>54</v>
      </c>
      <c r="H46">
        <v>82.13</v>
      </c>
      <c r="I46">
        <v>7412.17</v>
      </c>
      <c r="J46">
        <v>608761.52</v>
      </c>
      <c r="K46" s="7" t="str">
        <f>IFERROR(IF(B46&lt;&gt;"", TEXT(VLOOKUP(B46, 'Expected Date'!A:B, 2, FALSE) + DATE(RIGHT(C46,2),MID(C46,4,2),LEFT(C46,2)), "dd/mm/yy"), ""), "")</f>
        <v>24/07/23</v>
      </c>
      <c r="L46" t="s">
        <v>38</v>
      </c>
      <c r="M46" t="s">
        <v>48</v>
      </c>
      <c r="N46" t="s">
        <v>55</v>
      </c>
      <c r="O46" t="s">
        <v>139</v>
      </c>
      <c r="P46">
        <v>23190578</v>
      </c>
      <c r="Q46" t="s">
        <v>53</v>
      </c>
      <c r="R46" t="s">
        <v>54</v>
      </c>
      <c r="S46">
        <v>30.4</v>
      </c>
      <c r="T46">
        <v>7412.17</v>
      </c>
      <c r="U46">
        <v>225329.97</v>
      </c>
      <c r="V46" t="str">
        <f t="shared" si="16"/>
        <v>Hyderabad</v>
      </c>
      <c r="W46" t="str">
        <f>VLOOKUP(B46, Currency!A:B, 2, FALSE)</f>
        <v>INR</v>
      </c>
      <c r="X46" t="str">
        <f t="shared" si="16"/>
        <v>Accepted</v>
      </c>
      <c r="Y46">
        <f>IFERROR(VLOOKUP(N46, Payment_Terms!A:B, 2, FALSE), "Payment term not found!")</f>
        <v>0</v>
      </c>
      <c r="Z46" t="str">
        <f>IFERROR(VLOOKUP(R46, Item_Category!A:B, 2, FALSE), "Uncategorized")</f>
        <v>Coal materials</v>
      </c>
      <c r="AA46" s="5">
        <f t="shared" si="3"/>
        <v>0</v>
      </c>
      <c r="AB46">
        <f t="shared" si="4"/>
        <v>5</v>
      </c>
      <c r="AC46" s="10">
        <f t="shared" si="5"/>
        <v>-26</v>
      </c>
      <c r="AD46">
        <f t="shared" si="6"/>
        <v>5</v>
      </c>
      <c r="AE46" s="10">
        <f t="shared" si="7"/>
        <v>6</v>
      </c>
      <c r="AF46" s="5">
        <f t="shared" si="0"/>
        <v>1</v>
      </c>
      <c r="AG46" s="5">
        <f t="shared" si="1"/>
        <v>1</v>
      </c>
      <c r="AH46" s="5">
        <f t="shared" si="8"/>
        <v>0</v>
      </c>
      <c r="AI46">
        <f>IF(B46&lt;&gt;"", COUNTIFS($B$2:B46, B46), "")</f>
        <v>26</v>
      </c>
      <c r="AJ46">
        <f t="shared" si="9"/>
        <v>5</v>
      </c>
      <c r="AK46">
        <f t="shared" si="2"/>
        <v>5</v>
      </c>
      <c r="AL46">
        <f t="shared" si="10"/>
        <v>7</v>
      </c>
      <c r="AM46" t="str">
        <f t="shared" si="11"/>
        <v>July</v>
      </c>
      <c r="AN46">
        <f t="shared" si="12"/>
        <v>2023</v>
      </c>
      <c r="AO46" t="str">
        <f t="shared" si="13"/>
        <v>&gt;3</v>
      </c>
      <c r="AP46" t="str">
        <f t="shared" si="14"/>
        <v>&gt;3</v>
      </c>
      <c r="AQ46" t="str">
        <f t="shared" si="15"/>
        <v>&gt;3</v>
      </c>
    </row>
    <row r="47" spans="1:43" x14ac:dyDescent="0.3">
      <c r="A47" t="s">
        <v>95</v>
      </c>
      <c r="B47" t="s">
        <v>140</v>
      </c>
      <c r="C47" t="s">
        <v>141</v>
      </c>
      <c r="D47">
        <v>1712</v>
      </c>
      <c r="E47">
        <v>23120019</v>
      </c>
      <c r="F47" t="s">
        <v>142</v>
      </c>
      <c r="G47" t="s">
        <v>360</v>
      </c>
      <c r="H47">
        <v>125</v>
      </c>
      <c r="I47">
        <v>830</v>
      </c>
      <c r="J47">
        <v>8445250</v>
      </c>
      <c r="K47" s="7" t="str">
        <f>IFERROR(IF(B47&lt;&gt;"", TEXT(VLOOKUP(B47, 'Expected Date'!A:B, 2, FALSE) + DATE(RIGHT(C47,2),MID(C47,4,2),LEFT(C47,2)), "dd/mm/yy"), ""), "")</f>
        <v>22/06/23</v>
      </c>
      <c r="L47" t="s">
        <v>68</v>
      </c>
      <c r="M47" t="str">
        <f>M31</f>
        <v>MT</v>
      </c>
      <c r="N47" t="s">
        <v>144</v>
      </c>
      <c r="O47" t="s">
        <v>145</v>
      </c>
      <c r="P47">
        <v>23190179</v>
      </c>
      <c r="Q47" t="s">
        <v>142</v>
      </c>
      <c r="R47" t="s">
        <v>360</v>
      </c>
      <c r="S47">
        <v>123.074</v>
      </c>
      <c r="T47">
        <v>830</v>
      </c>
      <c r="U47">
        <v>8258942.3099999996</v>
      </c>
      <c r="V47" t="str">
        <f t="shared" si="16"/>
        <v>Hyderabad</v>
      </c>
      <c r="W47" t="str">
        <f>VLOOKUP(B47, Currency!A:B, 2, FALSE)</f>
        <v>USD</v>
      </c>
      <c r="X47" t="str">
        <f t="shared" si="16"/>
        <v>Accepted</v>
      </c>
      <c r="Y47">
        <f>IFERROR(VLOOKUP(N47, Payment_Terms!A:B, 2, FALSE), "Payment term not found!")</f>
        <v>30</v>
      </c>
      <c r="Z47" t="str">
        <f>IFERROR(VLOOKUP(R47, Item_Category!A:B, 2, FALSE), "Uncategorized")</f>
        <v>Wood pulp</v>
      </c>
      <c r="AA47" s="5">
        <f t="shared" si="3"/>
        <v>1.5408000000000015E-2</v>
      </c>
      <c r="AB47">
        <f t="shared" si="4"/>
        <v>4</v>
      </c>
      <c r="AC47" s="10">
        <f t="shared" si="5"/>
        <v>-46</v>
      </c>
      <c r="AD47">
        <f t="shared" si="6"/>
        <v>5</v>
      </c>
      <c r="AE47" s="10">
        <f t="shared" si="7"/>
        <v>1</v>
      </c>
      <c r="AF47" s="5">
        <f t="shared" si="0"/>
        <v>1</v>
      </c>
      <c r="AG47" s="5">
        <f t="shared" si="1"/>
        <v>1</v>
      </c>
      <c r="AH47" s="5">
        <f t="shared" si="8"/>
        <v>0</v>
      </c>
      <c r="AI47">
        <f>IF(B47&lt;&gt;"", COUNTIFS($B$2:B47, B47), "")</f>
        <v>1</v>
      </c>
      <c r="AJ47">
        <f t="shared" si="9"/>
        <v>5</v>
      </c>
      <c r="AK47">
        <f t="shared" si="2"/>
        <v>5</v>
      </c>
      <c r="AL47">
        <f t="shared" si="10"/>
        <v>5</v>
      </c>
      <c r="AM47" t="str">
        <f t="shared" si="11"/>
        <v>May</v>
      </c>
      <c r="AN47">
        <f t="shared" si="12"/>
        <v>2023</v>
      </c>
      <c r="AO47" t="str">
        <f t="shared" si="13"/>
        <v>&gt;3</v>
      </c>
      <c r="AP47" t="str">
        <f t="shared" si="14"/>
        <v>&gt;3</v>
      </c>
      <c r="AQ47" t="str">
        <f t="shared" si="15"/>
        <v>&gt;3</v>
      </c>
    </row>
    <row r="48" spans="1:43" x14ac:dyDescent="0.3">
      <c r="A48" t="str">
        <f>A47</f>
        <v>Woodpulp</v>
      </c>
      <c r="B48" t="s">
        <v>140</v>
      </c>
      <c r="C48" t="s">
        <v>146</v>
      </c>
      <c r="D48">
        <v>1780</v>
      </c>
      <c r="E48">
        <v>23110110</v>
      </c>
      <c r="F48" t="s">
        <v>142</v>
      </c>
      <c r="G48" t="s">
        <v>360</v>
      </c>
      <c r="H48">
        <v>100</v>
      </c>
      <c r="I48">
        <v>830</v>
      </c>
      <c r="J48">
        <v>6710550</v>
      </c>
      <c r="K48" s="7" t="str">
        <f>IFERROR(IF(B48&lt;&gt;"", TEXT(VLOOKUP(B48, 'Expected Date'!A:B, 2, FALSE) + DATE(RIGHT(C48,2),MID(C48,4,2),LEFT(C48,2)), "dd/mm/yy"), ""), "")</f>
        <v>23/06/23</v>
      </c>
      <c r="L48" t="s">
        <v>68</v>
      </c>
      <c r="M48" t="str">
        <f>M47</f>
        <v>MT</v>
      </c>
      <c r="N48" t="s">
        <v>144</v>
      </c>
      <c r="O48" t="s">
        <v>97</v>
      </c>
      <c r="P48">
        <v>23190208</v>
      </c>
      <c r="Q48" t="s">
        <v>142</v>
      </c>
      <c r="R48" t="s">
        <v>360</v>
      </c>
      <c r="S48">
        <v>98.4</v>
      </c>
      <c r="T48">
        <v>830</v>
      </c>
      <c r="U48">
        <v>6623599.2000000002</v>
      </c>
      <c r="V48" t="str">
        <f t="shared" si="16"/>
        <v>Hyderabad</v>
      </c>
      <c r="W48" t="str">
        <f>VLOOKUP(B48, Currency!A:B, 2, FALSE)</f>
        <v>USD</v>
      </c>
      <c r="X48" t="str">
        <f t="shared" si="16"/>
        <v>Accepted</v>
      </c>
      <c r="Y48">
        <f>IFERROR(VLOOKUP(N48, Payment_Terms!A:B, 2, FALSE), "Payment term not found!")</f>
        <v>30</v>
      </c>
      <c r="Z48" t="str">
        <f>IFERROR(VLOOKUP(R48, Item_Category!A:B, 2, FALSE), "Uncategorized")</f>
        <v>Wood pulp</v>
      </c>
      <c r="AA48" s="5">
        <f t="shared" si="3"/>
        <v>1.5999999999999945E-2</v>
      </c>
      <c r="AB48">
        <f t="shared" si="4"/>
        <v>4</v>
      </c>
      <c r="AC48" s="10">
        <f t="shared" si="5"/>
        <v>-73</v>
      </c>
      <c r="AD48">
        <f t="shared" si="6"/>
        <v>5</v>
      </c>
      <c r="AE48" s="10">
        <f t="shared" si="7"/>
        <v>28</v>
      </c>
      <c r="AF48" s="5">
        <f t="shared" si="0"/>
        <v>1</v>
      </c>
      <c r="AG48" s="5">
        <f t="shared" si="1"/>
        <v>1</v>
      </c>
      <c r="AH48" s="5">
        <f t="shared" si="8"/>
        <v>0</v>
      </c>
      <c r="AI48">
        <f>IF(B48&lt;&gt;"", COUNTIFS($B$2:B48, B48), "")</f>
        <v>2</v>
      </c>
      <c r="AJ48">
        <f t="shared" si="9"/>
        <v>5</v>
      </c>
      <c r="AK48">
        <f t="shared" si="2"/>
        <v>5</v>
      </c>
      <c r="AL48">
        <f t="shared" si="10"/>
        <v>5</v>
      </c>
      <c r="AM48" t="str">
        <f t="shared" si="11"/>
        <v>May</v>
      </c>
      <c r="AN48">
        <f t="shared" si="12"/>
        <v>2023</v>
      </c>
      <c r="AO48" t="str">
        <f t="shared" si="13"/>
        <v>&gt;3</v>
      </c>
      <c r="AP48" t="str">
        <f t="shared" si="14"/>
        <v>&gt;3</v>
      </c>
      <c r="AQ48" t="str">
        <f t="shared" si="15"/>
        <v>&gt;3</v>
      </c>
    </row>
    <row r="49" spans="1:43" x14ac:dyDescent="0.3">
      <c r="A49" t="s">
        <v>33</v>
      </c>
      <c r="B49" t="s">
        <v>147</v>
      </c>
      <c r="C49" t="s">
        <v>45</v>
      </c>
      <c r="D49">
        <v>2484</v>
      </c>
      <c r="E49">
        <v>23120048</v>
      </c>
      <c r="F49" t="s">
        <v>148</v>
      </c>
      <c r="G49" t="s">
        <v>149</v>
      </c>
      <c r="H49">
        <v>1500</v>
      </c>
      <c r="I49">
        <v>225</v>
      </c>
      <c r="J49">
        <v>337500</v>
      </c>
      <c r="K49" s="7" t="str">
        <f>IFERROR(IF(B49&lt;&gt;"", TEXT(VLOOKUP(B49, 'Expected Date'!A:B, 2, FALSE) + DATE(RIGHT(C49,2),MID(C49,4,2),LEFT(C49,2)), "dd/mm/yy"), ""), "")</f>
        <v>27/06/23</v>
      </c>
      <c r="L49" t="s">
        <v>38</v>
      </c>
      <c r="M49" t="s">
        <v>39</v>
      </c>
      <c r="N49" t="s">
        <v>49</v>
      </c>
      <c r="O49" t="s">
        <v>60</v>
      </c>
      <c r="P49">
        <v>23190502</v>
      </c>
      <c r="Q49" t="s">
        <v>148</v>
      </c>
      <c r="R49" t="s">
        <v>149</v>
      </c>
      <c r="S49">
        <v>555</v>
      </c>
      <c r="T49">
        <v>225</v>
      </c>
      <c r="U49">
        <v>124875</v>
      </c>
      <c r="V49" t="str">
        <f t="shared" si="16"/>
        <v>Hyderabad</v>
      </c>
      <c r="W49" t="str">
        <f>VLOOKUP(B49, Currency!A:B, 2, FALSE)</f>
        <v>INR</v>
      </c>
      <c r="X49" t="str">
        <f t="shared" si="16"/>
        <v>Accepted</v>
      </c>
      <c r="Y49">
        <f>IFERROR(VLOOKUP(N49, Payment_Terms!A:B, 2, FALSE), "Payment term not found!")</f>
        <v>30</v>
      </c>
      <c r="Z49" t="str">
        <f>IFERROR(VLOOKUP(R49, Item_Category!A:B, 2, FALSE), "Uncategorized")</f>
        <v>Fibre drum</v>
      </c>
      <c r="AA49" s="5">
        <f t="shared" si="3"/>
        <v>0</v>
      </c>
      <c r="AB49">
        <f t="shared" si="4"/>
        <v>5</v>
      </c>
      <c r="AC49" s="10">
        <f t="shared" si="5"/>
        <v>-1</v>
      </c>
      <c r="AD49">
        <f t="shared" si="6"/>
        <v>5</v>
      </c>
      <c r="AE49" s="10">
        <f t="shared" si="7"/>
        <v>9</v>
      </c>
      <c r="AF49" s="5">
        <f t="shared" si="0"/>
        <v>1</v>
      </c>
      <c r="AG49" s="5">
        <f t="shared" si="1"/>
        <v>1</v>
      </c>
      <c r="AH49" s="5">
        <f t="shared" si="8"/>
        <v>0</v>
      </c>
      <c r="AI49">
        <f>IF(B49&lt;&gt;"", COUNTIFS($B$2:B49, B49), "")</f>
        <v>1</v>
      </c>
      <c r="AJ49">
        <f t="shared" si="9"/>
        <v>5</v>
      </c>
      <c r="AK49">
        <f t="shared" si="2"/>
        <v>5</v>
      </c>
      <c r="AL49">
        <f t="shared" si="10"/>
        <v>6</v>
      </c>
      <c r="AM49" t="str">
        <f t="shared" si="11"/>
        <v>June</v>
      </c>
      <c r="AN49">
        <f t="shared" si="12"/>
        <v>2023</v>
      </c>
      <c r="AO49" t="str">
        <f t="shared" si="13"/>
        <v>&gt;3</v>
      </c>
      <c r="AP49" t="str">
        <f t="shared" si="14"/>
        <v>&gt;3</v>
      </c>
      <c r="AQ49" t="str">
        <f t="shared" si="15"/>
        <v>&gt;3</v>
      </c>
    </row>
    <row r="50" spans="1:43" x14ac:dyDescent="0.3">
      <c r="A50" t="s">
        <v>33</v>
      </c>
      <c r="B50" t="s">
        <v>150</v>
      </c>
      <c r="C50" t="s">
        <v>151</v>
      </c>
      <c r="D50">
        <v>4381</v>
      </c>
      <c r="E50">
        <v>23120122</v>
      </c>
      <c r="F50" t="s">
        <v>152</v>
      </c>
      <c r="G50" t="s">
        <v>54</v>
      </c>
      <c r="H50">
        <v>200</v>
      </c>
      <c r="I50">
        <v>7900</v>
      </c>
      <c r="J50">
        <v>1580000</v>
      </c>
      <c r="K50" s="7" t="str">
        <f>IFERROR(IF(B50&lt;&gt;"", TEXT(VLOOKUP(B50, 'Expected Date'!A:B, 2, FALSE) + DATE(RIGHT(C50,2),MID(C50,4,2),LEFT(C50,2)), "dd/mm/yy"), ""), "")</f>
        <v>24/09/23</v>
      </c>
      <c r="L50" t="s">
        <v>38</v>
      </c>
      <c r="M50" t="s">
        <v>48</v>
      </c>
      <c r="N50" t="s">
        <v>155</v>
      </c>
      <c r="O50" t="s">
        <v>156</v>
      </c>
      <c r="P50">
        <v>23191109</v>
      </c>
      <c r="Q50" t="s">
        <v>152</v>
      </c>
      <c r="R50" t="s">
        <v>54</v>
      </c>
      <c r="S50">
        <v>30.86</v>
      </c>
      <c r="T50">
        <v>7900</v>
      </c>
      <c r="U50">
        <v>243794</v>
      </c>
      <c r="V50" t="str">
        <f t="shared" si="16"/>
        <v>Hyderabad</v>
      </c>
      <c r="W50" t="str">
        <f>VLOOKUP(B50, Currency!A:B, 2, FALSE)</f>
        <v>INR</v>
      </c>
      <c r="X50" t="str">
        <f t="shared" si="16"/>
        <v>Accepted</v>
      </c>
      <c r="Y50">
        <f>IFERROR(VLOOKUP(N50, Payment_Terms!A:B, 2, FALSE), "Payment term not found!")</f>
        <v>30</v>
      </c>
      <c r="Z50" t="str">
        <f>IFERROR(VLOOKUP(R50, Item_Category!A:B, 2, FALSE), "Uncategorized")</f>
        <v>Coal materials</v>
      </c>
      <c r="AA50" s="5">
        <f t="shared" si="3"/>
        <v>0</v>
      </c>
      <c r="AB50">
        <f t="shared" si="4"/>
        <v>5</v>
      </c>
      <c r="AC50" s="10">
        <f t="shared" si="5"/>
        <v>-6</v>
      </c>
      <c r="AD50">
        <f t="shared" si="6"/>
        <v>5</v>
      </c>
      <c r="AE50" s="10">
        <f t="shared" si="7"/>
        <v>4</v>
      </c>
      <c r="AF50" s="5">
        <f t="shared" si="0"/>
        <v>1</v>
      </c>
      <c r="AG50" s="5">
        <f t="shared" si="1"/>
        <v>1</v>
      </c>
      <c r="AH50" s="5">
        <f t="shared" si="8"/>
        <v>0</v>
      </c>
      <c r="AI50">
        <f>IF(B50&lt;&gt;"", COUNTIFS($B$2:B50, B50), "")</f>
        <v>1</v>
      </c>
      <c r="AJ50">
        <f t="shared" si="9"/>
        <v>5</v>
      </c>
      <c r="AK50">
        <f t="shared" si="2"/>
        <v>5</v>
      </c>
      <c r="AL50">
        <f t="shared" si="10"/>
        <v>9</v>
      </c>
      <c r="AM50" t="str">
        <f t="shared" si="11"/>
        <v>September</v>
      </c>
      <c r="AN50">
        <f t="shared" si="12"/>
        <v>2023</v>
      </c>
      <c r="AO50" t="str">
        <f t="shared" si="13"/>
        <v>&gt;3</v>
      </c>
      <c r="AP50" t="str">
        <f t="shared" si="14"/>
        <v>&gt;3</v>
      </c>
      <c r="AQ50" t="str">
        <f t="shared" si="15"/>
        <v>&gt;3</v>
      </c>
    </row>
    <row r="51" spans="1:43" x14ac:dyDescent="0.3">
      <c r="A51" t="s">
        <v>33</v>
      </c>
      <c r="B51" t="s">
        <v>157</v>
      </c>
      <c r="C51" t="s">
        <v>35</v>
      </c>
      <c r="D51">
        <v>2111</v>
      </c>
      <c r="E51">
        <v>23120032</v>
      </c>
      <c r="F51" t="s">
        <v>158</v>
      </c>
      <c r="G51" t="s">
        <v>159</v>
      </c>
      <c r="H51">
        <v>2000</v>
      </c>
      <c r="I51">
        <v>265</v>
      </c>
      <c r="J51">
        <v>530000</v>
      </c>
      <c r="K51" s="7" t="str">
        <f>IFERROR(IF(B51&lt;&gt;"", TEXT(VLOOKUP(B51, 'Expected Date'!A:B, 2, FALSE) + DATE(RIGHT(C51,2),MID(C51,4,2),LEFT(C51,2)), "dd/mm/yy"), ""), "")</f>
        <v>07/05/23</v>
      </c>
      <c r="L51" t="s">
        <v>38</v>
      </c>
      <c r="M51" t="s">
        <v>48</v>
      </c>
      <c r="N51" t="s">
        <v>132</v>
      </c>
      <c r="O51" t="s">
        <v>161</v>
      </c>
      <c r="P51">
        <v>23190401</v>
      </c>
      <c r="Q51" t="s">
        <v>158</v>
      </c>
      <c r="R51" t="s">
        <v>159</v>
      </c>
      <c r="S51">
        <v>2000</v>
      </c>
      <c r="T51">
        <v>265</v>
      </c>
      <c r="U51">
        <v>530000</v>
      </c>
      <c r="V51" t="str">
        <f t="shared" si="16"/>
        <v>Hyderabad</v>
      </c>
      <c r="W51" t="str">
        <f>VLOOKUP(B51, Currency!A:B, 2, FALSE)</f>
        <v>INR</v>
      </c>
      <c r="X51" t="str">
        <f t="shared" si="16"/>
        <v>Accepted</v>
      </c>
      <c r="Y51">
        <f>IFERROR(VLOOKUP(N51, Payment_Terms!A:B, 2, FALSE), "Payment term not found!")</f>
        <v>0</v>
      </c>
      <c r="Z51" t="str">
        <f>IFERROR(VLOOKUP(R51, Item_Category!A:B, 2, FALSE), "Uncategorized")</f>
        <v>Sodium salts</v>
      </c>
      <c r="AA51" s="5">
        <f t="shared" si="3"/>
        <v>0</v>
      </c>
      <c r="AB51">
        <f t="shared" si="4"/>
        <v>5</v>
      </c>
      <c r="AC51" s="10">
        <f t="shared" si="5"/>
        <v>27</v>
      </c>
      <c r="AD51">
        <f t="shared" si="6"/>
        <v>1</v>
      </c>
      <c r="AE51" s="10">
        <f t="shared" si="7"/>
        <v>37</v>
      </c>
      <c r="AF51" s="5">
        <f t="shared" si="0"/>
        <v>1</v>
      </c>
      <c r="AG51" s="5">
        <f t="shared" si="1"/>
        <v>1</v>
      </c>
      <c r="AH51" s="5">
        <f t="shared" si="8"/>
        <v>0</v>
      </c>
      <c r="AI51">
        <f>IF(B51&lt;&gt;"", COUNTIFS($B$2:B51, B51), "")</f>
        <v>1</v>
      </c>
      <c r="AJ51">
        <f t="shared" si="9"/>
        <v>5</v>
      </c>
      <c r="AK51">
        <f t="shared" si="2"/>
        <v>4</v>
      </c>
      <c r="AL51">
        <f t="shared" si="10"/>
        <v>4</v>
      </c>
      <c r="AM51" t="str">
        <f t="shared" si="11"/>
        <v>April</v>
      </c>
      <c r="AN51">
        <f t="shared" si="12"/>
        <v>2023</v>
      </c>
      <c r="AO51" t="str">
        <f t="shared" si="13"/>
        <v>&gt;3</v>
      </c>
      <c r="AP51" t="str">
        <f t="shared" si="14"/>
        <v>&gt;3</v>
      </c>
      <c r="AQ51" t="str">
        <f t="shared" si="15"/>
        <v>&lt;=3</v>
      </c>
    </row>
    <row r="52" spans="1:43" x14ac:dyDescent="0.3">
      <c r="A52" t="s">
        <v>33</v>
      </c>
      <c r="B52" t="s">
        <v>51</v>
      </c>
      <c r="C52" t="s">
        <v>88</v>
      </c>
      <c r="D52">
        <v>2839</v>
      </c>
      <c r="E52">
        <v>23120080</v>
      </c>
      <c r="F52" t="s">
        <v>53</v>
      </c>
      <c r="G52" t="s">
        <v>54</v>
      </c>
      <c r="H52">
        <v>82.13</v>
      </c>
      <c r="I52">
        <v>7412.17</v>
      </c>
      <c r="J52">
        <v>608761.52</v>
      </c>
      <c r="K52" s="7" t="str">
        <f>IFERROR(IF(B52&lt;&gt;"", TEXT(VLOOKUP(B52, 'Expected Date'!A:B, 2, FALSE) + DATE(RIGHT(C52,2),MID(C52,4,2),LEFT(C52,2)), "dd/mm/yy"), ""), "")</f>
        <v>24/07/23</v>
      </c>
      <c r="L52" t="s">
        <v>38</v>
      </c>
      <c r="M52" t="s">
        <v>48</v>
      </c>
      <c r="N52" t="s">
        <v>55</v>
      </c>
      <c r="O52" t="s">
        <v>162</v>
      </c>
      <c r="P52">
        <v>23190579</v>
      </c>
      <c r="Q52" t="s">
        <v>53</v>
      </c>
      <c r="R52" t="s">
        <v>54</v>
      </c>
      <c r="S52">
        <v>25.75</v>
      </c>
      <c r="T52">
        <v>7412.17</v>
      </c>
      <c r="U52">
        <v>190863.38</v>
      </c>
      <c r="V52" t="str">
        <f t="shared" si="16"/>
        <v>Hyderabad</v>
      </c>
      <c r="W52" t="str">
        <f>VLOOKUP(B52, Currency!A:B, 2, FALSE)</f>
        <v>INR</v>
      </c>
      <c r="X52" t="str">
        <f t="shared" si="16"/>
        <v>Accepted</v>
      </c>
      <c r="Y52">
        <f>IFERROR(VLOOKUP(N52, Payment_Terms!A:B, 2, FALSE), "Payment term not found!")</f>
        <v>0</v>
      </c>
      <c r="Z52" t="str">
        <f>IFERROR(VLOOKUP(R52, Item_Category!A:B, 2, FALSE), "Uncategorized")</f>
        <v>Coal materials</v>
      </c>
      <c r="AA52" s="5">
        <f t="shared" si="3"/>
        <v>0</v>
      </c>
      <c r="AB52">
        <f t="shared" si="4"/>
        <v>5</v>
      </c>
      <c r="AC52" s="10">
        <f t="shared" si="5"/>
        <v>-25</v>
      </c>
      <c r="AD52">
        <f t="shared" si="6"/>
        <v>5</v>
      </c>
      <c r="AE52" s="10">
        <f t="shared" si="7"/>
        <v>5</v>
      </c>
      <c r="AF52" s="5">
        <f t="shared" si="0"/>
        <v>1</v>
      </c>
      <c r="AG52" s="5">
        <f t="shared" si="1"/>
        <v>1</v>
      </c>
      <c r="AH52" s="5">
        <f t="shared" si="8"/>
        <v>0</v>
      </c>
      <c r="AI52">
        <f>IF(B52&lt;&gt;"", COUNTIFS($B$2:B52, B52), "")</f>
        <v>27</v>
      </c>
      <c r="AJ52">
        <f t="shared" si="9"/>
        <v>5</v>
      </c>
      <c r="AK52">
        <f t="shared" si="2"/>
        <v>5</v>
      </c>
      <c r="AL52">
        <f t="shared" si="10"/>
        <v>7</v>
      </c>
      <c r="AM52" t="str">
        <f t="shared" si="11"/>
        <v>July</v>
      </c>
      <c r="AN52">
        <f t="shared" si="12"/>
        <v>2023</v>
      </c>
      <c r="AO52" t="str">
        <f t="shared" si="13"/>
        <v>&gt;3</v>
      </c>
      <c r="AP52" t="str">
        <f t="shared" si="14"/>
        <v>&gt;3</v>
      </c>
      <c r="AQ52" t="str">
        <f t="shared" si="15"/>
        <v>&gt;3</v>
      </c>
    </row>
    <row r="53" spans="1:43" x14ac:dyDescent="0.3">
      <c r="A53" t="s">
        <v>33</v>
      </c>
      <c r="B53" t="s">
        <v>51</v>
      </c>
      <c r="C53" t="s">
        <v>88</v>
      </c>
      <c r="D53">
        <v>2839</v>
      </c>
      <c r="E53">
        <v>23120080</v>
      </c>
      <c r="F53" t="s">
        <v>53</v>
      </c>
      <c r="G53" t="s">
        <v>54</v>
      </c>
      <c r="H53">
        <v>82.13</v>
      </c>
      <c r="I53">
        <v>7412.17</v>
      </c>
      <c r="J53">
        <v>608761.52</v>
      </c>
      <c r="K53" s="7" t="str">
        <f>IFERROR(IF(B53&lt;&gt;"", TEXT(VLOOKUP(B53, 'Expected Date'!A:B, 2, FALSE) + DATE(RIGHT(C53,2),MID(C53,4,2),LEFT(C53,2)), "dd/mm/yy"), ""), "")</f>
        <v>24/07/23</v>
      </c>
      <c r="L53" t="s">
        <v>38</v>
      </c>
      <c r="M53" t="s">
        <v>48</v>
      </c>
      <c r="N53" t="s">
        <v>55</v>
      </c>
      <c r="O53" t="s">
        <v>162</v>
      </c>
      <c r="P53">
        <v>23190580</v>
      </c>
      <c r="Q53" t="s">
        <v>53</v>
      </c>
      <c r="R53" t="s">
        <v>54</v>
      </c>
      <c r="S53">
        <v>25.98</v>
      </c>
      <c r="T53">
        <v>7412.17</v>
      </c>
      <c r="U53">
        <v>192568.18</v>
      </c>
      <c r="V53" t="str">
        <f t="shared" si="16"/>
        <v>Hyderabad</v>
      </c>
      <c r="W53" t="str">
        <f>VLOOKUP(B53, Currency!A:B, 2, FALSE)</f>
        <v>INR</v>
      </c>
      <c r="X53" t="str">
        <f t="shared" si="16"/>
        <v>Accepted</v>
      </c>
      <c r="Y53">
        <f>IFERROR(VLOOKUP(N53, Payment_Terms!A:B, 2, FALSE), "Payment term not found!")</f>
        <v>0</v>
      </c>
      <c r="Z53" t="str">
        <f>IFERROR(VLOOKUP(R53, Item_Category!A:B, 2, FALSE), "Uncategorized")</f>
        <v>Coal materials</v>
      </c>
      <c r="AA53" s="5">
        <f t="shared" si="3"/>
        <v>0</v>
      </c>
      <c r="AB53">
        <f t="shared" si="4"/>
        <v>5</v>
      </c>
      <c r="AC53" s="10">
        <f t="shared" si="5"/>
        <v>-25</v>
      </c>
      <c r="AD53">
        <f t="shared" si="6"/>
        <v>5</v>
      </c>
      <c r="AE53" s="10">
        <f t="shared" si="7"/>
        <v>5</v>
      </c>
      <c r="AF53" s="5">
        <f t="shared" si="0"/>
        <v>1</v>
      </c>
      <c r="AG53" s="5">
        <f t="shared" si="1"/>
        <v>1</v>
      </c>
      <c r="AH53" s="5">
        <f t="shared" si="8"/>
        <v>0</v>
      </c>
      <c r="AI53">
        <f>IF(B53&lt;&gt;"", COUNTIFS($B$2:B53, B53), "")</f>
        <v>28</v>
      </c>
      <c r="AJ53">
        <f t="shared" si="9"/>
        <v>5</v>
      </c>
      <c r="AK53">
        <f t="shared" si="2"/>
        <v>5</v>
      </c>
      <c r="AL53">
        <f t="shared" si="10"/>
        <v>7</v>
      </c>
      <c r="AM53" t="str">
        <f t="shared" si="11"/>
        <v>July</v>
      </c>
      <c r="AN53">
        <f t="shared" si="12"/>
        <v>2023</v>
      </c>
      <c r="AO53" t="str">
        <f t="shared" si="13"/>
        <v>&gt;3</v>
      </c>
      <c r="AP53" t="str">
        <f t="shared" si="14"/>
        <v>&gt;3</v>
      </c>
      <c r="AQ53" t="str">
        <f t="shared" si="15"/>
        <v>&gt;3</v>
      </c>
    </row>
    <row r="54" spans="1:43" x14ac:dyDescent="0.3">
      <c r="A54" t="s">
        <v>33</v>
      </c>
      <c r="B54" t="s">
        <v>79</v>
      </c>
      <c r="C54" t="s">
        <v>163</v>
      </c>
      <c r="D54">
        <v>4112</v>
      </c>
      <c r="E54">
        <v>23120113</v>
      </c>
      <c r="F54" t="s">
        <v>81</v>
      </c>
      <c r="G54" t="s">
        <v>82</v>
      </c>
      <c r="H54">
        <v>21000</v>
      </c>
      <c r="I54">
        <v>1.9</v>
      </c>
      <c r="J54">
        <v>39900</v>
      </c>
      <c r="K54" s="7" t="str">
        <f>IFERROR(IF(B54&lt;&gt;"", TEXT(VLOOKUP(B54, 'Expected Date'!A:B, 2, FALSE) + DATE(RIGHT(C54,2),MID(C54,4,2),LEFT(C54,2)), "dd/mm/yy"), ""), "")</f>
        <v>19/09/23</v>
      </c>
      <c r="L54" t="s">
        <v>38</v>
      </c>
      <c r="M54" t="s">
        <v>48</v>
      </c>
      <c r="N54" t="s">
        <v>83</v>
      </c>
      <c r="O54" t="s">
        <v>164</v>
      </c>
      <c r="P54">
        <v>23191044</v>
      </c>
      <c r="Q54" t="s">
        <v>81</v>
      </c>
      <c r="R54" t="s">
        <v>82</v>
      </c>
      <c r="S54">
        <v>28380</v>
      </c>
      <c r="T54">
        <v>1.9</v>
      </c>
      <c r="U54">
        <v>53922</v>
      </c>
      <c r="V54" t="str">
        <f t="shared" si="16"/>
        <v>Hyderabad</v>
      </c>
      <c r="W54" t="str">
        <f>VLOOKUP(B54, Currency!A:B, 2, FALSE)</f>
        <v>INR</v>
      </c>
      <c r="X54" t="str">
        <f t="shared" si="16"/>
        <v>Accepted</v>
      </c>
      <c r="Y54">
        <f>IFERROR(VLOOKUP(N54, Payment_Terms!A:B, 2, FALSE), "Payment term not found!")</f>
        <v>0</v>
      </c>
      <c r="Z54" t="str">
        <f>IFERROR(VLOOKUP(R54, Item_Category!A:B, 2, FALSE), "Uncategorized")</f>
        <v>HCL</v>
      </c>
      <c r="AA54" s="5">
        <f t="shared" si="3"/>
        <v>0</v>
      </c>
      <c r="AB54">
        <f t="shared" si="4"/>
        <v>5</v>
      </c>
      <c r="AC54" s="10">
        <f t="shared" si="5"/>
        <v>-11</v>
      </c>
      <c r="AD54">
        <f t="shared" si="6"/>
        <v>5</v>
      </c>
      <c r="AE54" s="10">
        <f t="shared" si="7"/>
        <v>9</v>
      </c>
      <c r="AF54" s="5">
        <f t="shared" si="0"/>
        <v>1</v>
      </c>
      <c r="AG54" s="5">
        <f t="shared" si="1"/>
        <v>1</v>
      </c>
      <c r="AH54" s="5">
        <f t="shared" si="8"/>
        <v>0</v>
      </c>
      <c r="AI54">
        <f>IF(B54&lt;&gt;"", COUNTIFS($B$2:B54, B54), "")</f>
        <v>3</v>
      </c>
      <c r="AJ54">
        <f t="shared" si="9"/>
        <v>5</v>
      </c>
      <c r="AK54">
        <f t="shared" si="2"/>
        <v>5</v>
      </c>
      <c r="AL54">
        <f t="shared" si="10"/>
        <v>8</v>
      </c>
      <c r="AM54" t="str">
        <f t="shared" si="11"/>
        <v>August</v>
      </c>
      <c r="AN54">
        <f t="shared" si="12"/>
        <v>2023</v>
      </c>
      <c r="AO54" t="str">
        <f t="shared" si="13"/>
        <v>&gt;3</v>
      </c>
      <c r="AP54" t="str">
        <f t="shared" si="14"/>
        <v>&gt;3</v>
      </c>
      <c r="AQ54" t="str">
        <f t="shared" si="15"/>
        <v>&gt;3</v>
      </c>
    </row>
    <row r="55" spans="1:43" x14ac:dyDescent="0.3">
      <c r="A55" t="str">
        <f>A48</f>
        <v>Woodpulp</v>
      </c>
      <c r="B55" t="s">
        <v>140</v>
      </c>
      <c r="C55" t="s">
        <v>165</v>
      </c>
      <c r="D55">
        <v>2322</v>
      </c>
      <c r="E55">
        <v>23120040</v>
      </c>
      <c r="F55" t="s">
        <v>142</v>
      </c>
      <c r="G55" t="s">
        <v>360</v>
      </c>
      <c r="H55">
        <v>125</v>
      </c>
      <c r="I55">
        <v>830</v>
      </c>
      <c r="J55">
        <v>8460812.5</v>
      </c>
      <c r="K55" s="7" t="str">
        <f>IFERROR(IF(B55&lt;&gt;"", TEXT(VLOOKUP(B55, 'Expected Date'!A:B, 2, FALSE) + DATE(RIGHT(C55,2),MID(C55,4,2),LEFT(C55,2)), "dd/mm/yy"), ""), "")</f>
        <v>22/07/23</v>
      </c>
      <c r="L55" t="s">
        <v>68</v>
      </c>
      <c r="M55" t="str">
        <f>M47</f>
        <v>MT</v>
      </c>
      <c r="N55" t="s">
        <v>144</v>
      </c>
      <c r="O55" t="s">
        <v>134</v>
      </c>
      <c r="P55">
        <v>23190399</v>
      </c>
      <c r="Q55" t="s">
        <v>142</v>
      </c>
      <c r="R55" t="s">
        <v>360</v>
      </c>
      <c r="S55">
        <v>123.845</v>
      </c>
      <c r="T55">
        <v>830</v>
      </c>
      <c r="U55">
        <v>8382634.5899999999</v>
      </c>
      <c r="V55" t="str">
        <f t="shared" si="16"/>
        <v>Hyderabad</v>
      </c>
      <c r="W55" t="str">
        <f>VLOOKUP(B55, Currency!A:B, 2, FALSE)</f>
        <v>USD</v>
      </c>
      <c r="X55" t="str">
        <f t="shared" si="16"/>
        <v>Accepted</v>
      </c>
      <c r="Y55">
        <f>IFERROR(VLOOKUP(N55, Payment_Terms!A:B, 2, FALSE), "Payment term not found!")</f>
        <v>30</v>
      </c>
      <c r="Z55" t="str">
        <f>IFERROR(VLOOKUP(R55, Item_Category!A:B, 2, FALSE), "Uncategorized")</f>
        <v>Wood pulp</v>
      </c>
      <c r="AA55" s="5">
        <f t="shared" si="3"/>
        <v>9.2400000000000086E-3</v>
      </c>
      <c r="AB55">
        <f t="shared" si="4"/>
        <v>4</v>
      </c>
      <c r="AC55" s="10">
        <f t="shared" si="5"/>
        <v>-44</v>
      </c>
      <c r="AD55">
        <f t="shared" si="6"/>
        <v>5</v>
      </c>
      <c r="AE55" s="10">
        <f t="shared" si="7"/>
        <v>1</v>
      </c>
      <c r="AF55" s="5">
        <f t="shared" si="0"/>
        <v>1</v>
      </c>
      <c r="AG55" s="5">
        <f t="shared" si="1"/>
        <v>1</v>
      </c>
      <c r="AH55" s="5">
        <f t="shared" si="8"/>
        <v>0</v>
      </c>
      <c r="AI55">
        <f>IF(B55&lt;&gt;"", COUNTIFS($B$2:B55, B55), "")</f>
        <v>3</v>
      </c>
      <c r="AJ55">
        <f t="shared" si="9"/>
        <v>5</v>
      </c>
      <c r="AK55">
        <f t="shared" si="2"/>
        <v>5</v>
      </c>
      <c r="AL55">
        <f t="shared" si="10"/>
        <v>6</v>
      </c>
      <c r="AM55" t="str">
        <f t="shared" si="11"/>
        <v>June</v>
      </c>
      <c r="AN55">
        <f t="shared" si="12"/>
        <v>2023</v>
      </c>
      <c r="AO55" t="str">
        <f t="shared" si="13"/>
        <v>&gt;3</v>
      </c>
      <c r="AP55" t="str">
        <f t="shared" si="14"/>
        <v>&gt;3</v>
      </c>
      <c r="AQ55" t="str">
        <f t="shared" si="15"/>
        <v>&gt;3</v>
      </c>
    </row>
    <row r="56" spans="1:43" x14ac:dyDescent="0.3">
      <c r="A56" t="s">
        <v>33</v>
      </c>
      <c r="B56" t="s">
        <v>79</v>
      </c>
      <c r="C56" t="s">
        <v>72</v>
      </c>
      <c r="D56">
        <v>2595</v>
      </c>
      <c r="E56">
        <v>23120060</v>
      </c>
      <c r="F56" t="s">
        <v>81</v>
      </c>
      <c r="G56" t="s">
        <v>82</v>
      </c>
      <c r="H56">
        <v>21000</v>
      </c>
      <c r="I56">
        <v>0.4</v>
      </c>
      <c r="J56">
        <v>8400</v>
      </c>
      <c r="K56" s="7" t="str">
        <f>IFERROR(IF(B56&lt;&gt;"", TEXT(VLOOKUP(B56, 'Expected Date'!A:B, 2, FALSE) + DATE(RIGHT(C56,2),MID(C56,4,2),LEFT(C56,2)), "dd/mm/yy"), ""), "")</f>
        <v>13/07/23</v>
      </c>
      <c r="L56" t="s">
        <v>38</v>
      </c>
      <c r="M56" t="s">
        <v>48</v>
      </c>
      <c r="N56" t="s">
        <v>83</v>
      </c>
      <c r="O56" t="s">
        <v>117</v>
      </c>
      <c r="P56">
        <v>23190591</v>
      </c>
      <c r="Q56" t="s">
        <v>81</v>
      </c>
      <c r="R56" t="s">
        <v>82</v>
      </c>
      <c r="S56">
        <v>22350</v>
      </c>
      <c r="T56">
        <v>0.4</v>
      </c>
      <c r="U56">
        <v>8940</v>
      </c>
      <c r="V56" t="str">
        <f t="shared" si="16"/>
        <v>Hyderabad</v>
      </c>
      <c r="W56" t="str">
        <f>VLOOKUP(B56, Currency!A:B, 2, FALSE)</f>
        <v>INR</v>
      </c>
      <c r="X56" t="str">
        <f t="shared" si="16"/>
        <v>Accepted</v>
      </c>
      <c r="Y56">
        <f>IFERROR(VLOOKUP(N56, Payment_Terms!A:B, 2, FALSE), "Payment term not found!")</f>
        <v>0</v>
      </c>
      <c r="Z56" t="str">
        <f>IFERROR(VLOOKUP(R56, Item_Category!A:B, 2, FALSE), "Uncategorized")</f>
        <v>HCL</v>
      </c>
      <c r="AA56" s="5">
        <f t="shared" si="3"/>
        <v>0</v>
      </c>
      <c r="AB56">
        <f t="shared" si="4"/>
        <v>5</v>
      </c>
      <c r="AC56" s="10">
        <f t="shared" si="5"/>
        <v>-6</v>
      </c>
      <c r="AD56">
        <f t="shared" si="6"/>
        <v>5</v>
      </c>
      <c r="AE56" s="10">
        <f t="shared" si="7"/>
        <v>14</v>
      </c>
      <c r="AF56" s="5">
        <f t="shared" si="0"/>
        <v>1</v>
      </c>
      <c r="AG56" s="5">
        <f t="shared" si="1"/>
        <v>1</v>
      </c>
      <c r="AH56" s="5">
        <f t="shared" si="8"/>
        <v>0</v>
      </c>
      <c r="AI56">
        <f>IF(B56&lt;&gt;"", COUNTIFS($B$2:B56, B56), "")</f>
        <v>4</v>
      </c>
      <c r="AJ56">
        <f t="shared" si="9"/>
        <v>5</v>
      </c>
      <c r="AK56">
        <f t="shared" si="2"/>
        <v>5</v>
      </c>
      <c r="AL56">
        <f t="shared" si="10"/>
        <v>6</v>
      </c>
      <c r="AM56" t="str">
        <f t="shared" si="11"/>
        <v>June</v>
      </c>
      <c r="AN56">
        <f t="shared" si="12"/>
        <v>2023</v>
      </c>
      <c r="AO56" t="str">
        <f t="shared" si="13"/>
        <v>&gt;3</v>
      </c>
      <c r="AP56" t="str">
        <f t="shared" si="14"/>
        <v>&gt;3</v>
      </c>
      <c r="AQ56" t="str">
        <f t="shared" si="15"/>
        <v>&gt;3</v>
      </c>
    </row>
    <row r="57" spans="1:43" x14ac:dyDescent="0.3">
      <c r="A57" t="s">
        <v>33</v>
      </c>
      <c r="B57" t="s">
        <v>34</v>
      </c>
      <c r="C57" t="s">
        <v>105</v>
      </c>
      <c r="D57">
        <v>4032</v>
      </c>
      <c r="E57">
        <v>23120110</v>
      </c>
      <c r="F57" t="s">
        <v>166</v>
      </c>
      <c r="G57" t="s">
        <v>167</v>
      </c>
      <c r="H57">
        <v>2000</v>
      </c>
      <c r="I57">
        <v>33.75</v>
      </c>
      <c r="J57">
        <v>67500</v>
      </c>
      <c r="K57" s="7" t="str">
        <f>IFERROR(IF(B57&lt;&gt;"", TEXT(VLOOKUP(B57, 'Expected Date'!A:B, 2, FALSE) + DATE(RIGHT(C57,2),MID(C57,4,2),LEFT(C57,2)), "dd/mm/yy"), ""), "")</f>
        <v>04/09/23</v>
      </c>
      <c r="L57" t="s">
        <v>38</v>
      </c>
      <c r="M57" t="s">
        <v>39</v>
      </c>
      <c r="N57" t="s">
        <v>40</v>
      </c>
      <c r="O57" t="s">
        <v>106</v>
      </c>
      <c r="P57">
        <v>23191045</v>
      </c>
      <c r="Q57" t="s">
        <v>166</v>
      </c>
      <c r="R57" t="s">
        <v>167</v>
      </c>
      <c r="S57">
        <v>2047</v>
      </c>
      <c r="T57">
        <v>33.75</v>
      </c>
      <c r="U57">
        <v>69086.25</v>
      </c>
      <c r="V57" t="str">
        <f t="shared" si="16"/>
        <v>Hyderabad</v>
      </c>
      <c r="W57" t="str">
        <f>VLOOKUP(B57, Currency!A:B, 2, FALSE)</f>
        <v>INR</v>
      </c>
      <c r="X57" t="str">
        <f t="shared" si="16"/>
        <v>Accepted</v>
      </c>
      <c r="Y57">
        <f>IFERROR(VLOOKUP(N57, Payment_Terms!A:B, 2, FALSE), "Payment term not found!")</f>
        <v>30</v>
      </c>
      <c r="Z57" t="str">
        <f>IFERROR(VLOOKUP(R57, Item_Category!A:B, 2, FALSE), "Uncategorized")</f>
        <v>Bags</v>
      </c>
      <c r="AA57" s="5">
        <f t="shared" si="3"/>
        <v>0</v>
      </c>
      <c r="AB57">
        <f t="shared" si="4"/>
        <v>5</v>
      </c>
      <c r="AC57" s="10">
        <f t="shared" si="5"/>
        <v>5</v>
      </c>
      <c r="AD57">
        <f t="shared" si="6"/>
        <v>3</v>
      </c>
      <c r="AE57" s="10">
        <f t="shared" si="7"/>
        <v>15</v>
      </c>
      <c r="AF57" s="5">
        <f t="shared" si="0"/>
        <v>1</v>
      </c>
      <c r="AG57" s="5">
        <f t="shared" si="1"/>
        <v>1</v>
      </c>
      <c r="AH57" s="5">
        <f t="shared" si="8"/>
        <v>0</v>
      </c>
      <c r="AI57">
        <f>IF(B57&lt;&gt;"", COUNTIFS($B$2:B57, B57), "")</f>
        <v>5</v>
      </c>
      <c r="AJ57">
        <f t="shared" si="9"/>
        <v>5</v>
      </c>
      <c r="AK57">
        <f t="shared" si="2"/>
        <v>5</v>
      </c>
      <c r="AL57">
        <f t="shared" si="10"/>
        <v>8</v>
      </c>
      <c r="AM57" t="str">
        <f t="shared" si="11"/>
        <v>August</v>
      </c>
      <c r="AN57">
        <f t="shared" si="12"/>
        <v>2023</v>
      </c>
      <c r="AO57" t="str">
        <f t="shared" si="13"/>
        <v>&gt;3</v>
      </c>
      <c r="AP57" t="str">
        <f t="shared" si="14"/>
        <v>&gt;3</v>
      </c>
      <c r="AQ57" t="str">
        <f t="shared" si="15"/>
        <v>&lt;=3</v>
      </c>
    </row>
    <row r="58" spans="1:43" x14ac:dyDescent="0.3">
      <c r="A58" t="s">
        <v>33</v>
      </c>
      <c r="B58" t="s">
        <v>73</v>
      </c>
      <c r="C58" t="s">
        <v>97</v>
      </c>
      <c r="D58">
        <v>1219</v>
      </c>
      <c r="E58">
        <v>23120001</v>
      </c>
      <c r="F58" t="s">
        <v>75</v>
      </c>
      <c r="G58" t="s">
        <v>76</v>
      </c>
      <c r="H58">
        <v>1200</v>
      </c>
      <c r="I58">
        <v>1000</v>
      </c>
      <c r="J58">
        <v>1200000</v>
      </c>
      <c r="K58" s="7" t="str">
        <f>IFERROR(IF(B58&lt;&gt;"", TEXT(VLOOKUP(B58, 'Expected Date'!A:B, 2, FALSE) + DATE(RIGHT(C58,2),MID(C58,4,2),LEFT(C58,2)), "dd/mm/yy"), ""), "")</f>
        <v>01/05/23</v>
      </c>
      <c r="L58" t="s">
        <v>38</v>
      </c>
      <c r="M58" t="s">
        <v>39</v>
      </c>
      <c r="N58" t="s">
        <v>77</v>
      </c>
      <c r="O58" t="s">
        <v>168</v>
      </c>
      <c r="P58">
        <v>23190060</v>
      </c>
      <c r="Q58" t="s">
        <v>75</v>
      </c>
      <c r="R58" t="s">
        <v>76</v>
      </c>
      <c r="S58">
        <v>400</v>
      </c>
      <c r="T58">
        <v>1000</v>
      </c>
      <c r="U58">
        <v>400000</v>
      </c>
      <c r="V58" t="str">
        <f t="shared" si="16"/>
        <v>Hyderabad</v>
      </c>
      <c r="W58" t="str">
        <f>VLOOKUP(B58, Currency!A:B, 2, FALSE)</f>
        <v>INR</v>
      </c>
      <c r="X58" t="str">
        <f t="shared" si="16"/>
        <v>Accepted</v>
      </c>
      <c r="Y58">
        <f>IFERROR(VLOOKUP(N58, Payment_Terms!A:B, 2, FALSE), "Payment term not found!")</f>
        <v>0</v>
      </c>
      <c r="Z58" t="str">
        <f>IFERROR(VLOOKUP(R58, Item_Category!A:B, 2, FALSE), "Uncategorized")</f>
        <v>Pallets</v>
      </c>
      <c r="AA58" s="5">
        <f t="shared" si="3"/>
        <v>0</v>
      </c>
      <c r="AB58">
        <f t="shared" si="4"/>
        <v>5</v>
      </c>
      <c r="AC58" s="10">
        <f t="shared" si="5"/>
        <v>-14</v>
      </c>
      <c r="AD58">
        <f t="shared" si="6"/>
        <v>5</v>
      </c>
      <c r="AE58" s="10">
        <f t="shared" si="7"/>
        <v>6</v>
      </c>
      <c r="AF58" s="5">
        <f t="shared" si="0"/>
        <v>1</v>
      </c>
      <c r="AG58" s="5">
        <f t="shared" si="1"/>
        <v>1</v>
      </c>
      <c r="AH58" s="5">
        <f t="shared" si="8"/>
        <v>0</v>
      </c>
      <c r="AI58">
        <f>IF(B58&lt;&gt;"", COUNTIFS($B$2:B58, B58), "")</f>
        <v>4</v>
      </c>
      <c r="AJ58">
        <f t="shared" si="9"/>
        <v>5</v>
      </c>
      <c r="AK58">
        <f t="shared" si="2"/>
        <v>5</v>
      </c>
      <c r="AL58">
        <f t="shared" si="10"/>
        <v>4</v>
      </c>
      <c r="AM58" t="str">
        <f t="shared" si="11"/>
        <v>April</v>
      </c>
      <c r="AN58">
        <f t="shared" si="12"/>
        <v>2023</v>
      </c>
      <c r="AO58" t="str">
        <f t="shared" si="13"/>
        <v>&gt;3</v>
      </c>
      <c r="AP58" t="str">
        <f t="shared" si="14"/>
        <v>&gt;3</v>
      </c>
      <c r="AQ58" t="str">
        <f t="shared" si="15"/>
        <v>&gt;3</v>
      </c>
    </row>
    <row r="59" spans="1:43" x14ac:dyDescent="0.3">
      <c r="A59" t="str">
        <f>A55</f>
        <v>Woodpulp</v>
      </c>
      <c r="B59" t="s">
        <v>140</v>
      </c>
      <c r="C59" t="s">
        <v>168</v>
      </c>
      <c r="D59">
        <v>1302</v>
      </c>
      <c r="E59">
        <v>23120005</v>
      </c>
      <c r="F59" t="s">
        <v>142</v>
      </c>
      <c r="G59" t="s">
        <v>360</v>
      </c>
      <c r="H59">
        <v>100</v>
      </c>
      <c r="I59">
        <v>830</v>
      </c>
      <c r="J59">
        <v>83000</v>
      </c>
      <c r="K59" s="7" t="str">
        <f>IFERROR(IF(B59&lt;&gt;"", TEXT(VLOOKUP(B59, 'Expected Date'!A:B, 2, FALSE) + DATE(RIGHT(C59,2),MID(C59,4,2),LEFT(C59,2)), "dd/mm/yy"), ""), "")</f>
        <v>01/06/23</v>
      </c>
      <c r="L59" t="s">
        <v>68</v>
      </c>
      <c r="M59" t="str">
        <f>M47</f>
        <v>MT</v>
      </c>
      <c r="N59" t="s">
        <v>144</v>
      </c>
      <c r="O59" t="s">
        <v>97</v>
      </c>
      <c r="P59">
        <v>23190062</v>
      </c>
      <c r="Q59" t="s">
        <v>142</v>
      </c>
      <c r="R59" t="s">
        <v>360</v>
      </c>
      <c r="S59">
        <v>98.4</v>
      </c>
      <c r="T59">
        <v>830</v>
      </c>
      <c r="U59">
        <v>81672</v>
      </c>
      <c r="V59" t="str">
        <f t="shared" si="16"/>
        <v>Hyderabad</v>
      </c>
      <c r="W59" t="str">
        <f>VLOOKUP(B59, Currency!A:B, 2, FALSE)</f>
        <v>USD</v>
      </c>
      <c r="X59" t="str">
        <f t="shared" si="16"/>
        <v>Accepted</v>
      </c>
      <c r="Y59">
        <f>IFERROR(VLOOKUP(N59, Payment_Terms!A:B, 2, FALSE), "Payment term not found!")</f>
        <v>30</v>
      </c>
      <c r="Z59" t="str">
        <f>IFERROR(VLOOKUP(R59, Item_Category!A:B, 2, FALSE), "Uncategorized")</f>
        <v>Wood pulp</v>
      </c>
      <c r="AA59" s="5">
        <f t="shared" si="3"/>
        <v>1.5999999999999945E-2</v>
      </c>
      <c r="AB59">
        <f t="shared" si="4"/>
        <v>4</v>
      </c>
      <c r="AC59" s="10">
        <f t="shared" si="5"/>
        <v>-51</v>
      </c>
      <c r="AD59">
        <f t="shared" si="6"/>
        <v>5</v>
      </c>
      <c r="AE59" s="10">
        <f t="shared" si="7"/>
        <v>6</v>
      </c>
      <c r="AF59" s="5">
        <f t="shared" si="0"/>
        <v>1</v>
      </c>
      <c r="AG59" s="5">
        <f t="shared" si="1"/>
        <v>1</v>
      </c>
      <c r="AH59" s="5">
        <f t="shared" si="8"/>
        <v>0</v>
      </c>
      <c r="AI59">
        <f>IF(B59&lt;&gt;"", COUNTIFS($B$2:B59, B59), "")</f>
        <v>4</v>
      </c>
      <c r="AJ59">
        <f t="shared" si="9"/>
        <v>5</v>
      </c>
      <c r="AK59">
        <f t="shared" si="2"/>
        <v>5</v>
      </c>
      <c r="AL59">
        <f t="shared" si="10"/>
        <v>4</v>
      </c>
      <c r="AM59" t="str">
        <f t="shared" si="11"/>
        <v>April</v>
      </c>
      <c r="AN59">
        <f t="shared" si="12"/>
        <v>2023</v>
      </c>
      <c r="AO59" t="str">
        <f t="shared" si="13"/>
        <v>&gt;3</v>
      </c>
      <c r="AP59" t="str">
        <f t="shared" si="14"/>
        <v>&gt;3</v>
      </c>
      <c r="AQ59" t="str">
        <f t="shared" si="15"/>
        <v>&gt;3</v>
      </c>
    </row>
    <row r="60" spans="1:43" x14ac:dyDescent="0.3">
      <c r="A60" t="s">
        <v>33</v>
      </c>
      <c r="B60" t="s">
        <v>73</v>
      </c>
      <c r="C60" t="s">
        <v>97</v>
      </c>
      <c r="D60">
        <v>1219</v>
      </c>
      <c r="E60">
        <v>23120001</v>
      </c>
      <c r="F60" t="s">
        <v>75</v>
      </c>
      <c r="G60" t="s">
        <v>76</v>
      </c>
      <c r="H60">
        <v>1200</v>
      </c>
      <c r="I60">
        <v>1000</v>
      </c>
      <c r="J60">
        <v>1200000</v>
      </c>
      <c r="K60" s="7" t="str">
        <f>IFERROR(IF(B60&lt;&gt;"", TEXT(VLOOKUP(B60, 'Expected Date'!A:B, 2, FALSE) + DATE(RIGHT(C60,2),MID(C60,4,2),LEFT(C60,2)), "dd/mm/yy"), ""), "")</f>
        <v>01/05/23</v>
      </c>
      <c r="L60" t="s">
        <v>38</v>
      </c>
      <c r="M60" t="s">
        <v>39</v>
      </c>
      <c r="N60" t="s">
        <v>77</v>
      </c>
      <c r="O60" t="s">
        <v>65</v>
      </c>
      <c r="P60">
        <v>23190066</v>
      </c>
      <c r="Q60" t="s">
        <v>75</v>
      </c>
      <c r="R60" t="s">
        <v>76</v>
      </c>
      <c r="S60">
        <v>400</v>
      </c>
      <c r="T60">
        <v>1000</v>
      </c>
      <c r="U60">
        <v>400000</v>
      </c>
      <c r="V60" t="str">
        <f t="shared" si="16"/>
        <v>Hyderabad</v>
      </c>
      <c r="W60" t="str">
        <f>VLOOKUP(B60, Currency!A:B, 2, FALSE)</f>
        <v>INR</v>
      </c>
      <c r="X60" t="str">
        <f t="shared" si="16"/>
        <v>Accepted</v>
      </c>
      <c r="Y60">
        <f>IFERROR(VLOOKUP(N60, Payment_Terms!A:B, 2, FALSE), "Payment term not found!")</f>
        <v>0</v>
      </c>
      <c r="Z60" t="str">
        <f>IFERROR(VLOOKUP(R60, Item_Category!A:B, 2, FALSE), "Uncategorized")</f>
        <v>Pallets</v>
      </c>
      <c r="AA60" s="5">
        <f t="shared" si="3"/>
        <v>0</v>
      </c>
      <c r="AB60">
        <f t="shared" si="4"/>
        <v>5</v>
      </c>
      <c r="AC60" s="10">
        <f t="shared" si="5"/>
        <v>-12</v>
      </c>
      <c r="AD60">
        <f t="shared" si="6"/>
        <v>5</v>
      </c>
      <c r="AE60" s="10">
        <f t="shared" si="7"/>
        <v>8</v>
      </c>
      <c r="AF60" s="5">
        <f t="shared" si="0"/>
        <v>1</v>
      </c>
      <c r="AG60" s="5">
        <f t="shared" si="1"/>
        <v>1</v>
      </c>
      <c r="AH60" s="5">
        <f t="shared" si="8"/>
        <v>0</v>
      </c>
      <c r="AI60">
        <f>IF(B60&lt;&gt;"", COUNTIFS($B$2:B60, B60), "")</f>
        <v>5</v>
      </c>
      <c r="AJ60">
        <f t="shared" si="9"/>
        <v>5</v>
      </c>
      <c r="AK60">
        <f t="shared" si="2"/>
        <v>5</v>
      </c>
      <c r="AL60">
        <f t="shared" si="10"/>
        <v>4</v>
      </c>
      <c r="AM60" t="str">
        <f t="shared" si="11"/>
        <v>April</v>
      </c>
      <c r="AN60">
        <f t="shared" si="12"/>
        <v>2023</v>
      </c>
      <c r="AO60" t="str">
        <f t="shared" si="13"/>
        <v>&gt;3</v>
      </c>
      <c r="AP60" t="str">
        <f t="shared" si="14"/>
        <v>&gt;3</v>
      </c>
      <c r="AQ60" t="str">
        <f t="shared" si="15"/>
        <v>&gt;3</v>
      </c>
    </row>
    <row r="61" spans="1:43" x14ac:dyDescent="0.3">
      <c r="A61" t="s">
        <v>33</v>
      </c>
      <c r="B61" t="s">
        <v>64</v>
      </c>
      <c r="C61" t="s">
        <v>169</v>
      </c>
      <c r="D61">
        <v>2153</v>
      </c>
      <c r="E61">
        <v>23120034</v>
      </c>
      <c r="F61" t="s">
        <v>170</v>
      </c>
      <c r="G61" t="s">
        <v>171</v>
      </c>
      <c r="H61">
        <v>1600</v>
      </c>
      <c r="I61">
        <v>22.25</v>
      </c>
      <c r="J61">
        <v>35600</v>
      </c>
      <c r="K61" s="7" t="str">
        <f>IFERROR(IF(B61&lt;&gt;"", TEXT(VLOOKUP(B61, 'Expected Date'!A:B, 2, FALSE) + DATE(RIGHT(C61,2),MID(C61,4,2),LEFT(C61,2)), "dd/mm/yy"), ""), "")</f>
        <v>04/06/23</v>
      </c>
      <c r="L61" t="s">
        <v>38</v>
      </c>
      <c r="M61" t="s">
        <v>39</v>
      </c>
      <c r="N61" t="s">
        <v>69</v>
      </c>
      <c r="O61" t="s">
        <v>172</v>
      </c>
      <c r="P61">
        <v>23190338</v>
      </c>
      <c r="Q61" t="s">
        <v>170</v>
      </c>
      <c r="R61" t="s">
        <v>171</v>
      </c>
      <c r="S61">
        <v>1600</v>
      </c>
      <c r="T61">
        <v>22.25</v>
      </c>
      <c r="U61">
        <v>35600</v>
      </c>
      <c r="V61" t="str">
        <f t="shared" si="16"/>
        <v>Hyderabad</v>
      </c>
      <c r="W61" t="str">
        <f>VLOOKUP(B61, Currency!A:B, 2, FALSE)</f>
        <v>INR</v>
      </c>
      <c r="X61" t="str">
        <f t="shared" si="16"/>
        <v>Accepted</v>
      </c>
      <c r="Y61">
        <f>IFERROR(VLOOKUP(N61, Payment_Terms!A:B, 2, FALSE), "Payment term not found!")</f>
        <v>30</v>
      </c>
      <c r="Z61" t="str">
        <f>IFERROR(VLOOKUP(R61, Item_Category!A:B, 2, FALSE), "Uncategorized")</f>
        <v>Bags</v>
      </c>
      <c r="AA61" s="5">
        <f t="shared" si="3"/>
        <v>0</v>
      </c>
      <c r="AB61">
        <f t="shared" si="4"/>
        <v>5</v>
      </c>
      <c r="AC61" s="10">
        <f t="shared" si="5"/>
        <v>-59</v>
      </c>
      <c r="AD61">
        <f t="shared" si="6"/>
        <v>5</v>
      </c>
      <c r="AE61" s="10">
        <f t="shared" si="7"/>
        <v>49</v>
      </c>
      <c r="AF61" s="5">
        <f t="shared" si="0"/>
        <v>1</v>
      </c>
      <c r="AG61" s="5">
        <f t="shared" si="1"/>
        <v>1</v>
      </c>
      <c r="AH61" s="5">
        <f t="shared" si="8"/>
        <v>0</v>
      </c>
      <c r="AI61">
        <f>IF(B61&lt;&gt;"", COUNTIFS($B$2:B61, B61), "")</f>
        <v>4</v>
      </c>
      <c r="AJ61">
        <f t="shared" si="9"/>
        <v>5</v>
      </c>
      <c r="AK61">
        <f t="shared" si="2"/>
        <v>5</v>
      </c>
      <c r="AL61">
        <f t="shared" si="10"/>
        <v>5</v>
      </c>
      <c r="AM61" t="str">
        <f t="shared" si="11"/>
        <v>May</v>
      </c>
      <c r="AN61">
        <f t="shared" si="12"/>
        <v>2023</v>
      </c>
      <c r="AO61" t="str">
        <f t="shared" si="13"/>
        <v>&gt;3</v>
      </c>
      <c r="AP61" t="str">
        <f t="shared" si="14"/>
        <v>&gt;3</v>
      </c>
      <c r="AQ61" t="str">
        <f t="shared" si="15"/>
        <v>&gt;3</v>
      </c>
    </row>
    <row r="62" spans="1:43" x14ac:dyDescent="0.3">
      <c r="A62" t="s">
        <v>95</v>
      </c>
      <c r="B62" t="s">
        <v>173</v>
      </c>
      <c r="C62" t="s">
        <v>174</v>
      </c>
      <c r="D62">
        <v>1892</v>
      </c>
      <c r="E62">
        <v>23120029</v>
      </c>
      <c r="F62" t="s">
        <v>175</v>
      </c>
      <c r="G62" t="s">
        <v>176</v>
      </c>
      <c r="H62">
        <v>50</v>
      </c>
      <c r="I62">
        <v>700</v>
      </c>
      <c r="J62">
        <v>2829750</v>
      </c>
      <c r="K62" s="7" t="str">
        <f>IFERROR(IF(B62&lt;&gt;"", TEXT(VLOOKUP(B62, 'Expected Date'!A:B, 2, FALSE) + DATE(RIGHT(C62,2),MID(C62,4,2),LEFT(C62,2)), "dd/mm/yy"), ""), "")</f>
        <v>20/07/23</v>
      </c>
      <c r="L62" t="s">
        <v>38</v>
      </c>
      <c r="M62" t="str">
        <f>M47</f>
        <v>MT</v>
      </c>
      <c r="N62" t="s">
        <v>177</v>
      </c>
      <c r="O62" t="s">
        <v>178</v>
      </c>
      <c r="P62">
        <v>23191038</v>
      </c>
      <c r="Q62" t="s">
        <v>175</v>
      </c>
      <c r="R62" t="s">
        <v>176</v>
      </c>
      <c r="S62">
        <v>51.328000000000003</v>
      </c>
      <c r="T62">
        <v>700</v>
      </c>
      <c r="U62">
        <v>2953413.12</v>
      </c>
      <c r="V62" t="str">
        <f t="shared" si="16"/>
        <v>Hyderabad</v>
      </c>
      <c r="W62" t="str">
        <f>VLOOKUP(B62, Currency!A:B, 2, FALSE)</f>
        <v>USD</v>
      </c>
      <c r="X62" t="str">
        <f t="shared" si="16"/>
        <v>Accepted</v>
      </c>
      <c r="Y62">
        <f>IFERROR(VLOOKUP(N62, Payment_Terms!A:B, 2, FALSE), "Payment term not found!")</f>
        <v>0</v>
      </c>
      <c r="Z62" t="str">
        <f>IFERROR(VLOOKUP(R62, Item_Category!A:B, 2, FALSE), "Uncategorized")</f>
        <v>Wood pulp</v>
      </c>
      <c r="AA62" s="5">
        <f t="shared" si="3"/>
        <v>0</v>
      </c>
      <c r="AB62">
        <f t="shared" si="4"/>
        <v>5</v>
      </c>
      <c r="AC62" s="10">
        <f t="shared" si="5"/>
        <v>43</v>
      </c>
      <c r="AD62">
        <f t="shared" si="6"/>
        <v>1</v>
      </c>
      <c r="AE62" s="10">
        <f t="shared" si="7"/>
        <v>108</v>
      </c>
      <c r="AF62" s="5">
        <f t="shared" si="0"/>
        <v>1</v>
      </c>
      <c r="AG62" s="5">
        <f t="shared" si="1"/>
        <v>1</v>
      </c>
      <c r="AH62" s="5">
        <f t="shared" si="8"/>
        <v>0</v>
      </c>
      <c r="AI62">
        <f>IF(B62&lt;&gt;"", COUNTIFS($B$2:B62, B62), "")</f>
        <v>1</v>
      </c>
      <c r="AJ62">
        <f t="shared" si="9"/>
        <v>5</v>
      </c>
      <c r="AK62">
        <f t="shared" si="2"/>
        <v>4</v>
      </c>
      <c r="AL62">
        <f t="shared" si="10"/>
        <v>5</v>
      </c>
      <c r="AM62" t="str">
        <f t="shared" si="11"/>
        <v>May</v>
      </c>
      <c r="AN62">
        <f t="shared" si="12"/>
        <v>2023</v>
      </c>
      <c r="AO62" t="str">
        <f t="shared" si="13"/>
        <v>&gt;3</v>
      </c>
      <c r="AP62" t="str">
        <f t="shared" si="14"/>
        <v>&gt;3</v>
      </c>
      <c r="AQ62" t="str">
        <f t="shared" si="15"/>
        <v>&lt;=3</v>
      </c>
    </row>
    <row r="63" spans="1:43" x14ac:dyDescent="0.3">
      <c r="A63" t="s">
        <v>33</v>
      </c>
      <c r="B63" t="s">
        <v>147</v>
      </c>
      <c r="C63" t="s">
        <v>179</v>
      </c>
      <c r="D63">
        <v>2112</v>
      </c>
      <c r="E63">
        <v>23120033</v>
      </c>
      <c r="F63" t="s">
        <v>148</v>
      </c>
      <c r="G63" t="s">
        <v>149</v>
      </c>
      <c r="H63">
        <v>1500</v>
      </c>
      <c r="I63">
        <v>225</v>
      </c>
      <c r="J63">
        <v>337500</v>
      </c>
      <c r="K63" s="7" t="str">
        <f>IFERROR(IF(B63&lt;&gt;"", TEXT(VLOOKUP(B63, 'Expected Date'!A:B, 2, FALSE) + DATE(RIGHT(C63,2),MID(C63,4,2),LEFT(C63,2)), "dd/mm/yy"), ""), "")</f>
        <v>02/06/23</v>
      </c>
      <c r="L63" t="s">
        <v>38</v>
      </c>
      <c r="M63" t="s">
        <v>39</v>
      </c>
      <c r="N63" t="s">
        <v>49</v>
      </c>
      <c r="O63" t="s">
        <v>180</v>
      </c>
      <c r="P63">
        <v>23190650</v>
      </c>
      <c r="Q63" t="s">
        <v>148</v>
      </c>
      <c r="R63" t="s">
        <v>149</v>
      </c>
      <c r="S63">
        <v>515</v>
      </c>
      <c r="T63">
        <v>225</v>
      </c>
      <c r="U63">
        <v>115875</v>
      </c>
      <c r="V63" t="str">
        <f t="shared" si="16"/>
        <v>Hyderabad</v>
      </c>
      <c r="W63" t="str">
        <f>VLOOKUP(B63, Currency!A:B, 2, FALSE)</f>
        <v>INR</v>
      </c>
      <c r="X63" t="str">
        <f t="shared" si="16"/>
        <v>Accepted</v>
      </c>
      <c r="Y63">
        <f>IFERROR(VLOOKUP(N63, Payment_Terms!A:B, 2, FALSE), "Payment term not found!")</f>
        <v>30</v>
      </c>
      <c r="Z63" t="str">
        <f>IFERROR(VLOOKUP(R63, Item_Category!A:B, 2, FALSE), "Uncategorized")</f>
        <v>Fibre drum</v>
      </c>
      <c r="AA63" s="5">
        <f t="shared" si="3"/>
        <v>0</v>
      </c>
      <c r="AB63">
        <f t="shared" si="4"/>
        <v>5</v>
      </c>
      <c r="AC63" s="10">
        <f t="shared" si="5"/>
        <v>43</v>
      </c>
      <c r="AD63">
        <f t="shared" si="6"/>
        <v>1</v>
      </c>
      <c r="AE63" s="10">
        <f t="shared" si="7"/>
        <v>53</v>
      </c>
      <c r="AF63" s="5">
        <f t="shared" si="0"/>
        <v>1</v>
      </c>
      <c r="AG63" s="5">
        <f t="shared" si="1"/>
        <v>1</v>
      </c>
      <c r="AH63" s="5">
        <f t="shared" si="8"/>
        <v>0</v>
      </c>
      <c r="AI63">
        <f>IF(B63&lt;&gt;"", COUNTIFS($B$2:B63, B63), "")</f>
        <v>2</v>
      </c>
      <c r="AJ63">
        <f t="shared" si="9"/>
        <v>5</v>
      </c>
      <c r="AK63">
        <f t="shared" si="2"/>
        <v>4</v>
      </c>
      <c r="AL63">
        <f t="shared" si="10"/>
        <v>5</v>
      </c>
      <c r="AM63" t="str">
        <f t="shared" si="11"/>
        <v>May</v>
      </c>
      <c r="AN63">
        <f t="shared" si="12"/>
        <v>2023</v>
      </c>
      <c r="AO63" t="str">
        <f t="shared" si="13"/>
        <v>&gt;3</v>
      </c>
      <c r="AP63" t="str">
        <f t="shared" si="14"/>
        <v>&gt;3</v>
      </c>
      <c r="AQ63" t="str">
        <f t="shared" si="15"/>
        <v>&lt;=3</v>
      </c>
    </row>
    <row r="64" spans="1:43" x14ac:dyDescent="0.3">
      <c r="A64" t="s">
        <v>33</v>
      </c>
      <c r="B64" t="s">
        <v>107</v>
      </c>
      <c r="C64" t="s">
        <v>105</v>
      </c>
      <c r="D64">
        <v>4031</v>
      </c>
      <c r="E64">
        <v>23120109</v>
      </c>
      <c r="F64" t="s">
        <v>166</v>
      </c>
      <c r="G64" t="s">
        <v>167</v>
      </c>
      <c r="H64">
        <v>2000</v>
      </c>
      <c r="I64">
        <v>33.75</v>
      </c>
      <c r="J64">
        <v>67500</v>
      </c>
      <c r="K64" s="7" t="str">
        <f>IFERROR(IF(B64&lt;&gt;"", TEXT(VLOOKUP(B64, 'Expected Date'!A:B, 2, FALSE) + DATE(RIGHT(C64,2),MID(C64,4,2),LEFT(C64,2)), "dd/mm/yy"), ""), "")</f>
        <v>04/09/23</v>
      </c>
      <c r="L64" t="s">
        <v>38</v>
      </c>
      <c r="M64" t="s">
        <v>39</v>
      </c>
      <c r="N64" t="s">
        <v>109</v>
      </c>
      <c r="O64" t="s">
        <v>181</v>
      </c>
      <c r="P64">
        <v>23191104</v>
      </c>
      <c r="Q64" t="s">
        <v>166</v>
      </c>
      <c r="R64" t="s">
        <v>167</v>
      </c>
      <c r="S64">
        <v>2008</v>
      </c>
      <c r="T64">
        <v>33.75</v>
      </c>
      <c r="U64">
        <v>67770</v>
      </c>
      <c r="V64" t="str">
        <f t="shared" si="16"/>
        <v>Hyderabad</v>
      </c>
      <c r="W64" t="str">
        <f>VLOOKUP(B64, Currency!A:B, 2, FALSE)</f>
        <v>INR</v>
      </c>
      <c r="X64" t="str">
        <f t="shared" si="16"/>
        <v>Accepted</v>
      </c>
      <c r="Y64">
        <f>IFERROR(VLOOKUP(N64, Payment_Terms!A:B, 2, FALSE), "Payment term not found!")</f>
        <v>0</v>
      </c>
      <c r="Z64" t="str">
        <f>IFERROR(VLOOKUP(R64, Item_Category!A:B, 2, FALSE), "Uncategorized")</f>
        <v>Bags</v>
      </c>
      <c r="AA64" s="5">
        <f t="shared" si="3"/>
        <v>0</v>
      </c>
      <c r="AB64">
        <f t="shared" si="4"/>
        <v>5</v>
      </c>
      <c r="AC64" s="10">
        <f t="shared" si="5"/>
        <v>17</v>
      </c>
      <c r="AD64">
        <f t="shared" si="6"/>
        <v>1</v>
      </c>
      <c r="AE64" s="10">
        <f t="shared" si="7"/>
        <v>27</v>
      </c>
      <c r="AF64" s="5">
        <f t="shared" si="0"/>
        <v>1</v>
      </c>
      <c r="AG64" s="5">
        <f t="shared" si="1"/>
        <v>1</v>
      </c>
      <c r="AH64" s="5">
        <f t="shared" si="8"/>
        <v>0</v>
      </c>
      <c r="AI64">
        <f>IF(B64&lt;&gt;"", COUNTIFS($B$2:B64, B64), "")</f>
        <v>3</v>
      </c>
      <c r="AJ64">
        <f t="shared" si="9"/>
        <v>5</v>
      </c>
      <c r="AK64">
        <f t="shared" si="2"/>
        <v>4</v>
      </c>
      <c r="AL64">
        <f t="shared" si="10"/>
        <v>8</v>
      </c>
      <c r="AM64" t="str">
        <f t="shared" si="11"/>
        <v>August</v>
      </c>
      <c r="AN64">
        <f t="shared" si="12"/>
        <v>2023</v>
      </c>
      <c r="AO64" t="str">
        <f t="shared" si="13"/>
        <v>&gt;3</v>
      </c>
      <c r="AP64" t="str">
        <f t="shared" si="14"/>
        <v>&gt;3</v>
      </c>
      <c r="AQ64" t="str">
        <f t="shared" si="15"/>
        <v>&lt;=3</v>
      </c>
    </row>
    <row r="65" spans="1:43" x14ac:dyDescent="0.3">
      <c r="A65" t="s">
        <v>33</v>
      </c>
      <c r="B65" t="s">
        <v>150</v>
      </c>
      <c r="C65" t="s">
        <v>182</v>
      </c>
      <c r="D65">
        <v>2409</v>
      </c>
      <c r="E65">
        <v>23110192</v>
      </c>
      <c r="F65" t="s">
        <v>135</v>
      </c>
      <c r="G65" t="s">
        <v>136</v>
      </c>
      <c r="H65">
        <v>200</v>
      </c>
      <c r="I65">
        <v>6904.76</v>
      </c>
      <c r="J65">
        <v>1380952</v>
      </c>
      <c r="K65" s="7" t="str">
        <f>IFERROR(IF(B65&lt;&gt;"", TEXT(VLOOKUP(B65, 'Expected Date'!A:B, 2, FALSE) + DATE(RIGHT(C65,2),MID(C65,4,2),LEFT(C65,2)), "dd/mm/yy"), ""), "")</f>
        <v>23/06/23</v>
      </c>
      <c r="L65" t="s">
        <v>38</v>
      </c>
      <c r="M65" t="s">
        <v>48</v>
      </c>
      <c r="N65" t="s">
        <v>183</v>
      </c>
      <c r="O65" t="s">
        <v>184</v>
      </c>
      <c r="P65">
        <v>23190440</v>
      </c>
      <c r="Q65" t="s">
        <v>135</v>
      </c>
      <c r="R65" t="s">
        <v>136</v>
      </c>
      <c r="S65">
        <v>19</v>
      </c>
      <c r="T65">
        <v>6904.76</v>
      </c>
      <c r="U65">
        <v>131190.44</v>
      </c>
      <c r="V65" t="str">
        <f t="shared" si="16"/>
        <v>Hyderabad</v>
      </c>
      <c r="W65" t="str">
        <f>VLOOKUP(B65, Currency!A:B, 2, FALSE)</f>
        <v>INR</v>
      </c>
      <c r="X65" t="str">
        <f t="shared" si="16"/>
        <v>Accepted</v>
      </c>
      <c r="Y65">
        <f>IFERROR(VLOOKUP(N65, Payment_Terms!A:B, 2, FALSE), "Payment term not found!")</f>
        <v>30</v>
      </c>
      <c r="Z65" t="str">
        <f>IFERROR(VLOOKUP(R65, Item_Category!A:B, 2, FALSE), "Uncategorized")</f>
        <v>Coal materials</v>
      </c>
      <c r="AA65" s="5">
        <f t="shared" si="3"/>
        <v>0</v>
      </c>
      <c r="AB65">
        <f t="shared" si="4"/>
        <v>5</v>
      </c>
      <c r="AC65" s="10">
        <f t="shared" si="5"/>
        <v>-7</v>
      </c>
      <c r="AD65">
        <f t="shared" si="6"/>
        <v>5</v>
      </c>
      <c r="AE65" s="10">
        <f t="shared" si="7"/>
        <v>3</v>
      </c>
      <c r="AF65" s="5">
        <f t="shared" si="0"/>
        <v>1</v>
      </c>
      <c r="AG65" s="5">
        <f t="shared" si="1"/>
        <v>1</v>
      </c>
      <c r="AH65" s="5">
        <f t="shared" si="8"/>
        <v>0</v>
      </c>
      <c r="AI65">
        <f>IF(B65&lt;&gt;"", COUNTIFS($B$2:B65, B65), "")</f>
        <v>2</v>
      </c>
      <c r="AJ65">
        <f t="shared" si="9"/>
        <v>5</v>
      </c>
      <c r="AK65">
        <f t="shared" si="2"/>
        <v>5</v>
      </c>
      <c r="AL65">
        <f t="shared" si="10"/>
        <v>6</v>
      </c>
      <c r="AM65" t="str">
        <f t="shared" si="11"/>
        <v>June</v>
      </c>
      <c r="AN65">
        <f t="shared" si="12"/>
        <v>2023</v>
      </c>
      <c r="AO65" t="str">
        <f t="shared" si="13"/>
        <v>&gt;3</v>
      </c>
      <c r="AP65" t="str">
        <f t="shared" si="14"/>
        <v>&gt;3</v>
      </c>
      <c r="AQ65" t="str">
        <f t="shared" si="15"/>
        <v>&gt;3</v>
      </c>
    </row>
    <row r="66" spans="1:43" x14ac:dyDescent="0.3">
      <c r="A66" t="s">
        <v>33</v>
      </c>
      <c r="B66" t="s">
        <v>150</v>
      </c>
      <c r="C66" t="s">
        <v>182</v>
      </c>
      <c r="D66">
        <v>2409</v>
      </c>
      <c r="E66">
        <v>23110192</v>
      </c>
      <c r="F66" t="s">
        <v>135</v>
      </c>
      <c r="G66" t="s">
        <v>136</v>
      </c>
      <c r="H66">
        <v>200</v>
      </c>
      <c r="I66">
        <v>6904.76</v>
      </c>
      <c r="J66">
        <v>1380952</v>
      </c>
      <c r="K66" s="7" t="str">
        <f>IFERROR(IF(B66&lt;&gt;"", TEXT(VLOOKUP(B66, 'Expected Date'!A:B, 2, FALSE) + DATE(RIGHT(C66,2),MID(C66,4,2),LEFT(C66,2)), "dd/mm/yy"), ""), "")</f>
        <v>23/06/23</v>
      </c>
      <c r="L66" t="s">
        <v>38</v>
      </c>
      <c r="M66" t="s">
        <v>48</v>
      </c>
      <c r="N66" t="s">
        <v>183</v>
      </c>
      <c r="O66" t="s">
        <v>184</v>
      </c>
      <c r="P66">
        <v>23190441</v>
      </c>
      <c r="Q66" t="s">
        <v>135</v>
      </c>
      <c r="R66" t="s">
        <v>136</v>
      </c>
      <c r="S66">
        <v>19</v>
      </c>
      <c r="T66">
        <v>6904.76</v>
      </c>
      <c r="U66">
        <v>131190.44</v>
      </c>
      <c r="V66" t="str">
        <f t="shared" si="16"/>
        <v>Hyderabad</v>
      </c>
      <c r="W66" t="str">
        <f>VLOOKUP(B66, Currency!A:B, 2, FALSE)</f>
        <v>INR</v>
      </c>
      <c r="X66" t="str">
        <f t="shared" si="16"/>
        <v>Accepted</v>
      </c>
      <c r="Y66">
        <f>IFERROR(VLOOKUP(N66, Payment_Terms!A:B, 2, FALSE), "Payment term not found!")</f>
        <v>30</v>
      </c>
      <c r="Z66" t="str">
        <f>IFERROR(VLOOKUP(R66, Item_Category!A:B, 2, FALSE), "Uncategorized")</f>
        <v>Coal materials</v>
      </c>
      <c r="AA66" s="5">
        <f t="shared" si="3"/>
        <v>0</v>
      </c>
      <c r="AB66">
        <f t="shared" si="4"/>
        <v>5</v>
      </c>
      <c r="AC66" s="10">
        <f t="shared" si="5"/>
        <v>-7</v>
      </c>
      <c r="AD66">
        <f t="shared" si="6"/>
        <v>5</v>
      </c>
      <c r="AE66" s="10">
        <f t="shared" si="7"/>
        <v>3</v>
      </c>
      <c r="AF66" s="5">
        <f t="shared" ref="AF66:AF129" si="17">IF(X66="Accepted",1,0)</f>
        <v>1</v>
      </c>
      <c r="AG66" s="5">
        <f t="shared" ref="AG66:AG129" si="18">ROUNDUP((SUMIFS(S:S, B:B, B66, X:X, "Accepted")/SUMIF(B:B,B66,S:S)),2)</f>
        <v>1</v>
      </c>
      <c r="AH66" s="5">
        <f t="shared" si="8"/>
        <v>0</v>
      </c>
      <c r="AI66">
        <f>IF(B66&lt;&gt;"", COUNTIFS($B$2:B66, B66), "")</f>
        <v>3</v>
      </c>
      <c r="AJ66">
        <f t="shared" si="9"/>
        <v>5</v>
      </c>
      <c r="AK66">
        <f t="shared" ref="AK66:AK129" si="19">_xlfn.CEILING.MATH(((0.4*AJ66)+(0.3*AD66)+(0.3*AB66)),1)</f>
        <v>5</v>
      </c>
      <c r="AL66">
        <f t="shared" si="10"/>
        <v>6</v>
      </c>
      <c r="AM66" t="str">
        <f t="shared" si="11"/>
        <v>June</v>
      </c>
      <c r="AN66">
        <f t="shared" si="12"/>
        <v>2023</v>
      </c>
      <c r="AO66" t="str">
        <f t="shared" si="13"/>
        <v>&gt;3</v>
      </c>
      <c r="AP66" t="str">
        <f t="shared" si="14"/>
        <v>&gt;3</v>
      </c>
      <c r="AQ66" t="str">
        <f t="shared" si="15"/>
        <v>&gt;3</v>
      </c>
    </row>
    <row r="67" spans="1:43" x14ac:dyDescent="0.3">
      <c r="A67" t="s">
        <v>33</v>
      </c>
      <c r="B67" t="s">
        <v>150</v>
      </c>
      <c r="C67" t="s">
        <v>182</v>
      </c>
      <c r="D67">
        <v>2409</v>
      </c>
      <c r="E67">
        <v>23110192</v>
      </c>
      <c r="F67" t="s">
        <v>135</v>
      </c>
      <c r="G67" t="s">
        <v>136</v>
      </c>
      <c r="H67">
        <v>200</v>
      </c>
      <c r="I67">
        <v>6904.76</v>
      </c>
      <c r="J67">
        <v>1380952</v>
      </c>
      <c r="K67" s="7" t="str">
        <f>IFERROR(IF(B67&lt;&gt;"", TEXT(VLOOKUP(B67, 'Expected Date'!A:B, 2, FALSE) + DATE(RIGHT(C67,2),MID(C67,4,2),LEFT(C67,2)), "dd/mm/yy"), ""), "")</f>
        <v>23/06/23</v>
      </c>
      <c r="L67" t="s">
        <v>38</v>
      </c>
      <c r="M67" t="s">
        <v>48</v>
      </c>
      <c r="N67" t="s">
        <v>183</v>
      </c>
      <c r="O67" t="s">
        <v>184</v>
      </c>
      <c r="P67">
        <v>23190442</v>
      </c>
      <c r="Q67" t="s">
        <v>135</v>
      </c>
      <c r="R67" t="s">
        <v>136</v>
      </c>
      <c r="S67">
        <v>20</v>
      </c>
      <c r="T67">
        <v>6904.76</v>
      </c>
      <c r="U67">
        <v>138095.20000000001</v>
      </c>
      <c r="V67" t="str">
        <f t="shared" si="16"/>
        <v>Hyderabad</v>
      </c>
      <c r="W67" t="str">
        <f>VLOOKUP(B67, Currency!A:B, 2, FALSE)</f>
        <v>INR</v>
      </c>
      <c r="X67" t="str">
        <f t="shared" si="16"/>
        <v>Accepted</v>
      </c>
      <c r="Y67">
        <f>IFERROR(VLOOKUP(N67, Payment_Terms!A:B, 2, FALSE), "Payment term not found!")</f>
        <v>30</v>
      </c>
      <c r="Z67" t="str">
        <f>IFERROR(VLOOKUP(R67, Item_Category!A:B, 2, FALSE), "Uncategorized")</f>
        <v>Coal materials</v>
      </c>
      <c r="AA67" s="5">
        <f t="shared" ref="AA67:AA130" si="20">IFERROR(IF(AND(E67&lt;&gt;"", G67&lt;&gt;""), MAX(0, (H67-SUMIFS(S:S, E:E, E67, G:G, G67))/H67), ""), (H67-S67)/H67)</f>
        <v>0</v>
      </c>
      <c r="AB67">
        <f t="shared" ref="AB67:AB130" si="21">IF(AA67&lt;=0%,5,(IF(AND(AA67&gt;0%,AA67&lt;=2%),4,IF(AND(AA67&gt;2%,AA67&lt;=5%),3,IF(AND(AA67&gt;5%,AA67&lt;10%),2,1)))))</f>
        <v>5</v>
      </c>
      <c r="AC67" s="10">
        <f t="shared" ref="AC67:AC130" si="22">DATE(RIGHT(O67,2),MID(O67,4,2),LEFT(O67,2)) - DATE(RIGHT(K67,2),MID(K67,4,2),LEFT(K67,2))</f>
        <v>-7</v>
      </c>
      <c r="AD67">
        <f t="shared" ref="AD67:AD130" si="23">IF(AC67 &lt;= 2, 5, IF(AC67 &lt;= 4, 4, IF(AC67 &lt;= 7, 3, IF(AC67&lt;=10,2,1))))</f>
        <v>5</v>
      </c>
      <c r="AE67" s="10">
        <f t="shared" ref="AE67:AE130" si="24">ABS(DATE(RIGHT(O67,2),MID(O67,4,2),LEFT(O67,2)) - DATE(RIGHT(C67,2),MID(C67,4,2),LEFT(C67,2)))</f>
        <v>3</v>
      </c>
      <c r="AF67" s="5">
        <f t="shared" si="17"/>
        <v>1</v>
      </c>
      <c r="AG67" s="5">
        <f t="shared" si="18"/>
        <v>1</v>
      </c>
      <c r="AH67" s="5">
        <f t="shared" ref="AH67:AH130" si="25">ROUNDUP(ABS(100%-AG67),2)</f>
        <v>0</v>
      </c>
      <c r="AI67">
        <f>IF(B67&lt;&gt;"", COUNTIFS($B$2:B67, B67), "")</f>
        <v>4</v>
      </c>
      <c r="AJ67">
        <f t="shared" ref="AJ67:AJ130" si="26">IF(AH67=0%,5,IF(AND(AH67&gt;0%,AH67&lt;=2%),4,IF(AND(AH67&gt;2%,AH67&lt;=5%),3,IF(AND(AH67&gt;5%,AH67&lt;10%),2,1))))</f>
        <v>5</v>
      </c>
      <c r="AK67">
        <f t="shared" si="19"/>
        <v>5</v>
      </c>
      <c r="AL67">
        <f t="shared" ref="AL67:AL130" si="27">MONTH(DATE(RIGHT(C67,2),MID(C67,4,2),LEFT(C67,2)))</f>
        <v>6</v>
      </c>
      <c r="AM67" t="str">
        <f t="shared" ref="AM67:AM130" si="28">TEXT(DATE(RIGHT(C67,2),MID(C67,4,2),LEFT(C67,2)),"mmmm")</f>
        <v>June</v>
      </c>
      <c r="AN67">
        <f t="shared" ref="AN67:AN130" si="29">YEAR(DATE(VALUE(MID(C67,7,2))+2000, MID(C67,4,2), MID(C67,1,2)))</f>
        <v>2023</v>
      </c>
      <c r="AO67" t="str">
        <f t="shared" ref="AO67:AO130" si="30">IF(AJ67&lt;=3,"&lt;=3","&gt;3")</f>
        <v>&gt;3</v>
      </c>
      <c r="AP67" t="str">
        <f t="shared" ref="AP67:AP130" si="31">IF(AB67&lt;=3,"&lt;=3","&gt;3")</f>
        <v>&gt;3</v>
      </c>
      <c r="AQ67" t="str">
        <f t="shared" ref="AQ67:AQ130" si="32">IF(AD67&lt;=3,"&lt;=3","&gt;3")</f>
        <v>&gt;3</v>
      </c>
    </row>
    <row r="68" spans="1:43" x14ac:dyDescent="0.3">
      <c r="A68" t="s">
        <v>33</v>
      </c>
      <c r="B68" t="s">
        <v>150</v>
      </c>
      <c r="C68" t="s">
        <v>182</v>
      </c>
      <c r="D68">
        <v>2409</v>
      </c>
      <c r="E68">
        <v>23110192</v>
      </c>
      <c r="F68" t="s">
        <v>135</v>
      </c>
      <c r="G68" t="s">
        <v>136</v>
      </c>
      <c r="H68">
        <v>200</v>
      </c>
      <c r="I68">
        <v>6904.76</v>
      </c>
      <c r="J68">
        <v>1380952</v>
      </c>
      <c r="K68" s="7" t="str">
        <f>IFERROR(IF(B68&lt;&gt;"", TEXT(VLOOKUP(B68, 'Expected Date'!A:B, 2, FALSE) + DATE(RIGHT(C68,2),MID(C68,4,2),LEFT(C68,2)), "dd/mm/yy"), ""), "")</f>
        <v>23/06/23</v>
      </c>
      <c r="L68" t="s">
        <v>38</v>
      </c>
      <c r="M68" t="s">
        <v>48</v>
      </c>
      <c r="N68" t="s">
        <v>183</v>
      </c>
      <c r="O68" t="s">
        <v>45</v>
      </c>
      <c r="P68">
        <v>23190444</v>
      </c>
      <c r="Q68" t="s">
        <v>135</v>
      </c>
      <c r="R68" t="s">
        <v>136</v>
      </c>
      <c r="S68">
        <v>25</v>
      </c>
      <c r="T68">
        <v>6904.76</v>
      </c>
      <c r="U68">
        <v>172619</v>
      </c>
      <c r="V68" t="str">
        <f t="shared" ref="V68:V131" si="33">V67</f>
        <v>Hyderabad</v>
      </c>
      <c r="W68" t="str">
        <f>VLOOKUP(B68, Currency!A:B, 2, FALSE)</f>
        <v>INR</v>
      </c>
      <c r="X68" t="str">
        <f t="shared" ref="X68:X131" si="34">X67</f>
        <v>Accepted</v>
      </c>
      <c r="Y68">
        <f>IFERROR(VLOOKUP(N68, Payment_Terms!A:B, 2, FALSE), "Payment term not found!")</f>
        <v>30</v>
      </c>
      <c r="Z68" t="str">
        <f>IFERROR(VLOOKUP(R68, Item_Category!A:B, 2, FALSE), "Uncategorized")</f>
        <v>Coal materials</v>
      </c>
      <c r="AA68" s="5">
        <f t="shared" si="20"/>
        <v>0</v>
      </c>
      <c r="AB68">
        <f t="shared" si="21"/>
        <v>5</v>
      </c>
      <c r="AC68" s="10">
        <f t="shared" si="22"/>
        <v>-6</v>
      </c>
      <c r="AD68">
        <f t="shared" si="23"/>
        <v>5</v>
      </c>
      <c r="AE68" s="10">
        <f t="shared" si="24"/>
        <v>4</v>
      </c>
      <c r="AF68" s="5">
        <f t="shared" si="17"/>
        <v>1</v>
      </c>
      <c r="AG68" s="5">
        <f t="shared" si="18"/>
        <v>1</v>
      </c>
      <c r="AH68" s="5">
        <f t="shared" si="25"/>
        <v>0</v>
      </c>
      <c r="AI68">
        <f>IF(B68&lt;&gt;"", COUNTIFS($B$2:B68, B68), "")</f>
        <v>5</v>
      </c>
      <c r="AJ68">
        <f t="shared" si="26"/>
        <v>5</v>
      </c>
      <c r="AK68">
        <f t="shared" si="19"/>
        <v>5</v>
      </c>
      <c r="AL68">
        <f t="shared" si="27"/>
        <v>6</v>
      </c>
      <c r="AM68" t="str">
        <f t="shared" si="28"/>
        <v>June</v>
      </c>
      <c r="AN68">
        <f t="shared" si="29"/>
        <v>2023</v>
      </c>
      <c r="AO68" t="str">
        <f t="shared" si="30"/>
        <v>&gt;3</v>
      </c>
      <c r="AP68" t="str">
        <f t="shared" si="31"/>
        <v>&gt;3</v>
      </c>
      <c r="AQ68" t="str">
        <f t="shared" si="32"/>
        <v>&gt;3</v>
      </c>
    </row>
    <row r="69" spans="1:43" x14ac:dyDescent="0.3">
      <c r="A69" t="s">
        <v>33</v>
      </c>
      <c r="B69" t="s">
        <v>185</v>
      </c>
      <c r="C69" t="s">
        <v>108</v>
      </c>
      <c r="D69">
        <v>1809</v>
      </c>
      <c r="E69">
        <v>23120023</v>
      </c>
      <c r="F69" t="s">
        <v>186</v>
      </c>
      <c r="G69" t="s">
        <v>187</v>
      </c>
      <c r="H69">
        <v>4000</v>
      </c>
      <c r="I69">
        <v>126</v>
      </c>
      <c r="J69">
        <v>504000</v>
      </c>
      <c r="K69" s="7" t="str">
        <f>IFERROR(IF(B69&lt;&gt;"", TEXT(VLOOKUP(B69, 'Expected Date'!A:B, 2, FALSE) + DATE(RIGHT(C69,2),MID(C69,4,2),LEFT(C69,2)), "dd/mm/yy"), ""), "")</f>
        <v>20/05/23</v>
      </c>
      <c r="L69" t="s">
        <v>68</v>
      </c>
      <c r="M69" t="s">
        <v>48</v>
      </c>
      <c r="N69" t="s">
        <v>188</v>
      </c>
      <c r="O69" t="s">
        <v>45</v>
      </c>
      <c r="P69">
        <v>23190445</v>
      </c>
      <c r="Q69" t="s">
        <v>186</v>
      </c>
      <c r="R69" t="s">
        <v>187</v>
      </c>
      <c r="S69">
        <v>1978</v>
      </c>
      <c r="T69">
        <v>126</v>
      </c>
      <c r="U69">
        <v>249228</v>
      </c>
      <c r="V69" t="str">
        <f t="shared" si="33"/>
        <v>Hyderabad</v>
      </c>
      <c r="W69" t="str">
        <f>VLOOKUP(B69, Currency!A:B, 2, FALSE)</f>
        <v>INR</v>
      </c>
      <c r="X69" t="str">
        <f t="shared" si="34"/>
        <v>Accepted</v>
      </c>
      <c r="Y69">
        <f>IFERROR(VLOOKUP(N69, Payment_Terms!A:B, 2, FALSE), "Payment term not found!")</f>
        <v>30</v>
      </c>
      <c r="Z69" t="str">
        <f>IFERROR(VLOOKUP(R69, Item_Category!A:B, 2, FALSE), "Uncategorized")</f>
        <v>Liner</v>
      </c>
      <c r="AA69" s="5">
        <f t="shared" si="20"/>
        <v>1.0500000000000001E-2</v>
      </c>
      <c r="AB69">
        <f t="shared" si="21"/>
        <v>4</v>
      </c>
      <c r="AC69" s="10">
        <f t="shared" si="22"/>
        <v>28</v>
      </c>
      <c r="AD69">
        <f t="shared" si="23"/>
        <v>1</v>
      </c>
      <c r="AE69" s="10">
        <f t="shared" si="24"/>
        <v>38</v>
      </c>
      <c r="AF69" s="5">
        <f t="shared" si="17"/>
        <v>1</v>
      </c>
      <c r="AG69" s="5">
        <f t="shared" si="18"/>
        <v>1</v>
      </c>
      <c r="AH69" s="5">
        <f t="shared" si="25"/>
        <v>0</v>
      </c>
      <c r="AI69">
        <f>IF(B69&lt;&gt;"", COUNTIFS($B$2:B69, B69), "")</f>
        <v>1</v>
      </c>
      <c r="AJ69">
        <f t="shared" si="26"/>
        <v>5</v>
      </c>
      <c r="AK69">
        <f t="shared" si="19"/>
        <v>4</v>
      </c>
      <c r="AL69">
        <f t="shared" si="27"/>
        <v>5</v>
      </c>
      <c r="AM69" t="str">
        <f t="shared" si="28"/>
        <v>May</v>
      </c>
      <c r="AN69">
        <f t="shared" si="29"/>
        <v>2023</v>
      </c>
      <c r="AO69" t="str">
        <f t="shared" si="30"/>
        <v>&gt;3</v>
      </c>
      <c r="AP69" t="str">
        <f t="shared" si="31"/>
        <v>&gt;3</v>
      </c>
      <c r="AQ69" t="str">
        <f t="shared" si="32"/>
        <v>&lt;=3</v>
      </c>
    </row>
    <row r="70" spans="1:43" x14ac:dyDescent="0.3">
      <c r="A70" t="s">
        <v>33</v>
      </c>
      <c r="B70" t="s">
        <v>150</v>
      </c>
      <c r="C70" t="s">
        <v>151</v>
      </c>
      <c r="D70">
        <v>4381</v>
      </c>
      <c r="E70">
        <v>23120122</v>
      </c>
      <c r="F70" t="s">
        <v>152</v>
      </c>
      <c r="G70" t="s">
        <v>54</v>
      </c>
      <c r="H70">
        <v>200</v>
      </c>
      <c r="I70">
        <v>7900</v>
      </c>
      <c r="J70">
        <v>1580000</v>
      </c>
      <c r="K70" s="7" t="str">
        <f>IFERROR(IF(B70&lt;&gt;"", TEXT(VLOOKUP(B70, 'Expected Date'!A:B, 2, FALSE) + DATE(RIGHT(C70,2),MID(C70,4,2),LEFT(C70,2)), "dd/mm/yy"), ""), "")</f>
        <v>24/09/23</v>
      </c>
      <c r="L70" t="s">
        <v>38</v>
      </c>
      <c r="M70" t="s">
        <v>48</v>
      </c>
      <c r="N70" t="s">
        <v>155</v>
      </c>
      <c r="O70" t="s">
        <v>156</v>
      </c>
      <c r="P70">
        <v>23191110</v>
      </c>
      <c r="Q70" t="s">
        <v>152</v>
      </c>
      <c r="R70" t="s">
        <v>54</v>
      </c>
      <c r="S70">
        <v>31.16</v>
      </c>
      <c r="T70">
        <v>7900</v>
      </c>
      <c r="U70">
        <v>246164</v>
      </c>
      <c r="V70" t="str">
        <f t="shared" si="33"/>
        <v>Hyderabad</v>
      </c>
      <c r="W70" t="str">
        <f>VLOOKUP(B70, Currency!A:B, 2, FALSE)</f>
        <v>INR</v>
      </c>
      <c r="X70" t="str">
        <f t="shared" si="34"/>
        <v>Accepted</v>
      </c>
      <c r="Y70">
        <f>IFERROR(VLOOKUP(N70, Payment_Terms!A:B, 2, FALSE), "Payment term not found!")</f>
        <v>30</v>
      </c>
      <c r="Z70" t="str">
        <f>IFERROR(VLOOKUP(R70, Item_Category!A:B, 2, FALSE), "Uncategorized")</f>
        <v>Coal materials</v>
      </c>
      <c r="AA70" s="5">
        <f t="shared" si="20"/>
        <v>0</v>
      </c>
      <c r="AB70">
        <f t="shared" si="21"/>
        <v>5</v>
      </c>
      <c r="AC70" s="10">
        <f t="shared" si="22"/>
        <v>-6</v>
      </c>
      <c r="AD70">
        <f t="shared" si="23"/>
        <v>5</v>
      </c>
      <c r="AE70" s="10">
        <f t="shared" si="24"/>
        <v>4</v>
      </c>
      <c r="AF70" s="5">
        <f t="shared" si="17"/>
        <v>1</v>
      </c>
      <c r="AG70" s="5">
        <f t="shared" si="18"/>
        <v>1</v>
      </c>
      <c r="AH70" s="5">
        <f t="shared" si="25"/>
        <v>0</v>
      </c>
      <c r="AI70">
        <f>IF(B70&lt;&gt;"", COUNTIFS($B$2:B70, B70), "")</f>
        <v>6</v>
      </c>
      <c r="AJ70">
        <f t="shared" si="26"/>
        <v>5</v>
      </c>
      <c r="AK70">
        <f t="shared" si="19"/>
        <v>5</v>
      </c>
      <c r="AL70">
        <f t="shared" si="27"/>
        <v>9</v>
      </c>
      <c r="AM70" t="str">
        <f t="shared" si="28"/>
        <v>September</v>
      </c>
      <c r="AN70">
        <f t="shared" si="29"/>
        <v>2023</v>
      </c>
      <c r="AO70" t="str">
        <f t="shared" si="30"/>
        <v>&gt;3</v>
      </c>
      <c r="AP70" t="str">
        <f t="shared" si="31"/>
        <v>&gt;3</v>
      </c>
      <c r="AQ70" t="str">
        <f t="shared" si="32"/>
        <v>&gt;3</v>
      </c>
    </row>
    <row r="71" spans="1:43" x14ac:dyDescent="0.3">
      <c r="A71" t="s">
        <v>33</v>
      </c>
      <c r="B71" t="s">
        <v>150</v>
      </c>
      <c r="C71" t="s">
        <v>151</v>
      </c>
      <c r="D71">
        <v>4381</v>
      </c>
      <c r="E71">
        <v>23120122</v>
      </c>
      <c r="F71" t="s">
        <v>152</v>
      </c>
      <c r="G71" t="s">
        <v>54</v>
      </c>
      <c r="H71">
        <v>200</v>
      </c>
      <c r="I71">
        <v>7900</v>
      </c>
      <c r="J71">
        <v>1580000</v>
      </c>
      <c r="K71" s="7" t="str">
        <f>IFERROR(IF(B71&lt;&gt;"", TEXT(VLOOKUP(B71, 'Expected Date'!A:B, 2, FALSE) + DATE(RIGHT(C71,2),MID(C71,4,2),LEFT(C71,2)), "dd/mm/yy"), ""), "")</f>
        <v>24/09/23</v>
      </c>
      <c r="L71" t="s">
        <v>38</v>
      </c>
      <c r="M71" t="s">
        <v>48</v>
      </c>
      <c r="N71" t="s">
        <v>155</v>
      </c>
      <c r="O71" t="s">
        <v>189</v>
      </c>
      <c r="P71">
        <v>23191111</v>
      </c>
      <c r="Q71" t="s">
        <v>152</v>
      </c>
      <c r="R71" t="s">
        <v>54</v>
      </c>
      <c r="S71">
        <v>31.14</v>
      </c>
      <c r="T71">
        <v>7900</v>
      </c>
      <c r="U71">
        <v>246006</v>
      </c>
      <c r="V71" t="str">
        <f t="shared" si="33"/>
        <v>Hyderabad</v>
      </c>
      <c r="W71" t="str">
        <f>VLOOKUP(B71, Currency!A:B, 2, FALSE)</f>
        <v>INR</v>
      </c>
      <c r="X71" t="str">
        <f t="shared" si="34"/>
        <v>Accepted</v>
      </c>
      <c r="Y71">
        <f>IFERROR(VLOOKUP(N71, Payment_Terms!A:B, 2, FALSE), "Payment term not found!")</f>
        <v>30</v>
      </c>
      <c r="Z71" t="str">
        <f>IFERROR(VLOOKUP(R71, Item_Category!A:B, 2, FALSE), "Uncategorized")</f>
        <v>Coal materials</v>
      </c>
      <c r="AA71" s="5">
        <f t="shared" si="20"/>
        <v>0</v>
      </c>
      <c r="AB71">
        <f t="shared" si="21"/>
        <v>5</v>
      </c>
      <c r="AC71" s="10">
        <f t="shared" si="22"/>
        <v>-7</v>
      </c>
      <c r="AD71">
        <f t="shared" si="23"/>
        <v>5</v>
      </c>
      <c r="AE71" s="10">
        <f t="shared" si="24"/>
        <v>3</v>
      </c>
      <c r="AF71" s="5">
        <f t="shared" si="17"/>
        <v>1</v>
      </c>
      <c r="AG71" s="5">
        <f t="shared" si="18"/>
        <v>1</v>
      </c>
      <c r="AH71" s="5">
        <f t="shared" si="25"/>
        <v>0</v>
      </c>
      <c r="AI71">
        <f>IF(B71&lt;&gt;"", COUNTIFS($B$2:B71, B71), "")</f>
        <v>7</v>
      </c>
      <c r="AJ71">
        <f t="shared" si="26"/>
        <v>5</v>
      </c>
      <c r="AK71">
        <f t="shared" si="19"/>
        <v>5</v>
      </c>
      <c r="AL71">
        <f t="shared" si="27"/>
        <v>9</v>
      </c>
      <c r="AM71" t="str">
        <f t="shared" si="28"/>
        <v>September</v>
      </c>
      <c r="AN71">
        <f t="shared" si="29"/>
        <v>2023</v>
      </c>
      <c r="AO71" t="str">
        <f t="shared" si="30"/>
        <v>&gt;3</v>
      </c>
      <c r="AP71" t="str">
        <f t="shared" si="31"/>
        <v>&gt;3</v>
      </c>
      <c r="AQ71" t="str">
        <f t="shared" si="32"/>
        <v>&gt;3</v>
      </c>
    </row>
    <row r="72" spans="1:43" x14ac:dyDescent="0.3">
      <c r="A72" t="s">
        <v>33</v>
      </c>
      <c r="B72" t="s">
        <v>150</v>
      </c>
      <c r="C72" t="s">
        <v>151</v>
      </c>
      <c r="D72">
        <v>4381</v>
      </c>
      <c r="E72">
        <v>23120122</v>
      </c>
      <c r="F72" t="s">
        <v>152</v>
      </c>
      <c r="G72" t="s">
        <v>54</v>
      </c>
      <c r="H72">
        <v>200</v>
      </c>
      <c r="I72">
        <v>7900</v>
      </c>
      <c r="J72">
        <v>1580000</v>
      </c>
      <c r="K72" s="7" t="str">
        <f>IFERROR(IF(B72&lt;&gt;"", TEXT(VLOOKUP(B72, 'Expected Date'!A:B, 2, FALSE) + DATE(RIGHT(C72,2),MID(C72,4,2),LEFT(C72,2)), "dd/mm/yy"), ""), "")</f>
        <v>24/09/23</v>
      </c>
      <c r="L72" t="s">
        <v>38</v>
      </c>
      <c r="M72" t="s">
        <v>48</v>
      </c>
      <c r="N72" t="s">
        <v>155</v>
      </c>
      <c r="O72" t="s">
        <v>181</v>
      </c>
      <c r="P72">
        <v>23191118</v>
      </c>
      <c r="Q72" t="s">
        <v>152</v>
      </c>
      <c r="R72" t="s">
        <v>54</v>
      </c>
      <c r="S72">
        <v>31.17</v>
      </c>
      <c r="T72">
        <v>7900</v>
      </c>
      <c r="U72">
        <v>246243</v>
      </c>
      <c r="V72" t="str">
        <f t="shared" si="33"/>
        <v>Hyderabad</v>
      </c>
      <c r="W72" t="str">
        <f>VLOOKUP(B72, Currency!A:B, 2, FALSE)</f>
        <v>INR</v>
      </c>
      <c r="X72" t="str">
        <f t="shared" si="34"/>
        <v>Accepted</v>
      </c>
      <c r="Y72">
        <f>IFERROR(VLOOKUP(N72, Payment_Terms!A:B, 2, FALSE), "Payment term not found!")</f>
        <v>30</v>
      </c>
      <c r="Z72" t="str">
        <f>IFERROR(VLOOKUP(R72, Item_Category!A:B, 2, FALSE), "Uncategorized")</f>
        <v>Coal materials</v>
      </c>
      <c r="AA72" s="5">
        <f t="shared" si="20"/>
        <v>0</v>
      </c>
      <c r="AB72">
        <f t="shared" si="21"/>
        <v>5</v>
      </c>
      <c r="AC72" s="10">
        <f t="shared" si="22"/>
        <v>-3</v>
      </c>
      <c r="AD72">
        <f t="shared" si="23"/>
        <v>5</v>
      </c>
      <c r="AE72" s="10">
        <f t="shared" si="24"/>
        <v>7</v>
      </c>
      <c r="AF72" s="5">
        <f t="shared" si="17"/>
        <v>1</v>
      </c>
      <c r="AG72" s="5">
        <f t="shared" si="18"/>
        <v>1</v>
      </c>
      <c r="AH72" s="5">
        <f t="shared" si="25"/>
        <v>0</v>
      </c>
      <c r="AI72">
        <f>IF(B72&lt;&gt;"", COUNTIFS($B$2:B72, B72), "")</f>
        <v>8</v>
      </c>
      <c r="AJ72">
        <f t="shared" si="26"/>
        <v>5</v>
      </c>
      <c r="AK72">
        <f t="shared" si="19"/>
        <v>5</v>
      </c>
      <c r="AL72">
        <f t="shared" si="27"/>
        <v>9</v>
      </c>
      <c r="AM72" t="str">
        <f t="shared" si="28"/>
        <v>September</v>
      </c>
      <c r="AN72">
        <f t="shared" si="29"/>
        <v>2023</v>
      </c>
      <c r="AO72" t="str">
        <f t="shared" si="30"/>
        <v>&gt;3</v>
      </c>
      <c r="AP72" t="str">
        <f t="shared" si="31"/>
        <v>&gt;3</v>
      </c>
      <c r="AQ72" t="str">
        <f t="shared" si="32"/>
        <v>&gt;3</v>
      </c>
    </row>
    <row r="73" spans="1:43" x14ac:dyDescent="0.3">
      <c r="A73" t="str">
        <f>A59</f>
        <v>Woodpulp</v>
      </c>
      <c r="B73" t="s">
        <v>140</v>
      </c>
      <c r="C73" t="s">
        <v>71</v>
      </c>
      <c r="D73">
        <v>2720</v>
      </c>
      <c r="E73">
        <v>23120069</v>
      </c>
      <c r="F73" t="s">
        <v>142</v>
      </c>
      <c r="G73" t="s">
        <v>360</v>
      </c>
      <c r="H73">
        <v>125</v>
      </c>
      <c r="I73">
        <v>830</v>
      </c>
      <c r="J73">
        <v>8476375</v>
      </c>
      <c r="K73" s="7" t="str">
        <f>IFERROR(IF(B73&lt;&gt;"", TEXT(VLOOKUP(B73, 'Expected Date'!A:B, 2, FALSE) + DATE(RIGHT(C73,2),MID(C73,4,2),LEFT(C73,2)), "dd/mm/yy"), ""), "")</f>
        <v>06/08/23</v>
      </c>
      <c r="L73" t="s">
        <v>68</v>
      </c>
      <c r="M73" t="str">
        <f>M47</f>
        <v>MT</v>
      </c>
      <c r="N73" t="s">
        <v>190</v>
      </c>
      <c r="O73" t="s">
        <v>191</v>
      </c>
      <c r="P73">
        <v>23190975</v>
      </c>
      <c r="Q73" t="s">
        <v>142</v>
      </c>
      <c r="R73" t="s">
        <v>360</v>
      </c>
      <c r="S73">
        <v>124.41800000000001</v>
      </c>
      <c r="T73">
        <v>830</v>
      </c>
      <c r="U73">
        <v>8488542.4700000007</v>
      </c>
      <c r="V73" t="str">
        <f t="shared" si="33"/>
        <v>Hyderabad</v>
      </c>
      <c r="W73" t="str">
        <f>VLOOKUP(B73, Currency!A:B, 2, FALSE)</f>
        <v>USD</v>
      </c>
      <c r="X73" t="str">
        <f t="shared" si="34"/>
        <v>Accepted</v>
      </c>
      <c r="Y73">
        <f>IFERROR(VLOOKUP(N73, Payment_Terms!A:B, 2, FALSE), "Payment term not found!")</f>
        <v>0</v>
      </c>
      <c r="Z73" t="str">
        <f>IFERROR(VLOOKUP(R73, Item_Category!A:B, 2, FALSE), "Uncategorized")</f>
        <v>Wood pulp</v>
      </c>
      <c r="AA73" s="5">
        <f t="shared" si="20"/>
        <v>4.6559999999999492E-3</v>
      </c>
      <c r="AB73">
        <f t="shared" si="21"/>
        <v>4</v>
      </c>
      <c r="AC73" s="10">
        <f t="shared" si="22"/>
        <v>22</v>
      </c>
      <c r="AD73">
        <f t="shared" si="23"/>
        <v>1</v>
      </c>
      <c r="AE73" s="10">
        <f t="shared" si="24"/>
        <v>67</v>
      </c>
      <c r="AF73" s="5">
        <f t="shared" si="17"/>
        <v>1</v>
      </c>
      <c r="AG73" s="5">
        <f t="shared" si="18"/>
        <v>1</v>
      </c>
      <c r="AH73" s="5">
        <f t="shared" si="25"/>
        <v>0</v>
      </c>
      <c r="AI73">
        <f>IF(B73&lt;&gt;"", COUNTIFS($B$2:B73, B73), "")</f>
        <v>5</v>
      </c>
      <c r="AJ73">
        <f t="shared" si="26"/>
        <v>5</v>
      </c>
      <c r="AK73">
        <f t="shared" si="19"/>
        <v>4</v>
      </c>
      <c r="AL73">
        <f t="shared" si="27"/>
        <v>6</v>
      </c>
      <c r="AM73" t="str">
        <f t="shared" si="28"/>
        <v>June</v>
      </c>
      <c r="AN73">
        <f t="shared" si="29"/>
        <v>2023</v>
      </c>
      <c r="AO73" t="str">
        <f t="shared" si="30"/>
        <v>&gt;3</v>
      </c>
      <c r="AP73" t="str">
        <f t="shared" si="31"/>
        <v>&gt;3</v>
      </c>
      <c r="AQ73" t="str">
        <f t="shared" si="32"/>
        <v>&lt;=3</v>
      </c>
    </row>
    <row r="74" spans="1:43" x14ac:dyDescent="0.3">
      <c r="A74" t="s">
        <v>33</v>
      </c>
      <c r="B74" t="s">
        <v>51</v>
      </c>
      <c r="C74" t="s">
        <v>52</v>
      </c>
      <c r="D74">
        <v>3768</v>
      </c>
      <c r="E74">
        <v>23120100</v>
      </c>
      <c r="F74" t="s">
        <v>61</v>
      </c>
      <c r="G74" t="s">
        <v>62</v>
      </c>
      <c r="H74">
        <v>142</v>
      </c>
      <c r="I74">
        <v>6288.5</v>
      </c>
      <c r="J74">
        <v>892967</v>
      </c>
      <c r="K74" s="7" t="str">
        <f>IFERROR(IF(B74&lt;&gt;"", TEXT(VLOOKUP(B74, 'Expected Date'!A:B, 2, FALSE) + DATE(RIGHT(C74,2),MID(C74,4,2),LEFT(C74,2)), "dd/mm/yy"), ""), "")</f>
        <v>05/09/23</v>
      </c>
      <c r="L74" t="s">
        <v>38</v>
      </c>
      <c r="M74" t="s">
        <v>48</v>
      </c>
      <c r="N74" t="s">
        <v>55</v>
      </c>
      <c r="O74" t="s">
        <v>192</v>
      </c>
      <c r="P74">
        <v>23190880</v>
      </c>
      <c r="Q74" t="s">
        <v>61</v>
      </c>
      <c r="R74" t="s">
        <v>62</v>
      </c>
      <c r="S74">
        <v>21</v>
      </c>
      <c r="T74">
        <v>6288.5</v>
      </c>
      <c r="U74">
        <v>132058.5</v>
      </c>
      <c r="V74" t="str">
        <f t="shared" si="33"/>
        <v>Hyderabad</v>
      </c>
      <c r="W74" t="str">
        <f>VLOOKUP(B74, Currency!A:B, 2, FALSE)</f>
        <v>INR</v>
      </c>
      <c r="X74" t="str">
        <f t="shared" si="34"/>
        <v>Accepted</v>
      </c>
      <c r="Y74">
        <f>IFERROR(VLOOKUP(N74, Payment_Terms!A:B, 2, FALSE), "Payment term not found!")</f>
        <v>0</v>
      </c>
      <c r="Z74" t="str">
        <f>IFERROR(VLOOKUP(R74, Item_Category!A:B, 2, FALSE), "Uncategorized")</f>
        <v>Coal materials</v>
      </c>
      <c r="AA74" s="5">
        <f t="shared" si="20"/>
        <v>0</v>
      </c>
      <c r="AB74">
        <f t="shared" si="21"/>
        <v>5</v>
      </c>
      <c r="AC74" s="10">
        <f t="shared" si="22"/>
        <v>-22</v>
      </c>
      <c r="AD74">
        <f t="shared" si="23"/>
        <v>5</v>
      </c>
      <c r="AE74" s="10">
        <f t="shared" si="24"/>
        <v>2</v>
      </c>
      <c r="AF74" s="5">
        <f t="shared" si="17"/>
        <v>1</v>
      </c>
      <c r="AG74" s="5">
        <f t="shared" si="18"/>
        <v>1</v>
      </c>
      <c r="AH74" s="5">
        <f t="shared" si="25"/>
        <v>0</v>
      </c>
      <c r="AI74">
        <f>IF(B74&lt;&gt;"", COUNTIFS($B$2:B74, B74), "")</f>
        <v>29</v>
      </c>
      <c r="AJ74">
        <f t="shared" si="26"/>
        <v>5</v>
      </c>
      <c r="AK74">
        <f t="shared" si="19"/>
        <v>5</v>
      </c>
      <c r="AL74">
        <f t="shared" si="27"/>
        <v>8</v>
      </c>
      <c r="AM74" t="str">
        <f t="shared" si="28"/>
        <v>August</v>
      </c>
      <c r="AN74">
        <f t="shared" si="29"/>
        <v>2023</v>
      </c>
      <c r="AO74" t="str">
        <f t="shared" si="30"/>
        <v>&gt;3</v>
      </c>
      <c r="AP74" t="str">
        <f t="shared" si="31"/>
        <v>&gt;3</v>
      </c>
      <c r="AQ74" t="str">
        <f t="shared" si="32"/>
        <v>&gt;3</v>
      </c>
    </row>
    <row r="75" spans="1:43" x14ac:dyDescent="0.3">
      <c r="A75" t="str">
        <f>A73</f>
        <v>Woodpulp</v>
      </c>
      <c r="B75" t="s">
        <v>140</v>
      </c>
      <c r="C75" t="s">
        <v>193</v>
      </c>
      <c r="D75">
        <v>3154</v>
      </c>
      <c r="E75">
        <v>23120089</v>
      </c>
      <c r="F75" t="s">
        <v>142</v>
      </c>
      <c r="G75" t="s">
        <v>360</v>
      </c>
      <c r="H75">
        <v>125</v>
      </c>
      <c r="I75">
        <v>830</v>
      </c>
      <c r="J75">
        <v>8460812.5</v>
      </c>
      <c r="K75" s="7" t="str">
        <f>IFERROR(IF(B75&lt;&gt;"", TEXT(VLOOKUP(B75, 'Expected Date'!A:B, 2, FALSE) + DATE(RIGHT(C75,2),MID(C75,4,2),LEFT(C75,2)), "dd/mm/yy"), ""), "")</f>
        <v>31/08/23</v>
      </c>
      <c r="L75" t="s">
        <v>68</v>
      </c>
      <c r="M75" t="str">
        <f>M47</f>
        <v>MT</v>
      </c>
      <c r="N75" t="s">
        <v>190</v>
      </c>
      <c r="O75" t="s">
        <v>194</v>
      </c>
      <c r="P75">
        <v>23191221</v>
      </c>
      <c r="Q75" t="s">
        <v>142</v>
      </c>
      <c r="R75" t="s">
        <v>360</v>
      </c>
      <c r="S75">
        <v>122.529</v>
      </c>
      <c r="T75">
        <v>830</v>
      </c>
      <c r="U75">
        <v>8369833.46</v>
      </c>
      <c r="V75" t="str">
        <f t="shared" si="33"/>
        <v>Hyderabad</v>
      </c>
      <c r="W75" t="str">
        <f>VLOOKUP(B75, Currency!A:B, 2, FALSE)</f>
        <v>USD</v>
      </c>
      <c r="X75" t="str">
        <f t="shared" si="34"/>
        <v>Accepted</v>
      </c>
      <c r="Y75">
        <f>IFERROR(VLOOKUP(N75, Payment_Terms!A:B, 2, FALSE), "Payment term not found!")</f>
        <v>0</v>
      </c>
      <c r="Z75" t="str">
        <f>IFERROR(VLOOKUP(R75, Item_Category!A:B, 2, FALSE), "Uncategorized")</f>
        <v>Wood pulp</v>
      </c>
      <c r="AA75" s="5">
        <f t="shared" si="20"/>
        <v>1.9768000000000029E-2</v>
      </c>
      <c r="AB75">
        <f t="shared" si="21"/>
        <v>4</v>
      </c>
      <c r="AC75" s="10">
        <f t="shared" si="22"/>
        <v>26</v>
      </c>
      <c r="AD75">
        <f t="shared" si="23"/>
        <v>1</v>
      </c>
      <c r="AE75" s="10">
        <f t="shared" si="24"/>
        <v>71</v>
      </c>
      <c r="AF75" s="5">
        <f t="shared" si="17"/>
        <v>1</v>
      </c>
      <c r="AG75" s="5">
        <f t="shared" si="18"/>
        <v>1</v>
      </c>
      <c r="AH75" s="5">
        <f t="shared" si="25"/>
        <v>0</v>
      </c>
      <c r="AI75">
        <f>IF(B75&lt;&gt;"", COUNTIFS($B$2:B75, B75), "")</f>
        <v>6</v>
      </c>
      <c r="AJ75">
        <f t="shared" si="26"/>
        <v>5</v>
      </c>
      <c r="AK75">
        <f t="shared" si="19"/>
        <v>4</v>
      </c>
      <c r="AL75">
        <f t="shared" si="27"/>
        <v>7</v>
      </c>
      <c r="AM75" t="str">
        <f t="shared" si="28"/>
        <v>July</v>
      </c>
      <c r="AN75">
        <f t="shared" si="29"/>
        <v>2023</v>
      </c>
      <c r="AO75" t="str">
        <f t="shared" si="30"/>
        <v>&gt;3</v>
      </c>
      <c r="AP75" t="str">
        <f t="shared" si="31"/>
        <v>&gt;3</v>
      </c>
      <c r="AQ75" t="str">
        <f t="shared" si="32"/>
        <v>&lt;=3</v>
      </c>
    </row>
    <row r="76" spans="1:43" x14ac:dyDescent="0.3">
      <c r="A76" t="s">
        <v>33</v>
      </c>
      <c r="B76" t="s">
        <v>107</v>
      </c>
      <c r="C76" t="s">
        <v>195</v>
      </c>
      <c r="D76">
        <v>2456</v>
      </c>
      <c r="E76">
        <v>23120045</v>
      </c>
      <c r="F76" t="s">
        <v>92</v>
      </c>
      <c r="G76" t="s">
        <v>93</v>
      </c>
      <c r="H76">
        <v>6000</v>
      </c>
      <c r="I76">
        <v>33.799999999999997</v>
      </c>
      <c r="J76">
        <v>202800</v>
      </c>
      <c r="K76" s="7" t="str">
        <f>IFERROR(IF(B76&lt;&gt;"", TEXT(VLOOKUP(B76, 'Expected Date'!A:B, 2, FALSE) + DATE(RIGHT(C76,2),MID(C76,4,2),LEFT(C76,2)), "dd/mm/yy"), ""), "")</f>
        <v>25/06/23</v>
      </c>
      <c r="L76" t="s">
        <v>38</v>
      </c>
      <c r="M76" t="s">
        <v>39</v>
      </c>
      <c r="N76" t="s">
        <v>109</v>
      </c>
      <c r="O76" t="s">
        <v>180</v>
      </c>
      <c r="P76">
        <v>23190651</v>
      </c>
      <c r="Q76" t="s">
        <v>92</v>
      </c>
      <c r="R76" t="s">
        <v>93</v>
      </c>
      <c r="S76">
        <v>9005</v>
      </c>
      <c r="T76">
        <v>33.799999999999997</v>
      </c>
      <c r="U76">
        <v>304369</v>
      </c>
      <c r="V76" t="str">
        <f t="shared" si="33"/>
        <v>Hyderabad</v>
      </c>
      <c r="W76" t="str">
        <f>VLOOKUP(B76, Currency!A:B, 2, FALSE)</f>
        <v>INR</v>
      </c>
      <c r="X76" t="str">
        <f t="shared" si="34"/>
        <v>Accepted</v>
      </c>
      <c r="Y76">
        <f>IFERROR(VLOOKUP(N76, Payment_Terms!A:B, 2, FALSE), "Payment term not found!")</f>
        <v>0</v>
      </c>
      <c r="Z76" t="str">
        <f>IFERROR(VLOOKUP(R76, Item_Category!A:B, 2, FALSE), "Uncategorized")</f>
        <v>Bags</v>
      </c>
      <c r="AA76" s="5">
        <f t="shared" si="20"/>
        <v>0</v>
      </c>
      <c r="AB76">
        <f t="shared" si="21"/>
        <v>5</v>
      </c>
      <c r="AC76" s="10">
        <f t="shared" si="22"/>
        <v>20</v>
      </c>
      <c r="AD76">
        <f t="shared" si="23"/>
        <v>1</v>
      </c>
      <c r="AE76" s="10">
        <f t="shared" si="24"/>
        <v>30</v>
      </c>
      <c r="AF76" s="5">
        <f t="shared" si="17"/>
        <v>1</v>
      </c>
      <c r="AG76" s="5">
        <f t="shared" si="18"/>
        <v>1</v>
      </c>
      <c r="AH76" s="5">
        <f t="shared" si="25"/>
        <v>0</v>
      </c>
      <c r="AI76">
        <f>IF(B76&lt;&gt;"", COUNTIFS($B$2:B76, B76), "")</f>
        <v>4</v>
      </c>
      <c r="AJ76">
        <f t="shared" si="26"/>
        <v>5</v>
      </c>
      <c r="AK76">
        <f t="shared" si="19"/>
        <v>4</v>
      </c>
      <c r="AL76">
        <f t="shared" si="27"/>
        <v>6</v>
      </c>
      <c r="AM76" t="str">
        <f t="shared" si="28"/>
        <v>June</v>
      </c>
      <c r="AN76">
        <f t="shared" si="29"/>
        <v>2023</v>
      </c>
      <c r="AO76" t="str">
        <f t="shared" si="30"/>
        <v>&gt;3</v>
      </c>
      <c r="AP76" t="str">
        <f t="shared" si="31"/>
        <v>&gt;3</v>
      </c>
      <c r="AQ76" t="str">
        <f t="shared" si="32"/>
        <v>&lt;=3</v>
      </c>
    </row>
    <row r="77" spans="1:43" x14ac:dyDescent="0.3">
      <c r="A77" t="s">
        <v>33</v>
      </c>
      <c r="B77" t="s">
        <v>150</v>
      </c>
      <c r="C77" t="s">
        <v>89</v>
      </c>
      <c r="D77">
        <v>2865</v>
      </c>
      <c r="E77">
        <v>23120081</v>
      </c>
      <c r="F77" t="s">
        <v>196</v>
      </c>
      <c r="G77" t="s">
        <v>197</v>
      </c>
      <c r="H77">
        <v>100</v>
      </c>
      <c r="I77">
        <v>5600</v>
      </c>
      <c r="J77">
        <v>560000</v>
      </c>
      <c r="K77" s="7" t="str">
        <f>IFERROR(IF(B77&lt;&gt;"", TEXT(VLOOKUP(B77, 'Expected Date'!A:B, 2, FALSE) + DATE(RIGHT(C77,2),MID(C77,4,2),LEFT(C77,2)), "dd/mm/yy"), ""), "")</f>
        <v>15/07/23</v>
      </c>
      <c r="L77" t="s">
        <v>68</v>
      </c>
      <c r="M77" t="s">
        <v>48</v>
      </c>
      <c r="N77" t="s">
        <v>183</v>
      </c>
      <c r="O77" t="s">
        <v>180</v>
      </c>
      <c r="P77">
        <v>23190652</v>
      </c>
      <c r="Q77" t="s">
        <v>196</v>
      </c>
      <c r="R77" t="s">
        <v>197</v>
      </c>
      <c r="S77">
        <v>25.31</v>
      </c>
      <c r="T77">
        <v>5600</v>
      </c>
      <c r="U77">
        <v>141736</v>
      </c>
      <c r="V77" t="str">
        <f t="shared" si="33"/>
        <v>Hyderabad</v>
      </c>
      <c r="W77" t="str">
        <f>VLOOKUP(B77, Currency!A:B, 2, FALSE)</f>
        <v>INR</v>
      </c>
      <c r="X77" t="str">
        <f t="shared" si="34"/>
        <v>Accepted</v>
      </c>
      <c r="Y77">
        <f>IFERROR(VLOOKUP(N77, Payment_Terms!A:B, 2, FALSE), "Payment term not found!")</f>
        <v>30</v>
      </c>
      <c r="Z77" t="str">
        <f>IFERROR(VLOOKUP(R77, Item_Category!A:B, 2, FALSE), "Uncategorized")</f>
        <v>Coal materials</v>
      </c>
      <c r="AA77" s="5">
        <f t="shared" si="20"/>
        <v>0.54689999999999994</v>
      </c>
      <c r="AB77">
        <f t="shared" si="21"/>
        <v>1</v>
      </c>
      <c r="AC77" s="10">
        <f t="shared" si="22"/>
        <v>0</v>
      </c>
      <c r="AD77">
        <f t="shared" si="23"/>
        <v>5</v>
      </c>
      <c r="AE77" s="10">
        <f t="shared" si="24"/>
        <v>10</v>
      </c>
      <c r="AF77" s="5">
        <f t="shared" si="17"/>
        <v>1</v>
      </c>
      <c r="AG77" s="5">
        <f t="shared" si="18"/>
        <v>1</v>
      </c>
      <c r="AH77" s="5">
        <f t="shared" si="25"/>
        <v>0</v>
      </c>
      <c r="AI77">
        <f>IF(B77&lt;&gt;"", COUNTIFS($B$2:B77, B77), "")</f>
        <v>9</v>
      </c>
      <c r="AJ77">
        <f t="shared" si="26"/>
        <v>5</v>
      </c>
      <c r="AK77">
        <f t="shared" si="19"/>
        <v>4</v>
      </c>
      <c r="AL77">
        <f t="shared" si="27"/>
        <v>7</v>
      </c>
      <c r="AM77" t="str">
        <f t="shared" si="28"/>
        <v>July</v>
      </c>
      <c r="AN77">
        <f t="shared" si="29"/>
        <v>2023</v>
      </c>
      <c r="AO77" t="str">
        <f t="shared" si="30"/>
        <v>&gt;3</v>
      </c>
      <c r="AP77" t="str">
        <f t="shared" si="31"/>
        <v>&lt;=3</v>
      </c>
      <c r="AQ77" t="str">
        <f t="shared" si="32"/>
        <v>&gt;3</v>
      </c>
    </row>
    <row r="78" spans="1:43" x14ac:dyDescent="0.3">
      <c r="A78" t="s">
        <v>33</v>
      </c>
      <c r="B78" t="s">
        <v>73</v>
      </c>
      <c r="C78" t="s">
        <v>198</v>
      </c>
      <c r="D78">
        <v>3461</v>
      </c>
      <c r="E78">
        <v>23120095</v>
      </c>
      <c r="F78" t="s">
        <v>75</v>
      </c>
      <c r="G78" t="s">
        <v>76</v>
      </c>
      <c r="H78">
        <v>1600</v>
      </c>
      <c r="I78">
        <v>900</v>
      </c>
      <c r="J78">
        <v>1440000</v>
      </c>
      <c r="K78" s="7" t="str">
        <f>IFERROR(IF(B78&lt;&gt;"", TEXT(VLOOKUP(B78, 'Expected Date'!A:B, 2, FALSE) + DATE(RIGHT(C78,2),MID(C78,4,2),LEFT(C78,2)), "dd/mm/yy"), ""), "")</f>
        <v>20/08/23</v>
      </c>
      <c r="L78" t="s">
        <v>38</v>
      </c>
      <c r="M78" t="s">
        <v>39</v>
      </c>
      <c r="N78" t="s">
        <v>77</v>
      </c>
      <c r="O78" t="s">
        <v>199</v>
      </c>
      <c r="P78">
        <v>23190966</v>
      </c>
      <c r="Q78" t="s">
        <v>75</v>
      </c>
      <c r="R78" t="s">
        <v>76</v>
      </c>
      <c r="S78">
        <v>350</v>
      </c>
      <c r="T78">
        <v>900</v>
      </c>
      <c r="U78">
        <v>315000</v>
      </c>
      <c r="V78" t="str">
        <f t="shared" si="33"/>
        <v>Hyderabad</v>
      </c>
      <c r="W78" t="str">
        <f>VLOOKUP(B78, Currency!A:B, 2, FALSE)</f>
        <v>INR</v>
      </c>
      <c r="X78" t="str">
        <f t="shared" si="34"/>
        <v>Accepted</v>
      </c>
      <c r="Y78">
        <f>IFERROR(VLOOKUP(N78, Payment_Terms!A:B, 2, FALSE), "Payment term not found!")</f>
        <v>0</v>
      </c>
      <c r="Z78" t="str">
        <f>IFERROR(VLOOKUP(R78, Item_Category!A:B, 2, FALSE), "Uncategorized")</f>
        <v>Pallets</v>
      </c>
      <c r="AA78" s="5">
        <f t="shared" si="20"/>
        <v>0</v>
      </c>
      <c r="AB78">
        <f t="shared" si="21"/>
        <v>5</v>
      </c>
      <c r="AC78" s="10">
        <f t="shared" si="22"/>
        <v>6</v>
      </c>
      <c r="AD78">
        <f t="shared" si="23"/>
        <v>3</v>
      </c>
      <c r="AE78" s="10">
        <f t="shared" si="24"/>
        <v>26</v>
      </c>
      <c r="AF78" s="5">
        <f t="shared" si="17"/>
        <v>1</v>
      </c>
      <c r="AG78" s="5">
        <f t="shared" si="18"/>
        <v>1</v>
      </c>
      <c r="AH78" s="5">
        <f t="shared" si="25"/>
        <v>0</v>
      </c>
      <c r="AI78">
        <f>IF(B78&lt;&gt;"", COUNTIFS($B$2:B78, B78), "")</f>
        <v>6</v>
      </c>
      <c r="AJ78">
        <f t="shared" si="26"/>
        <v>5</v>
      </c>
      <c r="AK78">
        <f t="shared" si="19"/>
        <v>5</v>
      </c>
      <c r="AL78">
        <f t="shared" si="27"/>
        <v>7</v>
      </c>
      <c r="AM78" t="str">
        <f t="shared" si="28"/>
        <v>July</v>
      </c>
      <c r="AN78">
        <f t="shared" si="29"/>
        <v>2023</v>
      </c>
      <c r="AO78" t="str">
        <f t="shared" si="30"/>
        <v>&gt;3</v>
      </c>
      <c r="AP78" t="str">
        <f t="shared" si="31"/>
        <v>&gt;3</v>
      </c>
      <c r="AQ78" t="str">
        <f t="shared" si="32"/>
        <v>&lt;=3</v>
      </c>
    </row>
    <row r="79" spans="1:43" x14ac:dyDescent="0.3">
      <c r="A79" t="s">
        <v>33</v>
      </c>
      <c r="B79" t="s">
        <v>64</v>
      </c>
      <c r="C79" t="s">
        <v>169</v>
      </c>
      <c r="D79">
        <v>2153</v>
      </c>
      <c r="E79">
        <v>23120034</v>
      </c>
      <c r="F79" t="s">
        <v>125</v>
      </c>
      <c r="G79" t="s">
        <v>126</v>
      </c>
      <c r="H79">
        <v>2400</v>
      </c>
      <c r="I79">
        <v>22.5</v>
      </c>
      <c r="J79">
        <v>54000</v>
      </c>
      <c r="K79" s="7" t="str">
        <f>IFERROR(IF(B79&lt;&gt;"", TEXT(VLOOKUP(B79, 'Expected Date'!A:B, 2, FALSE) + DATE(RIGHT(C79,2),MID(C79,4,2),LEFT(C79,2)), "dd/mm/yy"), ""), "")</f>
        <v>04/06/23</v>
      </c>
      <c r="L79" t="s">
        <v>38</v>
      </c>
      <c r="M79" t="s">
        <v>48</v>
      </c>
      <c r="N79" t="s">
        <v>69</v>
      </c>
      <c r="O79" t="s">
        <v>172</v>
      </c>
      <c r="P79">
        <v>23190338</v>
      </c>
      <c r="Q79" t="s">
        <v>125</v>
      </c>
      <c r="R79" t="s">
        <v>126</v>
      </c>
      <c r="S79">
        <v>2400</v>
      </c>
      <c r="T79">
        <v>22.5</v>
      </c>
      <c r="U79">
        <v>54000</v>
      </c>
      <c r="V79" t="str">
        <f t="shared" si="33"/>
        <v>Hyderabad</v>
      </c>
      <c r="W79" t="str">
        <f>VLOOKUP(B79, Currency!A:B, 2, FALSE)</f>
        <v>INR</v>
      </c>
      <c r="X79" t="str">
        <f t="shared" si="34"/>
        <v>Accepted</v>
      </c>
      <c r="Y79">
        <f>IFERROR(VLOOKUP(N79, Payment_Terms!A:B, 2, FALSE), "Payment term not found!")</f>
        <v>30</v>
      </c>
      <c r="Z79" t="str">
        <f>IFERROR(VLOOKUP(R79, Item_Category!A:B, 2, FALSE), "Uncategorized")</f>
        <v>Bags</v>
      </c>
      <c r="AA79" s="5">
        <f t="shared" si="20"/>
        <v>0</v>
      </c>
      <c r="AB79">
        <f t="shared" si="21"/>
        <v>5</v>
      </c>
      <c r="AC79" s="10">
        <f t="shared" si="22"/>
        <v>-59</v>
      </c>
      <c r="AD79">
        <f t="shared" si="23"/>
        <v>5</v>
      </c>
      <c r="AE79" s="10">
        <f t="shared" si="24"/>
        <v>49</v>
      </c>
      <c r="AF79" s="5">
        <f t="shared" si="17"/>
        <v>1</v>
      </c>
      <c r="AG79" s="5">
        <f t="shared" si="18"/>
        <v>1</v>
      </c>
      <c r="AH79" s="5">
        <f t="shared" si="25"/>
        <v>0</v>
      </c>
      <c r="AI79">
        <f>IF(B79&lt;&gt;"", COUNTIFS($B$2:B79, B79), "")</f>
        <v>5</v>
      </c>
      <c r="AJ79">
        <f t="shared" si="26"/>
        <v>5</v>
      </c>
      <c r="AK79">
        <f t="shared" si="19"/>
        <v>5</v>
      </c>
      <c r="AL79">
        <f t="shared" si="27"/>
        <v>5</v>
      </c>
      <c r="AM79" t="str">
        <f t="shared" si="28"/>
        <v>May</v>
      </c>
      <c r="AN79">
        <f t="shared" si="29"/>
        <v>2023</v>
      </c>
      <c r="AO79" t="str">
        <f t="shared" si="30"/>
        <v>&gt;3</v>
      </c>
      <c r="AP79" t="str">
        <f t="shared" si="31"/>
        <v>&gt;3</v>
      </c>
      <c r="AQ79" t="str">
        <f t="shared" si="32"/>
        <v>&gt;3</v>
      </c>
    </row>
    <row r="80" spans="1:43" x14ac:dyDescent="0.3">
      <c r="A80" t="str">
        <f>A75</f>
        <v>Woodpulp</v>
      </c>
      <c r="B80" t="s">
        <v>140</v>
      </c>
      <c r="C80" t="s">
        <v>169</v>
      </c>
      <c r="D80">
        <v>2156</v>
      </c>
      <c r="E80">
        <v>23120036</v>
      </c>
      <c r="F80" t="s">
        <v>142</v>
      </c>
      <c r="G80" t="s">
        <v>360</v>
      </c>
      <c r="H80">
        <v>100</v>
      </c>
      <c r="I80">
        <v>830</v>
      </c>
      <c r="J80">
        <v>6768650</v>
      </c>
      <c r="K80" s="7" t="str">
        <f>IFERROR(IF(B80&lt;&gt;"", TEXT(VLOOKUP(B80, 'Expected Date'!A:B, 2, FALSE) + DATE(RIGHT(C80,2),MID(C80,4,2),LEFT(C80,2)), "dd/mm/yy"), ""), "")</f>
        <v>09/07/23</v>
      </c>
      <c r="L80" t="s">
        <v>68</v>
      </c>
      <c r="M80" t="str">
        <f>M47</f>
        <v>MT</v>
      </c>
      <c r="N80" t="s">
        <v>144</v>
      </c>
      <c r="O80" t="s">
        <v>179</v>
      </c>
      <c r="P80">
        <v>23190349</v>
      </c>
      <c r="Q80" t="s">
        <v>142</v>
      </c>
      <c r="R80" t="s">
        <v>360</v>
      </c>
      <c r="S80">
        <v>99.274000000000001</v>
      </c>
      <c r="T80">
        <v>830</v>
      </c>
      <c r="U80">
        <v>6719509.5999999996</v>
      </c>
      <c r="V80" t="str">
        <f t="shared" si="33"/>
        <v>Hyderabad</v>
      </c>
      <c r="W80" t="str">
        <f>VLOOKUP(B80, Currency!A:B, 2, FALSE)</f>
        <v>USD</v>
      </c>
      <c r="X80" t="str">
        <f t="shared" si="34"/>
        <v>Accepted</v>
      </c>
      <c r="Y80">
        <f>IFERROR(VLOOKUP(N80, Payment_Terms!A:B, 2, FALSE), "Payment term not found!")</f>
        <v>30</v>
      </c>
      <c r="Z80" t="str">
        <f>IFERROR(VLOOKUP(R80, Item_Category!A:B, 2, FALSE), "Uncategorized")</f>
        <v>Wood pulp</v>
      </c>
      <c r="AA80" s="5">
        <f t="shared" si="20"/>
        <v>7.2599999999999913E-3</v>
      </c>
      <c r="AB80">
        <f t="shared" si="21"/>
        <v>4</v>
      </c>
      <c r="AC80" s="10">
        <f t="shared" si="22"/>
        <v>-47</v>
      </c>
      <c r="AD80">
        <f t="shared" si="23"/>
        <v>5</v>
      </c>
      <c r="AE80" s="10">
        <f t="shared" si="24"/>
        <v>2</v>
      </c>
      <c r="AF80" s="5">
        <f t="shared" si="17"/>
        <v>1</v>
      </c>
      <c r="AG80" s="5">
        <f t="shared" si="18"/>
        <v>1</v>
      </c>
      <c r="AH80" s="5">
        <f t="shared" si="25"/>
        <v>0</v>
      </c>
      <c r="AI80">
        <f>IF(B80&lt;&gt;"", COUNTIFS($B$2:B80, B80), "")</f>
        <v>7</v>
      </c>
      <c r="AJ80">
        <f t="shared" si="26"/>
        <v>5</v>
      </c>
      <c r="AK80">
        <f t="shared" si="19"/>
        <v>5</v>
      </c>
      <c r="AL80">
        <f t="shared" si="27"/>
        <v>5</v>
      </c>
      <c r="AM80" t="str">
        <f t="shared" si="28"/>
        <v>May</v>
      </c>
      <c r="AN80">
        <f t="shared" si="29"/>
        <v>2023</v>
      </c>
      <c r="AO80" t="str">
        <f t="shared" si="30"/>
        <v>&gt;3</v>
      </c>
      <c r="AP80" t="str">
        <f t="shared" si="31"/>
        <v>&gt;3</v>
      </c>
      <c r="AQ80" t="str">
        <f t="shared" si="32"/>
        <v>&gt;3</v>
      </c>
    </row>
    <row r="81" spans="1:43" x14ac:dyDescent="0.3">
      <c r="A81" t="s">
        <v>33</v>
      </c>
      <c r="B81" t="s">
        <v>200</v>
      </c>
      <c r="C81" t="s">
        <v>108</v>
      </c>
      <c r="D81">
        <v>1807</v>
      </c>
      <c r="E81">
        <v>23120021</v>
      </c>
      <c r="F81" t="s">
        <v>186</v>
      </c>
      <c r="G81" t="s">
        <v>187</v>
      </c>
      <c r="H81">
        <v>4000</v>
      </c>
      <c r="I81">
        <v>126</v>
      </c>
      <c r="J81">
        <v>504000</v>
      </c>
      <c r="K81" s="7" t="str">
        <f>IFERROR(IF(B81&lt;&gt;"", TEXT(VLOOKUP(B81, 'Expected Date'!A:B, 2, FALSE) + DATE(RIGHT(C81,2),MID(C81,4,2),LEFT(C81,2)), "dd/mm/yy"), ""), "")</f>
        <v>20/05/23</v>
      </c>
      <c r="L81" t="s">
        <v>38</v>
      </c>
      <c r="M81" t="s">
        <v>48</v>
      </c>
      <c r="N81" t="s">
        <v>188</v>
      </c>
      <c r="O81" t="s">
        <v>201</v>
      </c>
      <c r="P81">
        <v>23190581</v>
      </c>
      <c r="Q81" t="s">
        <v>186</v>
      </c>
      <c r="R81" t="s">
        <v>187</v>
      </c>
      <c r="S81">
        <v>2000</v>
      </c>
      <c r="T81">
        <v>126</v>
      </c>
      <c r="U81">
        <v>252000</v>
      </c>
      <c r="V81" t="str">
        <f t="shared" si="33"/>
        <v>Hyderabad</v>
      </c>
      <c r="W81" t="str">
        <f>VLOOKUP(B81, Currency!A:B, 2, FALSE)</f>
        <v>INR</v>
      </c>
      <c r="X81" t="str">
        <f t="shared" si="34"/>
        <v>Accepted</v>
      </c>
      <c r="Y81">
        <f>IFERROR(VLOOKUP(N81, Payment_Terms!A:B, 2, FALSE), "Payment term not found!")</f>
        <v>30</v>
      </c>
      <c r="Z81" t="str">
        <f>IFERROR(VLOOKUP(R81, Item_Category!A:B, 2, FALSE), "Uncategorized")</f>
        <v>Liner</v>
      </c>
      <c r="AA81" s="5">
        <f t="shared" si="20"/>
        <v>0</v>
      </c>
      <c r="AB81">
        <f t="shared" si="21"/>
        <v>5</v>
      </c>
      <c r="AC81" s="10">
        <f t="shared" si="22"/>
        <v>42</v>
      </c>
      <c r="AD81">
        <f t="shared" si="23"/>
        <v>1</v>
      </c>
      <c r="AE81" s="10">
        <f t="shared" si="24"/>
        <v>52</v>
      </c>
      <c r="AF81" s="5">
        <f t="shared" si="17"/>
        <v>1</v>
      </c>
      <c r="AG81" s="5">
        <f t="shared" si="18"/>
        <v>1</v>
      </c>
      <c r="AH81" s="5">
        <f t="shared" si="25"/>
        <v>0</v>
      </c>
      <c r="AI81">
        <f>IF(B81&lt;&gt;"", COUNTIFS($B$2:B81, B81), "")</f>
        <v>1</v>
      </c>
      <c r="AJ81">
        <f t="shared" si="26"/>
        <v>5</v>
      </c>
      <c r="AK81">
        <f t="shared" si="19"/>
        <v>4</v>
      </c>
      <c r="AL81">
        <f t="shared" si="27"/>
        <v>5</v>
      </c>
      <c r="AM81" t="str">
        <f t="shared" si="28"/>
        <v>May</v>
      </c>
      <c r="AN81">
        <f t="shared" si="29"/>
        <v>2023</v>
      </c>
      <c r="AO81" t="str">
        <f t="shared" si="30"/>
        <v>&gt;3</v>
      </c>
      <c r="AP81" t="str">
        <f t="shared" si="31"/>
        <v>&gt;3</v>
      </c>
      <c r="AQ81" t="str">
        <f t="shared" si="32"/>
        <v>&lt;=3</v>
      </c>
    </row>
    <row r="82" spans="1:43" x14ac:dyDescent="0.3">
      <c r="A82" t="s">
        <v>33</v>
      </c>
      <c r="B82" t="s">
        <v>64</v>
      </c>
      <c r="C82" t="s">
        <v>169</v>
      </c>
      <c r="D82">
        <v>2153</v>
      </c>
      <c r="E82">
        <v>23120034</v>
      </c>
      <c r="F82" t="s">
        <v>66</v>
      </c>
      <c r="G82" t="s">
        <v>67</v>
      </c>
      <c r="H82">
        <v>2400</v>
      </c>
      <c r="I82">
        <v>22.5</v>
      </c>
      <c r="J82">
        <v>54000</v>
      </c>
      <c r="K82" s="7" t="str">
        <f>IFERROR(IF(B82&lt;&gt;"", TEXT(VLOOKUP(B82, 'Expected Date'!A:B, 2, FALSE) + DATE(RIGHT(C82,2),MID(C82,4,2),LEFT(C82,2)), "dd/mm/yy"), ""), "")</f>
        <v>04/06/23</v>
      </c>
      <c r="L82" t="s">
        <v>38</v>
      </c>
      <c r="M82" t="s">
        <v>39</v>
      </c>
      <c r="N82" t="s">
        <v>69</v>
      </c>
      <c r="O82" t="s">
        <v>172</v>
      </c>
      <c r="P82">
        <v>23190338</v>
      </c>
      <c r="Q82" t="s">
        <v>66</v>
      </c>
      <c r="R82" t="s">
        <v>67</v>
      </c>
      <c r="S82">
        <v>2400</v>
      </c>
      <c r="T82">
        <v>22.5</v>
      </c>
      <c r="U82">
        <v>54000</v>
      </c>
      <c r="V82" t="str">
        <f t="shared" si="33"/>
        <v>Hyderabad</v>
      </c>
      <c r="W82" t="str">
        <f>VLOOKUP(B82, Currency!A:B, 2, FALSE)</f>
        <v>INR</v>
      </c>
      <c r="X82" t="str">
        <f t="shared" si="34"/>
        <v>Accepted</v>
      </c>
      <c r="Y82">
        <f>IFERROR(VLOOKUP(N82, Payment_Terms!A:B, 2, FALSE), "Payment term not found!")</f>
        <v>30</v>
      </c>
      <c r="Z82" t="str">
        <f>IFERROR(VLOOKUP(R82, Item_Category!A:B, 2, FALSE), "Uncategorized")</f>
        <v>Bags</v>
      </c>
      <c r="AA82" s="5">
        <f t="shared" si="20"/>
        <v>0</v>
      </c>
      <c r="AB82">
        <f t="shared" si="21"/>
        <v>5</v>
      </c>
      <c r="AC82" s="10">
        <f t="shared" si="22"/>
        <v>-59</v>
      </c>
      <c r="AD82">
        <f t="shared" si="23"/>
        <v>5</v>
      </c>
      <c r="AE82" s="10">
        <f t="shared" si="24"/>
        <v>49</v>
      </c>
      <c r="AF82" s="5">
        <f t="shared" si="17"/>
        <v>1</v>
      </c>
      <c r="AG82" s="5">
        <f t="shared" si="18"/>
        <v>1</v>
      </c>
      <c r="AH82" s="5">
        <f t="shared" si="25"/>
        <v>0</v>
      </c>
      <c r="AI82">
        <f>IF(B82&lt;&gt;"", COUNTIFS($B$2:B82, B82), "")</f>
        <v>6</v>
      </c>
      <c r="AJ82">
        <f t="shared" si="26"/>
        <v>5</v>
      </c>
      <c r="AK82">
        <f t="shared" si="19"/>
        <v>5</v>
      </c>
      <c r="AL82">
        <f t="shared" si="27"/>
        <v>5</v>
      </c>
      <c r="AM82" t="str">
        <f t="shared" si="28"/>
        <v>May</v>
      </c>
      <c r="AN82">
        <f t="shared" si="29"/>
        <v>2023</v>
      </c>
      <c r="AO82" t="str">
        <f t="shared" si="30"/>
        <v>&gt;3</v>
      </c>
      <c r="AP82" t="str">
        <f t="shared" si="31"/>
        <v>&gt;3</v>
      </c>
      <c r="AQ82" t="str">
        <f t="shared" si="32"/>
        <v>&gt;3</v>
      </c>
    </row>
    <row r="83" spans="1:43" x14ac:dyDescent="0.3">
      <c r="A83" t="s">
        <v>33</v>
      </c>
      <c r="B83" t="s">
        <v>51</v>
      </c>
      <c r="C83" t="s">
        <v>52</v>
      </c>
      <c r="D83">
        <v>3768</v>
      </c>
      <c r="E83">
        <v>23120100</v>
      </c>
      <c r="F83" t="s">
        <v>53</v>
      </c>
      <c r="G83" t="s">
        <v>54</v>
      </c>
      <c r="H83">
        <v>435.83</v>
      </c>
      <c r="I83">
        <v>7412.17</v>
      </c>
      <c r="J83">
        <v>3230446.05</v>
      </c>
      <c r="K83" s="7" t="str">
        <f>IFERROR(IF(B83&lt;&gt;"", TEXT(VLOOKUP(B83, 'Expected Date'!A:B, 2, FALSE) + DATE(RIGHT(C83,2),MID(C83,4,2),LEFT(C83,2)), "dd/mm/yy"), ""), "")</f>
        <v>05/09/23</v>
      </c>
      <c r="L83" t="s">
        <v>38</v>
      </c>
      <c r="M83" t="s">
        <v>48</v>
      </c>
      <c r="N83" t="s">
        <v>55</v>
      </c>
      <c r="O83" t="s">
        <v>94</v>
      </c>
      <c r="P83">
        <v>23190868</v>
      </c>
      <c r="Q83" t="s">
        <v>53</v>
      </c>
      <c r="R83" t="s">
        <v>54</v>
      </c>
      <c r="S83">
        <v>12.37</v>
      </c>
      <c r="T83">
        <v>7412.17</v>
      </c>
      <c r="U83">
        <v>91688.54</v>
      </c>
      <c r="V83" t="str">
        <f t="shared" si="33"/>
        <v>Hyderabad</v>
      </c>
      <c r="W83" t="str">
        <f>VLOOKUP(B83, Currency!A:B, 2, FALSE)</f>
        <v>INR</v>
      </c>
      <c r="X83" t="str">
        <f t="shared" si="34"/>
        <v>Accepted</v>
      </c>
      <c r="Y83">
        <f>IFERROR(VLOOKUP(N83, Payment_Terms!A:B, 2, FALSE), "Payment term not found!")</f>
        <v>0</v>
      </c>
      <c r="Z83" t="str">
        <f>IFERROR(VLOOKUP(R83, Item_Category!A:B, 2, FALSE), "Uncategorized")</f>
        <v>Coal materials</v>
      </c>
      <c r="AA83" s="5">
        <f t="shared" si="20"/>
        <v>1.3042566794577706E-16</v>
      </c>
      <c r="AB83">
        <f t="shared" si="21"/>
        <v>4</v>
      </c>
      <c r="AC83" s="10">
        <f t="shared" si="22"/>
        <v>-29</v>
      </c>
      <c r="AD83">
        <f t="shared" si="23"/>
        <v>5</v>
      </c>
      <c r="AE83" s="10">
        <f t="shared" si="24"/>
        <v>9</v>
      </c>
      <c r="AF83" s="5">
        <f t="shared" si="17"/>
        <v>1</v>
      </c>
      <c r="AG83" s="5">
        <f t="shared" si="18"/>
        <v>1</v>
      </c>
      <c r="AH83" s="5">
        <f t="shared" si="25"/>
        <v>0</v>
      </c>
      <c r="AI83">
        <f>IF(B83&lt;&gt;"", COUNTIFS($B$2:B83, B83), "")</f>
        <v>30</v>
      </c>
      <c r="AJ83">
        <f t="shared" si="26"/>
        <v>5</v>
      </c>
      <c r="AK83">
        <f t="shared" si="19"/>
        <v>5</v>
      </c>
      <c r="AL83">
        <f t="shared" si="27"/>
        <v>8</v>
      </c>
      <c r="AM83" t="str">
        <f t="shared" si="28"/>
        <v>August</v>
      </c>
      <c r="AN83">
        <f t="shared" si="29"/>
        <v>2023</v>
      </c>
      <c r="AO83" t="str">
        <f t="shared" si="30"/>
        <v>&gt;3</v>
      </c>
      <c r="AP83" t="str">
        <f t="shared" si="31"/>
        <v>&gt;3</v>
      </c>
      <c r="AQ83" t="str">
        <f t="shared" si="32"/>
        <v>&gt;3</v>
      </c>
    </row>
    <row r="84" spans="1:43" x14ac:dyDescent="0.3">
      <c r="A84" t="s">
        <v>33</v>
      </c>
      <c r="B84" t="s">
        <v>51</v>
      </c>
      <c r="C84" t="s">
        <v>52</v>
      </c>
      <c r="D84">
        <v>3768</v>
      </c>
      <c r="E84">
        <v>23120100</v>
      </c>
      <c r="F84" t="s">
        <v>53</v>
      </c>
      <c r="G84" t="s">
        <v>54</v>
      </c>
      <c r="H84">
        <v>435.83</v>
      </c>
      <c r="I84">
        <v>7412.17</v>
      </c>
      <c r="J84">
        <v>3230446.05</v>
      </c>
      <c r="K84" s="7" t="str">
        <f>IFERROR(IF(B84&lt;&gt;"", TEXT(VLOOKUP(B84, 'Expected Date'!A:B, 2, FALSE) + DATE(RIGHT(C84,2),MID(C84,4,2),LEFT(C84,2)), "dd/mm/yy"), ""), "")</f>
        <v>05/09/23</v>
      </c>
      <c r="L84" t="s">
        <v>38</v>
      </c>
      <c r="M84" t="s">
        <v>48</v>
      </c>
      <c r="N84" t="s">
        <v>55</v>
      </c>
      <c r="O84" t="s">
        <v>202</v>
      </c>
      <c r="P84">
        <v>23190869</v>
      </c>
      <c r="Q84" t="s">
        <v>53</v>
      </c>
      <c r="R84" t="s">
        <v>54</v>
      </c>
      <c r="S84">
        <v>30.76</v>
      </c>
      <c r="T84">
        <v>7412.17</v>
      </c>
      <c r="U84">
        <v>227998.35</v>
      </c>
      <c r="V84" t="str">
        <f t="shared" si="33"/>
        <v>Hyderabad</v>
      </c>
      <c r="W84" t="str">
        <f>VLOOKUP(B84, Currency!A:B, 2, FALSE)</f>
        <v>INR</v>
      </c>
      <c r="X84" t="str">
        <f t="shared" si="34"/>
        <v>Accepted</v>
      </c>
      <c r="Y84">
        <f>IFERROR(VLOOKUP(N84, Payment_Terms!A:B, 2, FALSE), "Payment term not found!")</f>
        <v>0</v>
      </c>
      <c r="Z84" t="str">
        <f>IFERROR(VLOOKUP(R84, Item_Category!A:B, 2, FALSE), "Uncategorized")</f>
        <v>Coal materials</v>
      </c>
      <c r="AA84" s="5">
        <f t="shared" si="20"/>
        <v>1.3042566794577706E-16</v>
      </c>
      <c r="AB84">
        <f t="shared" si="21"/>
        <v>4</v>
      </c>
      <c r="AC84" s="10">
        <f t="shared" si="22"/>
        <v>-27</v>
      </c>
      <c r="AD84">
        <f t="shared" si="23"/>
        <v>5</v>
      </c>
      <c r="AE84" s="10">
        <f t="shared" si="24"/>
        <v>7</v>
      </c>
      <c r="AF84" s="5">
        <f t="shared" si="17"/>
        <v>1</v>
      </c>
      <c r="AG84" s="5">
        <f t="shared" si="18"/>
        <v>1</v>
      </c>
      <c r="AH84" s="5">
        <f t="shared" si="25"/>
        <v>0</v>
      </c>
      <c r="AI84">
        <f>IF(B84&lt;&gt;"", COUNTIFS($B$2:B84, B84), "")</f>
        <v>31</v>
      </c>
      <c r="AJ84">
        <f t="shared" si="26"/>
        <v>5</v>
      </c>
      <c r="AK84">
        <f t="shared" si="19"/>
        <v>5</v>
      </c>
      <c r="AL84">
        <f t="shared" si="27"/>
        <v>8</v>
      </c>
      <c r="AM84" t="str">
        <f t="shared" si="28"/>
        <v>August</v>
      </c>
      <c r="AN84">
        <f t="shared" si="29"/>
        <v>2023</v>
      </c>
      <c r="AO84" t="str">
        <f t="shared" si="30"/>
        <v>&gt;3</v>
      </c>
      <c r="AP84" t="str">
        <f t="shared" si="31"/>
        <v>&gt;3</v>
      </c>
      <c r="AQ84" t="str">
        <f t="shared" si="32"/>
        <v>&gt;3</v>
      </c>
    </row>
    <row r="85" spans="1:43" x14ac:dyDescent="0.3">
      <c r="A85" t="s">
        <v>33</v>
      </c>
      <c r="B85" t="s">
        <v>51</v>
      </c>
      <c r="C85" t="s">
        <v>52</v>
      </c>
      <c r="D85">
        <v>3768</v>
      </c>
      <c r="E85">
        <v>23120100</v>
      </c>
      <c r="F85" t="s">
        <v>53</v>
      </c>
      <c r="G85" t="s">
        <v>54</v>
      </c>
      <c r="H85">
        <v>435.83</v>
      </c>
      <c r="I85">
        <v>7412.17</v>
      </c>
      <c r="J85">
        <v>3230446.05</v>
      </c>
      <c r="K85" s="7" t="str">
        <f>IFERROR(IF(B85&lt;&gt;"", TEXT(VLOOKUP(B85, 'Expected Date'!A:B, 2, FALSE) + DATE(RIGHT(C85,2),MID(C85,4,2),LEFT(C85,2)), "dd/mm/yy"), ""), "")</f>
        <v>05/09/23</v>
      </c>
      <c r="L85" t="s">
        <v>38</v>
      </c>
      <c r="M85" t="s">
        <v>48</v>
      </c>
      <c r="N85" t="s">
        <v>55</v>
      </c>
      <c r="O85" t="s">
        <v>74</v>
      </c>
      <c r="P85">
        <v>23190871</v>
      </c>
      <c r="Q85" t="s">
        <v>53</v>
      </c>
      <c r="R85" t="s">
        <v>54</v>
      </c>
      <c r="S85">
        <v>30.59</v>
      </c>
      <c r="T85">
        <v>7412.17</v>
      </c>
      <c r="U85">
        <v>226738.28</v>
      </c>
      <c r="V85" t="str">
        <f t="shared" si="33"/>
        <v>Hyderabad</v>
      </c>
      <c r="W85" t="str">
        <f>VLOOKUP(B85, Currency!A:B, 2, FALSE)</f>
        <v>INR</v>
      </c>
      <c r="X85" t="str">
        <f t="shared" si="34"/>
        <v>Accepted</v>
      </c>
      <c r="Y85">
        <f>IFERROR(VLOOKUP(N85, Payment_Terms!A:B, 2, FALSE), "Payment term not found!")</f>
        <v>0</v>
      </c>
      <c r="Z85" t="str">
        <f>IFERROR(VLOOKUP(R85, Item_Category!A:B, 2, FALSE), "Uncategorized")</f>
        <v>Coal materials</v>
      </c>
      <c r="AA85" s="5">
        <f t="shared" si="20"/>
        <v>1.3042566794577706E-16</v>
      </c>
      <c r="AB85">
        <f t="shared" si="21"/>
        <v>4</v>
      </c>
      <c r="AC85" s="10">
        <f t="shared" si="22"/>
        <v>-25</v>
      </c>
      <c r="AD85">
        <f t="shared" si="23"/>
        <v>5</v>
      </c>
      <c r="AE85" s="10">
        <f t="shared" si="24"/>
        <v>5</v>
      </c>
      <c r="AF85" s="5">
        <f t="shared" si="17"/>
        <v>1</v>
      </c>
      <c r="AG85" s="5">
        <f t="shared" si="18"/>
        <v>1</v>
      </c>
      <c r="AH85" s="5">
        <f t="shared" si="25"/>
        <v>0</v>
      </c>
      <c r="AI85">
        <f>IF(B85&lt;&gt;"", COUNTIFS($B$2:B85, B85), "")</f>
        <v>32</v>
      </c>
      <c r="AJ85">
        <f t="shared" si="26"/>
        <v>5</v>
      </c>
      <c r="AK85">
        <f t="shared" si="19"/>
        <v>5</v>
      </c>
      <c r="AL85">
        <f t="shared" si="27"/>
        <v>8</v>
      </c>
      <c r="AM85" t="str">
        <f t="shared" si="28"/>
        <v>August</v>
      </c>
      <c r="AN85">
        <f t="shared" si="29"/>
        <v>2023</v>
      </c>
      <c r="AO85" t="str">
        <f t="shared" si="30"/>
        <v>&gt;3</v>
      </c>
      <c r="AP85" t="str">
        <f t="shared" si="31"/>
        <v>&gt;3</v>
      </c>
      <c r="AQ85" t="str">
        <f t="shared" si="32"/>
        <v>&gt;3</v>
      </c>
    </row>
    <row r="86" spans="1:43" x14ac:dyDescent="0.3">
      <c r="A86" t="s">
        <v>33</v>
      </c>
      <c r="B86" t="s">
        <v>34</v>
      </c>
      <c r="C86" t="s">
        <v>117</v>
      </c>
      <c r="D86">
        <v>2900</v>
      </c>
      <c r="E86">
        <v>23120084</v>
      </c>
      <c r="F86" t="s">
        <v>92</v>
      </c>
      <c r="G86" t="s">
        <v>93</v>
      </c>
      <c r="H86">
        <v>6000</v>
      </c>
      <c r="I86">
        <v>33.75</v>
      </c>
      <c r="J86">
        <v>202500</v>
      </c>
      <c r="K86" s="7" t="str">
        <f>IFERROR(IF(B86&lt;&gt;"", TEXT(VLOOKUP(B86, 'Expected Date'!A:B, 2, FALSE) + DATE(RIGHT(C86,2),MID(C86,4,2),LEFT(C86,2)), "dd/mm/yy"), ""), "")</f>
        <v>17/07/23</v>
      </c>
      <c r="L86" t="s">
        <v>68</v>
      </c>
      <c r="M86" t="s">
        <v>39</v>
      </c>
      <c r="N86" t="s">
        <v>40</v>
      </c>
      <c r="O86" t="s">
        <v>203</v>
      </c>
      <c r="P86">
        <v>23190653</v>
      </c>
      <c r="Q86" t="s">
        <v>92</v>
      </c>
      <c r="R86" t="s">
        <v>93</v>
      </c>
      <c r="S86">
        <v>5962</v>
      </c>
      <c r="T86">
        <v>33.75</v>
      </c>
      <c r="U86">
        <v>201217.5</v>
      </c>
      <c r="V86" t="str">
        <f t="shared" si="33"/>
        <v>Hyderabad</v>
      </c>
      <c r="W86" t="str">
        <f>VLOOKUP(B86, Currency!A:B, 2, FALSE)</f>
        <v>INR</v>
      </c>
      <c r="X86" t="str">
        <f t="shared" si="34"/>
        <v>Accepted</v>
      </c>
      <c r="Y86">
        <f>IFERROR(VLOOKUP(N86, Payment_Terms!A:B, 2, FALSE), "Payment term not found!")</f>
        <v>30</v>
      </c>
      <c r="Z86" t="str">
        <f>IFERROR(VLOOKUP(R86, Item_Category!A:B, 2, FALSE), "Uncategorized")</f>
        <v>Bags</v>
      </c>
      <c r="AA86" s="5">
        <f t="shared" si="20"/>
        <v>6.3333333333333332E-3</v>
      </c>
      <c r="AB86">
        <f t="shared" si="21"/>
        <v>4</v>
      </c>
      <c r="AC86" s="10">
        <f t="shared" si="22"/>
        <v>-1</v>
      </c>
      <c r="AD86">
        <f t="shared" si="23"/>
        <v>5</v>
      </c>
      <c r="AE86" s="10">
        <f t="shared" si="24"/>
        <v>9</v>
      </c>
      <c r="AF86" s="5">
        <f t="shared" si="17"/>
        <v>1</v>
      </c>
      <c r="AG86" s="5">
        <f t="shared" si="18"/>
        <v>1</v>
      </c>
      <c r="AH86" s="5">
        <f t="shared" si="25"/>
        <v>0</v>
      </c>
      <c r="AI86">
        <f>IF(B86&lt;&gt;"", COUNTIFS($B$2:B86, B86), "")</f>
        <v>6</v>
      </c>
      <c r="AJ86">
        <f t="shared" si="26"/>
        <v>5</v>
      </c>
      <c r="AK86">
        <f t="shared" si="19"/>
        <v>5</v>
      </c>
      <c r="AL86">
        <f t="shared" si="27"/>
        <v>7</v>
      </c>
      <c r="AM86" t="str">
        <f t="shared" si="28"/>
        <v>July</v>
      </c>
      <c r="AN86">
        <f t="shared" si="29"/>
        <v>2023</v>
      </c>
      <c r="AO86" t="str">
        <f t="shared" si="30"/>
        <v>&gt;3</v>
      </c>
      <c r="AP86" t="str">
        <f t="shared" si="31"/>
        <v>&gt;3</v>
      </c>
      <c r="AQ86" t="str">
        <f t="shared" si="32"/>
        <v>&gt;3</v>
      </c>
    </row>
    <row r="87" spans="1:43" x14ac:dyDescent="0.3">
      <c r="A87" t="s">
        <v>33</v>
      </c>
      <c r="B87" t="s">
        <v>34</v>
      </c>
      <c r="C87" t="s">
        <v>117</v>
      </c>
      <c r="D87">
        <v>2900</v>
      </c>
      <c r="E87">
        <v>23120084</v>
      </c>
      <c r="F87" t="s">
        <v>204</v>
      </c>
      <c r="G87" t="s">
        <v>205</v>
      </c>
      <c r="H87">
        <v>2000</v>
      </c>
      <c r="I87">
        <v>33.75</v>
      </c>
      <c r="J87">
        <v>67500</v>
      </c>
      <c r="K87" s="7" t="str">
        <f>IFERROR(IF(B87&lt;&gt;"", TEXT(VLOOKUP(B87, 'Expected Date'!A:B, 2, FALSE) + DATE(RIGHT(C87,2),MID(C87,4,2),LEFT(C87,2)), "dd/mm/yy"), ""), "")</f>
        <v>17/07/23</v>
      </c>
      <c r="L87" t="s">
        <v>38</v>
      </c>
      <c r="M87" t="s">
        <v>39</v>
      </c>
      <c r="N87" t="s">
        <v>40</v>
      </c>
      <c r="O87" t="s">
        <v>203</v>
      </c>
      <c r="P87">
        <v>23190653</v>
      </c>
      <c r="Q87" t="s">
        <v>204</v>
      </c>
      <c r="R87" t="s">
        <v>205</v>
      </c>
      <c r="S87">
        <v>2061</v>
      </c>
      <c r="T87">
        <v>33.75</v>
      </c>
      <c r="U87">
        <v>69558.75</v>
      </c>
      <c r="V87" t="str">
        <f t="shared" si="33"/>
        <v>Hyderabad</v>
      </c>
      <c r="W87" t="str">
        <f>VLOOKUP(B87, Currency!A:B, 2, FALSE)</f>
        <v>INR</v>
      </c>
      <c r="X87" t="str">
        <f t="shared" si="34"/>
        <v>Accepted</v>
      </c>
      <c r="Y87">
        <f>IFERROR(VLOOKUP(N87, Payment_Terms!A:B, 2, FALSE), "Payment term not found!")</f>
        <v>30</v>
      </c>
      <c r="Z87" t="str">
        <f>IFERROR(VLOOKUP(R87, Item_Category!A:B, 2, FALSE), "Uncategorized")</f>
        <v>SSG-Bags</v>
      </c>
      <c r="AA87" s="5">
        <f t="shared" si="20"/>
        <v>0</v>
      </c>
      <c r="AB87">
        <f t="shared" si="21"/>
        <v>5</v>
      </c>
      <c r="AC87" s="10">
        <f t="shared" si="22"/>
        <v>-1</v>
      </c>
      <c r="AD87">
        <f t="shared" si="23"/>
        <v>5</v>
      </c>
      <c r="AE87" s="10">
        <f t="shared" si="24"/>
        <v>9</v>
      </c>
      <c r="AF87" s="5">
        <f t="shared" si="17"/>
        <v>1</v>
      </c>
      <c r="AG87" s="5">
        <f t="shared" si="18"/>
        <v>1</v>
      </c>
      <c r="AH87" s="5">
        <f t="shared" si="25"/>
        <v>0</v>
      </c>
      <c r="AI87">
        <f>IF(B87&lt;&gt;"", COUNTIFS($B$2:B87, B87), "")</f>
        <v>7</v>
      </c>
      <c r="AJ87">
        <f t="shared" si="26"/>
        <v>5</v>
      </c>
      <c r="AK87">
        <f t="shared" si="19"/>
        <v>5</v>
      </c>
      <c r="AL87">
        <f t="shared" si="27"/>
        <v>7</v>
      </c>
      <c r="AM87" t="str">
        <f t="shared" si="28"/>
        <v>July</v>
      </c>
      <c r="AN87">
        <f t="shared" si="29"/>
        <v>2023</v>
      </c>
      <c r="AO87" t="str">
        <f t="shared" si="30"/>
        <v>&gt;3</v>
      </c>
      <c r="AP87" t="str">
        <f t="shared" si="31"/>
        <v>&gt;3</v>
      </c>
      <c r="AQ87" t="str">
        <f t="shared" si="32"/>
        <v>&gt;3</v>
      </c>
    </row>
    <row r="88" spans="1:43" x14ac:dyDescent="0.3">
      <c r="A88" t="s">
        <v>33</v>
      </c>
      <c r="B88" t="s">
        <v>44</v>
      </c>
      <c r="C88" t="s">
        <v>206</v>
      </c>
      <c r="D88">
        <v>4349</v>
      </c>
      <c r="E88">
        <v>23120121</v>
      </c>
      <c r="F88" t="s">
        <v>46</v>
      </c>
      <c r="G88" t="s">
        <v>47</v>
      </c>
      <c r="H88">
        <v>600</v>
      </c>
      <c r="I88">
        <v>65</v>
      </c>
      <c r="J88">
        <v>39000</v>
      </c>
      <c r="K88" s="7" t="str">
        <f>IFERROR(IF(B88&lt;&gt;"", TEXT(VLOOKUP(B88, 'Expected Date'!A:B, 2, FALSE) + DATE(RIGHT(C88,2),MID(C88,4,2),LEFT(C88,2)), "dd/mm/yy"), ""), "")</f>
        <v>18/09/23</v>
      </c>
      <c r="L88" t="s">
        <v>38</v>
      </c>
      <c r="M88" t="s">
        <v>48</v>
      </c>
      <c r="N88" t="s">
        <v>49</v>
      </c>
      <c r="O88" t="s">
        <v>151</v>
      </c>
      <c r="P88">
        <v>23191069</v>
      </c>
      <c r="Q88" t="s">
        <v>46</v>
      </c>
      <c r="R88" t="s">
        <v>47</v>
      </c>
      <c r="S88">
        <v>300</v>
      </c>
      <c r="T88">
        <v>65</v>
      </c>
      <c r="U88">
        <v>19500</v>
      </c>
      <c r="V88" t="str">
        <f t="shared" si="33"/>
        <v>Hyderabad</v>
      </c>
      <c r="W88" t="str">
        <f>VLOOKUP(B88, Currency!A:B, 2, FALSE)</f>
        <v>INR</v>
      </c>
      <c r="X88" t="str">
        <f t="shared" si="34"/>
        <v>Accepted</v>
      </c>
      <c r="Y88">
        <f>IFERROR(VLOOKUP(N88, Payment_Terms!A:B, 2, FALSE), "Payment term not found!")</f>
        <v>30</v>
      </c>
      <c r="Z88" t="str">
        <f>IFERROR(VLOOKUP(R88, Item_Category!A:B, 2, FALSE), "Uncategorized")</f>
        <v>Gas</v>
      </c>
      <c r="AA88" s="5">
        <f t="shared" si="20"/>
        <v>0</v>
      </c>
      <c r="AB88">
        <f t="shared" si="21"/>
        <v>5</v>
      </c>
      <c r="AC88" s="10">
        <f t="shared" si="22"/>
        <v>-4</v>
      </c>
      <c r="AD88">
        <f t="shared" si="23"/>
        <v>5</v>
      </c>
      <c r="AE88" s="10">
        <f t="shared" si="24"/>
        <v>1</v>
      </c>
      <c r="AF88" s="5">
        <f t="shared" si="17"/>
        <v>1</v>
      </c>
      <c r="AG88" s="5">
        <f t="shared" si="18"/>
        <v>1</v>
      </c>
      <c r="AH88" s="5">
        <f t="shared" si="25"/>
        <v>0</v>
      </c>
      <c r="AI88">
        <f>IF(B88&lt;&gt;"", COUNTIFS($B$2:B88, B88), "")</f>
        <v>2</v>
      </c>
      <c r="AJ88">
        <f t="shared" si="26"/>
        <v>5</v>
      </c>
      <c r="AK88">
        <f t="shared" si="19"/>
        <v>5</v>
      </c>
      <c r="AL88">
        <f t="shared" si="27"/>
        <v>9</v>
      </c>
      <c r="AM88" t="str">
        <f t="shared" si="28"/>
        <v>September</v>
      </c>
      <c r="AN88">
        <f t="shared" si="29"/>
        <v>2023</v>
      </c>
      <c r="AO88" t="str">
        <f t="shared" si="30"/>
        <v>&gt;3</v>
      </c>
      <c r="AP88" t="str">
        <f t="shared" si="31"/>
        <v>&gt;3</v>
      </c>
      <c r="AQ88" t="str">
        <f t="shared" si="32"/>
        <v>&gt;3</v>
      </c>
    </row>
    <row r="89" spans="1:43" x14ac:dyDescent="0.3">
      <c r="A89" t="s">
        <v>33</v>
      </c>
      <c r="B89" t="s">
        <v>51</v>
      </c>
      <c r="C89" t="s">
        <v>52</v>
      </c>
      <c r="D89">
        <v>3768</v>
      </c>
      <c r="E89">
        <v>23120100</v>
      </c>
      <c r="F89" t="s">
        <v>53</v>
      </c>
      <c r="G89" t="s">
        <v>54</v>
      </c>
      <c r="H89">
        <v>435.83</v>
      </c>
      <c r="I89">
        <v>7412.17</v>
      </c>
      <c r="J89">
        <v>3230446.05</v>
      </c>
      <c r="K89" s="7" t="str">
        <f>IFERROR(IF(B89&lt;&gt;"", TEXT(VLOOKUP(B89, 'Expected Date'!A:B, 2, FALSE) + DATE(RIGHT(C89,2),MID(C89,4,2),LEFT(C89,2)), "dd/mm/yy"), ""), "")</f>
        <v>05/09/23</v>
      </c>
      <c r="L89" t="s">
        <v>38</v>
      </c>
      <c r="M89" t="s">
        <v>48</v>
      </c>
      <c r="N89" t="s">
        <v>55</v>
      </c>
      <c r="O89" t="s">
        <v>74</v>
      </c>
      <c r="P89">
        <v>23190872</v>
      </c>
      <c r="Q89" t="s">
        <v>53</v>
      </c>
      <c r="R89" t="s">
        <v>54</v>
      </c>
      <c r="S89">
        <v>25.78</v>
      </c>
      <c r="T89">
        <v>7412.17</v>
      </c>
      <c r="U89">
        <v>191085.74</v>
      </c>
      <c r="V89" t="str">
        <f t="shared" si="33"/>
        <v>Hyderabad</v>
      </c>
      <c r="W89" t="str">
        <f>VLOOKUP(B89, Currency!A:B, 2, FALSE)</f>
        <v>INR</v>
      </c>
      <c r="X89" t="str">
        <f t="shared" si="34"/>
        <v>Accepted</v>
      </c>
      <c r="Y89">
        <f>IFERROR(VLOOKUP(N89, Payment_Terms!A:B, 2, FALSE), "Payment term not found!")</f>
        <v>0</v>
      </c>
      <c r="Z89" t="str">
        <f>IFERROR(VLOOKUP(R89, Item_Category!A:B, 2, FALSE), "Uncategorized")</f>
        <v>Coal materials</v>
      </c>
      <c r="AA89" s="5">
        <f t="shared" si="20"/>
        <v>1.3042566794577706E-16</v>
      </c>
      <c r="AB89">
        <f t="shared" si="21"/>
        <v>4</v>
      </c>
      <c r="AC89" s="10">
        <f t="shared" si="22"/>
        <v>-25</v>
      </c>
      <c r="AD89">
        <f t="shared" si="23"/>
        <v>5</v>
      </c>
      <c r="AE89" s="10">
        <f t="shared" si="24"/>
        <v>5</v>
      </c>
      <c r="AF89" s="5">
        <f t="shared" si="17"/>
        <v>1</v>
      </c>
      <c r="AG89" s="5">
        <f t="shared" si="18"/>
        <v>1</v>
      </c>
      <c r="AH89" s="5">
        <f t="shared" si="25"/>
        <v>0</v>
      </c>
      <c r="AI89">
        <f>IF(B89&lt;&gt;"", COUNTIFS($B$2:B89, B89), "")</f>
        <v>33</v>
      </c>
      <c r="AJ89">
        <f t="shared" si="26"/>
        <v>5</v>
      </c>
      <c r="AK89">
        <f t="shared" si="19"/>
        <v>5</v>
      </c>
      <c r="AL89">
        <f t="shared" si="27"/>
        <v>8</v>
      </c>
      <c r="AM89" t="str">
        <f t="shared" si="28"/>
        <v>August</v>
      </c>
      <c r="AN89">
        <f t="shared" si="29"/>
        <v>2023</v>
      </c>
      <c r="AO89" t="str">
        <f t="shared" si="30"/>
        <v>&gt;3</v>
      </c>
      <c r="AP89" t="str">
        <f t="shared" si="31"/>
        <v>&gt;3</v>
      </c>
      <c r="AQ89" t="str">
        <f t="shared" si="32"/>
        <v>&gt;3</v>
      </c>
    </row>
    <row r="90" spans="1:43" x14ac:dyDescent="0.3">
      <c r="A90" t="s">
        <v>33</v>
      </c>
      <c r="B90" t="s">
        <v>51</v>
      </c>
      <c r="C90" t="s">
        <v>52</v>
      </c>
      <c r="D90">
        <v>3768</v>
      </c>
      <c r="E90">
        <v>23120100</v>
      </c>
      <c r="F90" t="s">
        <v>61</v>
      </c>
      <c r="G90" t="s">
        <v>62</v>
      </c>
      <c r="H90">
        <v>142</v>
      </c>
      <c r="I90">
        <v>6288.5</v>
      </c>
      <c r="J90">
        <v>892967</v>
      </c>
      <c r="K90" s="7" t="str">
        <f>IFERROR(IF(B90&lt;&gt;"", TEXT(VLOOKUP(B90, 'Expected Date'!A:B, 2, FALSE) + DATE(RIGHT(C90,2),MID(C90,4,2),LEFT(C90,2)), "dd/mm/yy"), ""), "")</f>
        <v>05/09/23</v>
      </c>
      <c r="L90" t="s">
        <v>38</v>
      </c>
      <c r="M90" t="s">
        <v>48</v>
      </c>
      <c r="N90" t="s">
        <v>55</v>
      </c>
      <c r="O90" t="s">
        <v>207</v>
      </c>
      <c r="P90">
        <v>23190879</v>
      </c>
      <c r="Q90" t="s">
        <v>61</v>
      </c>
      <c r="R90" t="s">
        <v>62</v>
      </c>
      <c r="S90">
        <v>20</v>
      </c>
      <c r="T90">
        <v>6288.5</v>
      </c>
      <c r="U90">
        <v>125770</v>
      </c>
      <c r="V90" t="str">
        <f t="shared" si="33"/>
        <v>Hyderabad</v>
      </c>
      <c r="W90" t="str">
        <f>VLOOKUP(B90, Currency!A:B, 2, FALSE)</f>
        <v>INR</v>
      </c>
      <c r="X90" t="str">
        <f t="shared" si="34"/>
        <v>Accepted</v>
      </c>
      <c r="Y90">
        <f>IFERROR(VLOOKUP(N90, Payment_Terms!A:B, 2, FALSE), "Payment term not found!")</f>
        <v>0</v>
      </c>
      <c r="Z90" t="str">
        <f>IFERROR(VLOOKUP(R90, Item_Category!A:B, 2, FALSE), "Uncategorized")</f>
        <v>Coal materials</v>
      </c>
      <c r="AA90" s="5">
        <f t="shared" si="20"/>
        <v>0</v>
      </c>
      <c r="AB90">
        <f t="shared" si="21"/>
        <v>5</v>
      </c>
      <c r="AC90" s="10">
        <f t="shared" si="22"/>
        <v>-23</v>
      </c>
      <c r="AD90">
        <f t="shared" si="23"/>
        <v>5</v>
      </c>
      <c r="AE90" s="10">
        <f t="shared" si="24"/>
        <v>3</v>
      </c>
      <c r="AF90" s="5">
        <f t="shared" si="17"/>
        <v>1</v>
      </c>
      <c r="AG90" s="5">
        <f t="shared" si="18"/>
        <v>1</v>
      </c>
      <c r="AH90" s="5">
        <f t="shared" si="25"/>
        <v>0</v>
      </c>
      <c r="AI90">
        <f>IF(B90&lt;&gt;"", COUNTIFS($B$2:B90, B90), "")</f>
        <v>34</v>
      </c>
      <c r="AJ90">
        <f t="shared" si="26"/>
        <v>5</v>
      </c>
      <c r="AK90">
        <f t="shared" si="19"/>
        <v>5</v>
      </c>
      <c r="AL90">
        <f t="shared" si="27"/>
        <v>8</v>
      </c>
      <c r="AM90" t="str">
        <f t="shared" si="28"/>
        <v>August</v>
      </c>
      <c r="AN90">
        <f t="shared" si="29"/>
        <v>2023</v>
      </c>
      <c r="AO90" t="str">
        <f t="shared" si="30"/>
        <v>&gt;3</v>
      </c>
      <c r="AP90" t="str">
        <f t="shared" si="31"/>
        <v>&gt;3</v>
      </c>
      <c r="AQ90" t="str">
        <f t="shared" si="32"/>
        <v>&gt;3</v>
      </c>
    </row>
    <row r="91" spans="1:43" x14ac:dyDescent="0.3">
      <c r="A91" t="s">
        <v>33</v>
      </c>
      <c r="B91" t="s">
        <v>51</v>
      </c>
      <c r="C91" t="s">
        <v>52</v>
      </c>
      <c r="D91">
        <v>3768</v>
      </c>
      <c r="E91">
        <v>23120100</v>
      </c>
      <c r="F91" t="s">
        <v>61</v>
      </c>
      <c r="G91" t="s">
        <v>62</v>
      </c>
      <c r="H91">
        <v>142</v>
      </c>
      <c r="I91">
        <v>6288.5</v>
      </c>
      <c r="J91">
        <v>892967</v>
      </c>
      <c r="K91" s="7" t="str">
        <f>IFERROR(IF(B91&lt;&gt;"", TEXT(VLOOKUP(B91, 'Expected Date'!A:B, 2, FALSE) + DATE(RIGHT(C91,2),MID(C91,4,2),LEFT(C91,2)), "dd/mm/yy"), ""), "")</f>
        <v>05/09/23</v>
      </c>
      <c r="L91" t="s">
        <v>38</v>
      </c>
      <c r="M91" t="s">
        <v>48</v>
      </c>
      <c r="N91" t="s">
        <v>55</v>
      </c>
      <c r="O91" t="s">
        <v>207</v>
      </c>
      <c r="P91">
        <v>23190878</v>
      </c>
      <c r="Q91" t="s">
        <v>61</v>
      </c>
      <c r="R91" t="s">
        <v>62</v>
      </c>
      <c r="S91">
        <v>20</v>
      </c>
      <c r="T91">
        <v>6288.5</v>
      </c>
      <c r="U91">
        <v>125770</v>
      </c>
      <c r="V91" t="str">
        <f t="shared" si="33"/>
        <v>Hyderabad</v>
      </c>
      <c r="W91" t="str">
        <f>VLOOKUP(B91, Currency!A:B, 2, FALSE)</f>
        <v>INR</v>
      </c>
      <c r="X91" t="str">
        <f t="shared" si="34"/>
        <v>Accepted</v>
      </c>
      <c r="Y91">
        <f>IFERROR(VLOOKUP(N91, Payment_Terms!A:B, 2, FALSE), "Payment term not found!")</f>
        <v>0</v>
      </c>
      <c r="Z91" t="str">
        <f>IFERROR(VLOOKUP(R91, Item_Category!A:B, 2, FALSE), "Uncategorized")</f>
        <v>Coal materials</v>
      </c>
      <c r="AA91" s="5">
        <f t="shared" si="20"/>
        <v>0</v>
      </c>
      <c r="AB91">
        <f t="shared" si="21"/>
        <v>5</v>
      </c>
      <c r="AC91" s="10">
        <f t="shared" si="22"/>
        <v>-23</v>
      </c>
      <c r="AD91">
        <f t="shared" si="23"/>
        <v>5</v>
      </c>
      <c r="AE91" s="10">
        <f t="shared" si="24"/>
        <v>3</v>
      </c>
      <c r="AF91" s="5">
        <f t="shared" si="17"/>
        <v>1</v>
      </c>
      <c r="AG91" s="5">
        <f t="shared" si="18"/>
        <v>1</v>
      </c>
      <c r="AH91" s="5">
        <f t="shared" si="25"/>
        <v>0</v>
      </c>
      <c r="AI91">
        <f>IF(B91&lt;&gt;"", COUNTIFS($B$2:B91, B91), "")</f>
        <v>35</v>
      </c>
      <c r="AJ91">
        <f t="shared" si="26"/>
        <v>5</v>
      </c>
      <c r="AK91">
        <f t="shared" si="19"/>
        <v>5</v>
      </c>
      <c r="AL91">
        <f t="shared" si="27"/>
        <v>8</v>
      </c>
      <c r="AM91" t="str">
        <f t="shared" si="28"/>
        <v>August</v>
      </c>
      <c r="AN91">
        <f t="shared" si="29"/>
        <v>2023</v>
      </c>
      <c r="AO91" t="str">
        <f t="shared" si="30"/>
        <v>&gt;3</v>
      </c>
      <c r="AP91" t="str">
        <f t="shared" si="31"/>
        <v>&gt;3</v>
      </c>
      <c r="AQ91" t="str">
        <f t="shared" si="32"/>
        <v>&gt;3</v>
      </c>
    </row>
    <row r="92" spans="1:43" x14ac:dyDescent="0.3">
      <c r="A92" t="s">
        <v>33</v>
      </c>
      <c r="B92" t="s">
        <v>51</v>
      </c>
      <c r="C92" t="s">
        <v>52</v>
      </c>
      <c r="D92">
        <v>3768</v>
      </c>
      <c r="E92">
        <v>23120100</v>
      </c>
      <c r="F92" t="s">
        <v>61</v>
      </c>
      <c r="G92" t="s">
        <v>62</v>
      </c>
      <c r="H92">
        <v>142</v>
      </c>
      <c r="I92">
        <v>6288.5</v>
      </c>
      <c r="J92">
        <v>892967</v>
      </c>
      <c r="K92" s="7" t="str">
        <f>IFERROR(IF(B92&lt;&gt;"", TEXT(VLOOKUP(B92, 'Expected Date'!A:B, 2, FALSE) + DATE(RIGHT(C92,2),MID(C92,4,2),LEFT(C92,2)), "dd/mm/yy"), ""), "")</f>
        <v>05/09/23</v>
      </c>
      <c r="L92" t="s">
        <v>38</v>
      </c>
      <c r="M92" t="s">
        <v>48</v>
      </c>
      <c r="N92" t="s">
        <v>55</v>
      </c>
      <c r="O92" t="s">
        <v>208</v>
      </c>
      <c r="P92">
        <v>23190877</v>
      </c>
      <c r="Q92" t="s">
        <v>61</v>
      </c>
      <c r="R92" t="s">
        <v>62</v>
      </c>
      <c r="S92">
        <v>20</v>
      </c>
      <c r="T92">
        <v>6288.5</v>
      </c>
      <c r="U92">
        <v>125770</v>
      </c>
      <c r="V92" t="str">
        <f t="shared" si="33"/>
        <v>Hyderabad</v>
      </c>
      <c r="W92" t="str">
        <f>VLOOKUP(B92, Currency!A:B, 2, FALSE)</f>
        <v>INR</v>
      </c>
      <c r="X92" t="str">
        <f t="shared" si="34"/>
        <v>Accepted</v>
      </c>
      <c r="Y92">
        <f>IFERROR(VLOOKUP(N92, Payment_Terms!A:B, 2, FALSE), "Payment term not found!")</f>
        <v>0</v>
      </c>
      <c r="Z92" t="str">
        <f>IFERROR(VLOOKUP(R92, Item_Category!A:B, 2, FALSE), "Uncategorized")</f>
        <v>Coal materials</v>
      </c>
      <c r="AA92" s="5">
        <f t="shared" si="20"/>
        <v>0</v>
      </c>
      <c r="AB92">
        <f t="shared" si="21"/>
        <v>5</v>
      </c>
      <c r="AC92" s="10">
        <f t="shared" si="22"/>
        <v>-24</v>
      </c>
      <c r="AD92">
        <f t="shared" si="23"/>
        <v>5</v>
      </c>
      <c r="AE92" s="10">
        <f t="shared" si="24"/>
        <v>4</v>
      </c>
      <c r="AF92" s="5">
        <f t="shared" si="17"/>
        <v>1</v>
      </c>
      <c r="AG92" s="5">
        <f t="shared" si="18"/>
        <v>1</v>
      </c>
      <c r="AH92" s="5">
        <f t="shared" si="25"/>
        <v>0</v>
      </c>
      <c r="AI92">
        <f>IF(B92&lt;&gt;"", COUNTIFS($B$2:B92, B92), "")</f>
        <v>36</v>
      </c>
      <c r="AJ92">
        <f t="shared" si="26"/>
        <v>5</v>
      </c>
      <c r="AK92">
        <f t="shared" si="19"/>
        <v>5</v>
      </c>
      <c r="AL92">
        <f t="shared" si="27"/>
        <v>8</v>
      </c>
      <c r="AM92" t="str">
        <f t="shared" si="28"/>
        <v>August</v>
      </c>
      <c r="AN92">
        <f t="shared" si="29"/>
        <v>2023</v>
      </c>
      <c r="AO92" t="str">
        <f t="shared" si="30"/>
        <v>&gt;3</v>
      </c>
      <c r="AP92" t="str">
        <f t="shared" si="31"/>
        <v>&gt;3</v>
      </c>
      <c r="AQ92" t="str">
        <f t="shared" si="32"/>
        <v>&gt;3</v>
      </c>
    </row>
    <row r="93" spans="1:43" x14ac:dyDescent="0.3">
      <c r="A93" t="s">
        <v>33</v>
      </c>
      <c r="B93" t="s">
        <v>51</v>
      </c>
      <c r="C93" t="s">
        <v>52</v>
      </c>
      <c r="D93">
        <v>3768</v>
      </c>
      <c r="E93">
        <v>23120100</v>
      </c>
      <c r="F93" t="s">
        <v>61</v>
      </c>
      <c r="G93" t="s">
        <v>62</v>
      </c>
      <c r="H93">
        <v>142</v>
      </c>
      <c r="I93">
        <v>6288.5</v>
      </c>
      <c r="J93">
        <v>892967</v>
      </c>
      <c r="K93" s="7" t="str">
        <f>IFERROR(IF(B93&lt;&gt;"", TEXT(VLOOKUP(B93, 'Expected Date'!A:B, 2, FALSE) + DATE(RIGHT(C93,2),MID(C93,4,2),LEFT(C93,2)), "dd/mm/yy"), ""), "")</f>
        <v>05/09/23</v>
      </c>
      <c r="L93" t="s">
        <v>38</v>
      </c>
      <c r="M93" t="s">
        <v>48</v>
      </c>
      <c r="N93" t="s">
        <v>55</v>
      </c>
      <c r="O93" t="s">
        <v>74</v>
      </c>
      <c r="P93">
        <v>23190874</v>
      </c>
      <c r="Q93" t="s">
        <v>61</v>
      </c>
      <c r="R93" t="s">
        <v>62</v>
      </c>
      <c r="S93">
        <v>20</v>
      </c>
      <c r="T93">
        <v>6288.5</v>
      </c>
      <c r="U93">
        <v>125770</v>
      </c>
      <c r="V93" t="str">
        <f t="shared" si="33"/>
        <v>Hyderabad</v>
      </c>
      <c r="W93" t="str">
        <f>VLOOKUP(B93, Currency!A:B, 2, FALSE)</f>
        <v>INR</v>
      </c>
      <c r="X93" t="str">
        <f t="shared" si="34"/>
        <v>Accepted</v>
      </c>
      <c r="Y93">
        <f>IFERROR(VLOOKUP(N93, Payment_Terms!A:B, 2, FALSE), "Payment term not found!")</f>
        <v>0</v>
      </c>
      <c r="Z93" t="str">
        <f>IFERROR(VLOOKUP(R93, Item_Category!A:B, 2, FALSE), "Uncategorized")</f>
        <v>Coal materials</v>
      </c>
      <c r="AA93" s="5">
        <f t="shared" si="20"/>
        <v>0</v>
      </c>
      <c r="AB93">
        <f t="shared" si="21"/>
        <v>5</v>
      </c>
      <c r="AC93" s="10">
        <f t="shared" si="22"/>
        <v>-25</v>
      </c>
      <c r="AD93">
        <f t="shared" si="23"/>
        <v>5</v>
      </c>
      <c r="AE93" s="10">
        <f t="shared" si="24"/>
        <v>5</v>
      </c>
      <c r="AF93" s="5">
        <f t="shared" si="17"/>
        <v>1</v>
      </c>
      <c r="AG93" s="5">
        <f t="shared" si="18"/>
        <v>1</v>
      </c>
      <c r="AH93" s="5">
        <f t="shared" si="25"/>
        <v>0</v>
      </c>
      <c r="AI93">
        <f>IF(B93&lt;&gt;"", COUNTIFS($B$2:B93, B93), "")</f>
        <v>37</v>
      </c>
      <c r="AJ93">
        <f t="shared" si="26"/>
        <v>5</v>
      </c>
      <c r="AK93">
        <f t="shared" si="19"/>
        <v>5</v>
      </c>
      <c r="AL93">
        <f t="shared" si="27"/>
        <v>8</v>
      </c>
      <c r="AM93" t="str">
        <f t="shared" si="28"/>
        <v>August</v>
      </c>
      <c r="AN93">
        <f t="shared" si="29"/>
        <v>2023</v>
      </c>
      <c r="AO93" t="str">
        <f t="shared" si="30"/>
        <v>&gt;3</v>
      </c>
      <c r="AP93" t="str">
        <f t="shared" si="31"/>
        <v>&gt;3</v>
      </c>
      <c r="AQ93" t="str">
        <f t="shared" si="32"/>
        <v>&gt;3</v>
      </c>
    </row>
    <row r="94" spans="1:43" x14ac:dyDescent="0.3">
      <c r="A94" t="s">
        <v>33</v>
      </c>
      <c r="B94" t="s">
        <v>51</v>
      </c>
      <c r="C94" t="s">
        <v>169</v>
      </c>
      <c r="D94">
        <v>2154</v>
      </c>
      <c r="E94">
        <v>23120035</v>
      </c>
      <c r="F94" t="s">
        <v>53</v>
      </c>
      <c r="G94" t="s">
        <v>54</v>
      </c>
      <c r="H94">
        <v>76.569999999999993</v>
      </c>
      <c r="I94">
        <v>7412.17</v>
      </c>
      <c r="J94">
        <v>567549.86</v>
      </c>
      <c r="K94" s="7" t="str">
        <f>IFERROR(IF(B94&lt;&gt;"", TEXT(VLOOKUP(B94, 'Expected Date'!A:B, 2, FALSE) + DATE(RIGHT(C94,2),MID(C94,4,2),LEFT(C94,2)), "dd/mm/yy"), ""), "")</f>
        <v>14/06/23</v>
      </c>
      <c r="L94" t="s">
        <v>38</v>
      </c>
      <c r="M94" t="s">
        <v>48</v>
      </c>
      <c r="N94" t="s">
        <v>55</v>
      </c>
      <c r="O94" t="s">
        <v>209</v>
      </c>
      <c r="P94">
        <v>23190339</v>
      </c>
      <c r="Q94" t="s">
        <v>53</v>
      </c>
      <c r="R94" t="s">
        <v>54</v>
      </c>
      <c r="S94">
        <v>25.89</v>
      </c>
      <c r="T94">
        <v>7412.17</v>
      </c>
      <c r="U94">
        <v>191901.08</v>
      </c>
      <c r="V94" t="str">
        <f t="shared" si="33"/>
        <v>Hyderabad</v>
      </c>
      <c r="W94" t="str">
        <f>VLOOKUP(B94, Currency!A:B, 2, FALSE)</f>
        <v>INR</v>
      </c>
      <c r="X94" t="str">
        <f t="shared" si="34"/>
        <v>Accepted</v>
      </c>
      <c r="Y94">
        <f>IFERROR(VLOOKUP(N94, Payment_Terms!A:B, 2, FALSE), "Payment term not found!")</f>
        <v>0</v>
      </c>
      <c r="Z94" t="str">
        <f>IFERROR(VLOOKUP(R94, Item_Category!A:B, 2, FALSE), "Uncategorized")</f>
        <v>Coal materials</v>
      </c>
      <c r="AA94" s="5">
        <f t="shared" si="20"/>
        <v>0</v>
      </c>
      <c r="AB94">
        <f t="shared" si="21"/>
        <v>5</v>
      </c>
      <c r="AC94" s="10">
        <f t="shared" si="22"/>
        <v>-40</v>
      </c>
      <c r="AD94">
        <f t="shared" si="23"/>
        <v>5</v>
      </c>
      <c r="AE94" s="10">
        <f t="shared" si="24"/>
        <v>20</v>
      </c>
      <c r="AF94" s="5">
        <f t="shared" si="17"/>
        <v>1</v>
      </c>
      <c r="AG94" s="5">
        <f t="shared" si="18"/>
        <v>1</v>
      </c>
      <c r="AH94" s="5">
        <f t="shared" si="25"/>
        <v>0</v>
      </c>
      <c r="AI94">
        <f>IF(B94&lt;&gt;"", COUNTIFS($B$2:B94, B94), "")</f>
        <v>38</v>
      </c>
      <c r="AJ94">
        <f t="shared" si="26"/>
        <v>5</v>
      </c>
      <c r="AK94">
        <f t="shared" si="19"/>
        <v>5</v>
      </c>
      <c r="AL94">
        <f t="shared" si="27"/>
        <v>5</v>
      </c>
      <c r="AM94" t="str">
        <f t="shared" si="28"/>
        <v>May</v>
      </c>
      <c r="AN94">
        <f t="shared" si="29"/>
        <v>2023</v>
      </c>
      <c r="AO94" t="str">
        <f t="shared" si="30"/>
        <v>&gt;3</v>
      </c>
      <c r="AP94" t="str">
        <f t="shared" si="31"/>
        <v>&gt;3</v>
      </c>
      <c r="AQ94" t="str">
        <f t="shared" si="32"/>
        <v>&gt;3</v>
      </c>
    </row>
    <row r="95" spans="1:43" x14ac:dyDescent="0.3">
      <c r="A95" t="s">
        <v>33</v>
      </c>
      <c r="B95" t="s">
        <v>51</v>
      </c>
      <c r="C95" t="s">
        <v>169</v>
      </c>
      <c r="D95">
        <v>2154</v>
      </c>
      <c r="E95">
        <v>23120035</v>
      </c>
      <c r="F95" t="s">
        <v>53</v>
      </c>
      <c r="G95" t="s">
        <v>54</v>
      </c>
      <c r="H95">
        <v>76.569999999999993</v>
      </c>
      <c r="I95">
        <v>7412.17</v>
      </c>
      <c r="J95">
        <v>567549.86</v>
      </c>
      <c r="K95" s="7" t="str">
        <f>IFERROR(IF(B95&lt;&gt;"", TEXT(VLOOKUP(B95, 'Expected Date'!A:B, 2, FALSE) + DATE(RIGHT(C95,2),MID(C95,4,2),LEFT(C95,2)), "dd/mm/yy"), ""), "")</f>
        <v>14/06/23</v>
      </c>
      <c r="L95" t="s">
        <v>38</v>
      </c>
      <c r="M95" t="s">
        <v>48</v>
      </c>
      <c r="N95" t="s">
        <v>55</v>
      </c>
      <c r="O95" t="s">
        <v>210</v>
      </c>
      <c r="P95">
        <v>23190340</v>
      </c>
      <c r="Q95" t="s">
        <v>53</v>
      </c>
      <c r="R95" t="s">
        <v>54</v>
      </c>
      <c r="S95">
        <v>25.36</v>
      </c>
      <c r="T95">
        <v>7412.17</v>
      </c>
      <c r="U95">
        <v>187972.63</v>
      </c>
      <c r="V95" t="str">
        <f t="shared" si="33"/>
        <v>Hyderabad</v>
      </c>
      <c r="W95" t="str">
        <f>VLOOKUP(B95, Currency!A:B, 2, FALSE)</f>
        <v>INR</v>
      </c>
      <c r="X95" t="str">
        <f t="shared" si="34"/>
        <v>Accepted</v>
      </c>
      <c r="Y95">
        <f>IFERROR(VLOOKUP(N95, Payment_Terms!A:B, 2, FALSE), "Payment term not found!")</f>
        <v>0</v>
      </c>
      <c r="Z95" t="str">
        <f>IFERROR(VLOOKUP(R95, Item_Category!A:B, 2, FALSE), "Uncategorized")</f>
        <v>Coal materials</v>
      </c>
      <c r="AA95" s="5">
        <f t="shared" si="20"/>
        <v>0</v>
      </c>
      <c r="AB95">
        <f t="shared" si="21"/>
        <v>5</v>
      </c>
      <c r="AC95" s="10">
        <f t="shared" si="22"/>
        <v>-32</v>
      </c>
      <c r="AD95">
        <f t="shared" si="23"/>
        <v>5</v>
      </c>
      <c r="AE95" s="10">
        <f t="shared" si="24"/>
        <v>12</v>
      </c>
      <c r="AF95" s="5">
        <f t="shared" si="17"/>
        <v>1</v>
      </c>
      <c r="AG95" s="5">
        <f t="shared" si="18"/>
        <v>1</v>
      </c>
      <c r="AH95" s="5">
        <f t="shared" si="25"/>
        <v>0</v>
      </c>
      <c r="AI95">
        <f>IF(B95&lt;&gt;"", COUNTIFS($B$2:B95, B95), "")</f>
        <v>39</v>
      </c>
      <c r="AJ95">
        <f t="shared" si="26"/>
        <v>5</v>
      </c>
      <c r="AK95">
        <f t="shared" si="19"/>
        <v>5</v>
      </c>
      <c r="AL95">
        <f t="shared" si="27"/>
        <v>5</v>
      </c>
      <c r="AM95" t="str">
        <f t="shared" si="28"/>
        <v>May</v>
      </c>
      <c r="AN95">
        <f t="shared" si="29"/>
        <v>2023</v>
      </c>
      <c r="AO95" t="str">
        <f t="shared" si="30"/>
        <v>&gt;3</v>
      </c>
      <c r="AP95" t="str">
        <f t="shared" si="31"/>
        <v>&gt;3</v>
      </c>
      <c r="AQ95" t="str">
        <f t="shared" si="32"/>
        <v>&gt;3</v>
      </c>
    </row>
    <row r="96" spans="1:43" x14ac:dyDescent="0.3">
      <c r="A96" t="s">
        <v>33</v>
      </c>
      <c r="B96" t="s">
        <v>51</v>
      </c>
      <c r="C96" t="s">
        <v>169</v>
      </c>
      <c r="D96">
        <v>2154</v>
      </c>
      <c r="E96">
        <v>23120035</v>
      </c>
      <c r="F96" t="s">
        <v>53</v>
      </c>
      <c r="G96" t="s">
        <v>54</v>
      </c>
      <c r="H96">
        <v>76.569999999999993</v>
      </c>
      <c r="I96">
        <v>7412.17</v>
      </c>
      <c r="J96">
        <v>567549.86</v>
      </c>
      <c r="K96" s="7" t="str">
        <f>IFERROR(IF(B96&lt;&gt;"", TEXT(VLOOKUP(B96, 'Expected Date'!A:B, 2, FALSE) + DATE(RIGHT(C96,2),MID(C96,4,2),LEFT(C96,2)), "dd/mm/yy"), ""), "")</f>
        <v>14/06/23</v>
      </c>
      <c r="L96" t="s">
        <v>38</v>
      </c>
      <c r="M96" t="s">
        <v>48</v>
      </c>
      <c r="N96" t="s">
        <v>55</v>
      </c>
      <c r="O96" t="s">
        <v>211</v>
      </c>
      <c r="P96">
        <v>23190341</v>
      </c>
      <c r="Q96" t="s">
        <v>53</v>
      </c>
      <c r="R96" t="s">
        <v>54</v>
      </c>
      <c r="S96">
        <v>25.32</v>
      </c>
      <c r="T96">
        <v>7412.17</v>
      </c>
      <c r="U96">
        <v>187676.14</v>
      </c>
      <c r="V96" t="str">
        <f t="shared" si="33"/>
        <v>Hyderabad</v>
      </c>
      <c r="W96" t="str">
        <f>VLOOKUP(B96, Currency!A:B, 2, FALSE)</f>
        <v>INR</v>
      </c>
      <c r="X96" t="str">
        <f t="shared" si="34"/>
        <v>Accepted</v>
      </c>
      <c r="Y96">
        <f>IFERROR(VLOOKUP(N96, Payment_Terms!A:B, 2, FALSE), "Payment term not found!")</f>
        <v>0</v>
      </c>
      <c r="Z96" t="str">
        <f>IFERROR(VLOOKUP(R96, Item_Category!A:B, 2, FALSE), "Uncategorized")</f>
        <v>Coal materials</v>
      </c>
      <c r="AA96" s="5">
        <f t="shared" si="20"/>
        <v>0</v>
      </c>
      <c r="AB96">
        <f t="shared" si="21"/>
        <v>5</v>
      </c>
      <c r="AC96" s="10">
        <f t="shared" si="22"/>
        <v>-31</v>
      </c>
      <c r="AD96">
        <f t="shared" si="23"/>
        <v>5</v>
      </c>
      <c r="AE96" s="10">
        <f t="shared" si="24"/>
        <v>11</v>
      </c>
      <c r="AF96" s="5">
        <f t="shared" si="17"/>
        <v>1</v>
      </c>
      <c r="AG96" s="5">
        <f t="shared" si="18"/>
        <v>1</v>
      </c>
      <c r="AH96" s="5">
        <f t="shared" si="25"/>
        <v>0</v>
      </c>
      <c r="AI96">
        <f>IF(B96&lt;&gt;"", COUNTIFS($B$2:B96, B96), "")</f>
        <v>40</v>
      </c>
      <c r="AJ96">
        <f t="shared" si="26"/>
        <v>5</v>
      </c>
      <c r="AK96">
        <f t="shared" si="19"/>
        <v>5</v>
      </c>
      <c r="AL96">
        <f t="shared" si="27"/>
        <v>5</v>
      </c>
      <c r="AM96" t="str">
        <f t="shared" si="28"/>
        <v>May</v>
      </c>
      <c r="AN96">
        <f t="shared" si="29"/>
        <v>2023</v>
      </c>
      <c r="AO96" t="str">
        <f t="shared" si="30"/>
        <v>&gt;3</v>
      </c>
      <c r="AP96" t="str">
        <f t="shared" si="31"/>
        <v>&gt;3</v>
      </c>
      <c r="AQ96" t="str">
        <f t="shared" si="32"/>
        <v>&gt;3</v>
      </c>
    </row>
    <row r="97" spans="1:43" x14ac:dyDescent="0.3">
      <c r="A97" t="s">
        <v>33</v>
      </c>
      <c r="B97" t="s">
        <v>107</v>
      </c>
      <c r="C97" t="s">
        <v>108</v>
      </c>
      <c r="D97">
        <v>1804</v>
      </c>
      <c r="E97">
        <v>23120020</v>
      </c>
      <c r="F97" t="s">
        <v>92</v>
      </c>
      <c r="G97" t="s">
        <v>93</v>
      </c>
      <c r="H97">
        <v>12000</v>
      </c>
      <c r="I97">
        <v>33.799999999999997</v>
      </c>
      <c r="J97">
        <v>405600</v>
      </c>
      <c r="K97" s="7" t="str">
        <f>IFERROR(IF(B97&lt;&gt;"", TEXT(VLOOKUP(B97, 'Expected Date'!A:B, 2, FALSE) + DATE(RIGHT(C97,2),MID(C97,4,2),LEFT(C97,2)), "dd/mm/yy"), ""), "")</f>
        <v>20/05/23</v>
      </c>
      <c r="L97" t="s">
        <v>68</v>
      </c>
      <c r="M97" t="s">
        <v>39</v>
      </c>
      <c r="N97" t="s">
        <v>109</v>
      </c>
      <c r="O97" t="s">
        <v>45</v>
      </c>
      <c r="P97">
        <v>23190443</v>
      </c>
      <c r="Q97" t="s">
        <v>92</v>
      </c>
      <c r="R97" t="s">
        <v>93</v>
      </c>
      <c r="S97">
        <v>5052</v>
      </c>
      <c r="T97">
        <v>33.799999999999997</v>
      </c>
      <c r="U97">
        <v>170757.6</v>
      </c>
      <c r="V97" t="str">
        <f t="shared" si="33"/>
        <v>Hyderabad</v>
      </c>
      <c r="W97" t="str">
        <f>VLOOKUP(B97, Currency!A:B, 2, FALSE)</f>
        <v>INR</v>
      </c>
      <c r="X97" t="str">
        <f t="shared" si="34"/>
        <v>Accepted</v>
      </c>
      <c r="Y97">
        <f>IFERROR(VLOOKUP(N97, Payment_Terms!A:B, 2, FALSE), "Payment term not found!")</f>
        <v>0</v>
      </c>
      <c r="Z97" t="str">
        <f>IFERROR(VLOOKUP(R97, Item_Category!A:B, 2, FALSE), "Uncategorized")</f>
        <v>Bags</v>
      </c>
      <c r="AA97" s="5">
        <f t="shared" si="20"/>
        <v>0.10591666666666667</v>
      </c>
      <c r="AB97">
        <f t="shared" si="21"/>
        <v>1</v>
      </c>
      <c r="AC97" s="10">
        <f t="shared" si="22"/>
        <v>28</v>
      </c>
      <c r="AD97">
        <f t="shared" si="23"/>
        <v>1</v>
      </c>
      <c r="AE97" s="10">
        <f t="shared" si="24"/>
        <v>38</v>
      </c>
      <c r="AF97" s="5">
        <f t="shared" si="17"/>
        <v>1</v>
      </c>
      <c r="AG97" s="5">
        <f t="shared" si="18"/>
        <v>1</v>
      </c>
      <c r="AH97" s="5">
        <f t="shared" si="25"/>
        <v>0</v>
      </c>
      <c r="AI97">
        <f>IF(B97&lt;&gt;"", COUNTIFS($B$2:B97, B97), "")</f>
        <v>5</v>
      </c>
      <c r="AJ97">
        <f t="shared" si="26"/>
        <v>5</v>
      </c>
      <c r="AK97">
        <f t="shared" si="19"/>
        <v>3</v>
      </c>
      <c r="AL97">
        <f t="shared" si="27"/>
        <v>5</v>
      </c>
      <c r="AM97" t="str">
        <f t="shared" si="28"/>
        <v>May</v>
      </c>
      <c r="AN97">
        <f t="shared" si="29"/>
        <v>2023</v>
      </c>
      <c r="AO97" t="str">
        <f t="shared" si="30"/>
        <v>&gt;3</v>
      </c>
      <c r="AP97" t="str">
        <f t="shared" si="31"/>
        <v>&lt;=3</v>
      </c>
      <c r="AQ97" t="str">
        <f t="shared" si="32"/>
        <v>&lt;=3</v>
      </c>
    </row>
    <row r="98" spans="1:43" x14ac:dyDescent="0.3">
      <c r="A98" t="s">
        <v>33</v>
      </c>
      <c r="B98" t="s">
        <v>34</v>
      </c>
      <c r="C98" t="s">
        <v>117</v>
      </c>
      <c r="D98">
        <v>2900</v>
      </c>
      <c r="E98">
        <v>23120084</v>
      </c>
      <c r="F98" t="s">
        <v>212</v>
      </c>
      <c r="G98" t="s">
        <v>213</v>
      </c>
      <c r="H98">
        <v>6000</v>
      </c>
      <c r="I98">
        <v>33.75</v>
      </c>
      <c r="J98">
        <v>202500</v>
      </c>
      <c r="K98" s="7" t="str">
        <f>IFERROR(IF(B98&lt;&gt;"", TEXT(VLOOKUP(B98, 'Expected Date'!A:B, 2, FALSE) + DATE(RIGHT(C98,2),MID(C98,4,2),LEFT(C98,2)), "dd/mm/yy"), ""), "")</f>
        <v>17/07/23</v>
      </c>
      <c r="L98" t="s">
        <v>38</v>
      </c>
      <c r="M98" t="s">
        <v>39</v>
      </c>
      <c r="N98" t="s">
        <v>40</v>
      </c>
      <c r="O98" t="s">
        <v>203</v>
      </c>
      <c r="P98">
        <v>23190653</v>
      </c>
      <c r="Q98" t="s">
        <v>212</v>
      </c>
      <c r="R98" t="s">
        <v>213</v>
      </c>
      <c r="S98">
        <v>6038</v>
      </c>
      <c r="T98">
        <v>33.75</v>
      </c>
      <c r="U98">
        <v>203782.5</v>
      </c>
      <c r="V98" t="str">
        <f t="shared" si="33"/>
        <v>Hyderabad</v>
      </c>
      <c r="W98" t="str">
        <f>VLOOKUP(B98, Currency!A:B, 2, FALSE)</f>
        <v>INR</v>
      </c>
      <c r="X98" t="str">
        <f t="shared" si="34"/>
        <v>Accepted</v>
      </c>
      <c r="Y98">
        <f>IFERROR(VLOOKUP(N98, Payment_Terms!A:B, 2, FALSE), "Payment term not found!")</f>
        <v>30</v>
      </c>
      <c r="Z98" t="str">
        <f>IFERROR(VLOOKUP(R98, Item_Category!A:B, 2, FALSE), "Uncategorized")</f>
        <v>Bags</v>
      </c>
      <c r="AA98" s="5">
        <f t="shared" si="20"/>
        <v>0</v>
      </c>
      <c r="AB98">
        <f t="shared" si="21"/>
        <v>5</v>
      </c>
      <c r="AC98" s="10">
        <f t="shared" si="22"/>
        <v>-1</v>
      </c>
      <c r="AD98">
        <f t="shared" si="23"/>
        <v>5</v>
      </c>
      <c r="AE98" s="10">
        <f t="shared" si="24"/>
        <v>9</v>
      </c>
      <c r="AF98" s="5">
        <f t="shared" si="17"/>
        <v>1</v>
      </c>
      <c r="AG98" s="5">
        <f t="shared" si="18"/>
        <v>1</v>
      </c>
      <c r="AH98" s="5">
        <f t="shared" si="25"/>
        <v>0</v>
      </c>
      <c r="AI98">
        <f>IF(B98&lt;&gt;"", COUNTIFS($B$2:B98, B98), "")</f>
        <v>8</v>
      </c>
      <c r="AJ98">
        <f t="shared" si="26"/>
        <v>5</v>
      </c>
      <c r="AK98">
        <f t="shared" si="19"/>
        <v>5</v>
      </c>
      <c r="AL98">
        <f t="shared" si="27"/>
        <v>7</v>
      </c>
      <c r="AM98" t="str">
        <f t="shared" si="28"/>
        <v>July</v>
      </c>
      <c r="AN98">
        <f t="shared" si="29"/>
        <v>2023</v>
      </c>
      <c r="AO98" t="str">
        <f t="shared" si="30"/>
        <v>&gt;3</v>
      </c>
      <c r="AP98" t="str">
        <f t="shared" si="31"/>
        <v>&gt;3</v>
      </c>
      <c r="AQ98" t="str">
        <f t="shared" si="32"/>
        <v>&gt;3</v>
      </c>
    </row>
    <row r="99" spans="1:43" x14ac:dyDescent="0.3">
      <c r="A99" t="s">
        <v>33</v>
      </c>
      <c r="B99" t="s">
        <v>51</v>
      </c>
      <c r="C99" t="s">
        <v>35</v>
      </c>
      <c r="D99">
        <v>1549</v>
      </c>
      <c r="E99">
        <v>23120010</v>
      </c>
      <c r="F99" t="s">
        <v>214</v>
      </c>
      <c r="G99" t="s">
        <v>215</v>
      </c>
      <c r="H99">
        <v>229.46</v>
      </c>
      <c r="I99">
        <v>7277.35</v>
      </c>
      <c r="J99">
        <v>1669860.73</v>
      </c>
      <c r="K99" s="7" t="str">
        <f>IFERROR(IF(B99&lt;&gt;"", TEXT(VLOOKUP(B99, 'Expected Date'!A:B, 2, FALSE) + DATE(RIGHT(C99,2),MID(C99,4,2),LEFT(C99,2)), "dd/mm/yy"), ""), "")</f>
        <v>17/05/23</v>
      </c>
      <c r="L99" t="s">
        <v>38</v>
      </c>
      <c r="M99" t="s">
        <v>48</v>
      </c>
      <c r="N99" t="s">
        <v>55</v>
      </c>
      <c r="O99" t="s">
        <v>41</v>
      </c>
      <c r="P99">
        <v>23190133</v>
      </c>
      <c r="Q99" t="s">
        <v>214</v>
      </c>
      <c r="R99" t="s">
        <v>215</v>
      </c>
      <c r="S99">
        <v>29.12</v>
      </c>
      <c r="T99">
        <v>7277.35</v>
      </c>
      <c r="U99">
        <v>211916.43</v>
      </c>
      <c r="V99" t="str">
        <f t="shared" si="33"/>
        <v>Hyderabad</v>
      </c>
      <c r="W99" t="str">
        <f>VLOOKUP(B99, Currency!A:B, 2, FALSE)</f>
        <v>INR</v>
      </c>
      <c r="X99" t="str">
        <f t="shared" si="34"/>
        <v>Accepted</v>
      </c>
      <c r="Y99">
        <f>IFERROR(VLOOKUP(N99, Payment_Terms!A:B, 2, FALSE), "Payment term not found!")</f>
        <v>0</v>
      </c>
      <c r="Z99" t="str">
        <f>IFERROR(VLOOKUP(R99, Item_Category!A:B, 2, FALSE), "Uncategorized")</f>
        <v>Coal materials</v>
      </c>
      <c r="AA99" s="5">
        <f t="shared" si="20"/>
        <v>0</v>
      </c>
      <c r="AB99">
        <f t="shared" si="21"/>
        <v>5</v>
      </c>
      <c r="AC99" s="10">
        <f t="shared" si="22"/>
        <v>-18</v>
      </c>
      <c r="AD99">
        <f t="shared" si="23"/>
        <v>5</v>
      </c>
      <c r="AE99" s="10">
        <f t="shared" si="24"/>
        <v>2</v>
      </c>
      <c r="AF99" s="5">
        <f t="shared" si="17"/>
        <v>1</v>
      </c>
      <c r="AG99" s="5">
        <f t="shared" si="18"/>
        <v>1</v>
      </c>
      <c r="AH99" s="5">
        <f t="shared" si="25"/>
        <v>0</v>
      </c>
      <c r="AI99">
        <f>IF(B99&lt;&gt;"", COUNTIFS($B$2:B99, B99), "")</f>
        <v>41</v>
      </c>
      <c r="AJ99">
        <f t="shared" si="26"/>
        <v>5</v>
      </c>
      <c r="AK99">
        <f t="shared" si="19"/>
        <v>5</v>
      </c>
      <c r="AL99">
        <f t="shared" si="27"/>
        <v>4</v>
      </c>
      <c r="AM99" t="str">
        <f t="shared" si="28"/>
        <v>April</v>
      </c>
      <c r="AN99">
        <f t="shared" si="29"/>
        <v>2023</v>
      </c>
      <c r="AO99" t="str">
        <f t="shared" si="30"/>
        <v>&gt;3</v>
      </c>
      <c r="AP99" t="str">
        <f t="shared" si="31"/>
        <v>&gt;3</v>
      </c>
      <c r="AQ99" t="str">
        <f t="shared" si="32"/>
        <v>&gt;3</v>
      </c>
    </row>
    <row r="100" spans="1:43" x14ac:dyDescent="0.3">
      <c r="A100" t="s">
        <v>33</v>
      </c>
      <c r="B100" t="s">
        <v>51</v>
      </c>
      <c r="C100" t="s">
        <v>35</v>
      </c>
      <c r="D100">
        <v>1549</v>
      </c>
      <c r="E100">
        <v>23120010</v>
      </c>
      <c r="F100" t="s">
        <v>214</v>
      </c>
      <c r="G100" t="s">
        <v>215</v>
      </c>
      <c r="H100">
        <v>229.46</v>
      </c>
      <c r="I100">
        <v>7277.35</v>
      </c>
      <c r="J100">
        <v>1669860.73</v>
      </c>
      <c r="K100" s="7" t="str">
        <f>IFERROR(IF(B100&lt;&gt;"", TEXT(VLOOKUP(B100, 'Expected Date'!A:B, 2, FALSE) + DATE(RIGHT(C100,2),MID(C100,4,2),LEFT(C100,2)), "dd/mm/yy"), ""), "")</f>
        <v>17/05/23</v>
      </c>
      <c r="L100" t="s">
        <v>38</v>
      </c>
      <c r="M100" t="s">
        <v>48</v>
      </c>
      <c r="N100" t="s">
        <v>55</v>
      </c>
      <c r="O100" t="s">
        <v>41</v>
      </c>
      <c r="P100">
        <v>23190134</v>
      </c>
      <c r="Q100" t="s">
        <v>214</v>
      </c>
      <c r="R100" t="s">
        <v>215</v>
      </c>
      <c r="S100">
        <v>25.16</v>
      </c>
      <c r="T100">
        <v>7277.35</v>
      </c>
      <c r="U100">
        <v>183098.13</v>
      </c>
      <c r="V100" t="str">
        <f t="shared" si="33"/>
        <v>Hyderabad</v>
      </c>
      <c r="W100" t="str">
        <f>VLOOKUP(B100, Currency!A:B, 2, FALSE)</f>
        <v>INR</v>
      </c>
      <c r="X100" t="str">
        <f t="shared" si="34"/>
        <v>Accepted</v>
      </c>
      <c r="Y100">
        <f>IFERROR(VLOOKUP(N100, Payment_Terms!A:B, 2, FALSE), "Payment term not found!")</f>
        <v>0</v>
      </c>
      <c r="Z100" t="str">
        <f>IFERROR(VLOOKUP(R100, Item_Category!A:B, 2, FALSE), "Uncategorized")</f>
        <v>Coal materials</v>
      </c>
      <c r="AA100" s="5">
        <f t="shared" si="20"/>
        <v>0</v>
      </c>
      <c r="AB100">
        <f t="shared" si="21"/>
        <v>5</v>
      </c>
      <c r="AC100" s="10">
        <f t="shared" si="22"/>
        <v>-18</v>
      </c>
      <c r="AD100">
        <f t="shared" si="23"/>
        <v>5</v>
      </c>
      <c r="AE100" s="10">
        <f t="shared" si="24"/>
        <v>2</v>
      </c>
      <c r="AF100" s="5">
        <f t="shared" si="17"/>
        <v>1</v>
      </c>
      <c r="AG100" s="5">
        <f t="shared" si="18"/>
        <v>1</v>
      </c>
      <c r="AH100" s="5">
        <f t="shared" si="25"/>
        <v>0</v>
      </c>
      <c r="AI100">
        <f>IF(B100&lt;&gt;"", COUNTIFS($B$2:B100, B100), "")</f>
        <v>42</v>
      </c>
      <c r="AJ100">
        <f t="shared" si="26"/>
        <v>5</v>
      </c>
      <c r="AK100">
        <f t="shared" si="19"/>
        <v>5</v>
      </c>
      <c r="AL100">
        <f t="shared" si="27"/>
        <v>4</v>
      </c>
      <c r="AM100" t="str">
        <f t="shared" si="28"/>
        <v>April</v>
      </c>
      <c r="AN100">
        <f t="shared" si="29"/>
        <v>2023</v>
      </c>
      <c r="AO100" t="str">
        <f t="shared" si="30"/>
        <v>&gt;3</v>
      </c>
      <c r="AP100" t="str">
        <f t="shared" si="31"/>
        <v>&gt;3</v>
      </c>
      <c r="AQ100" t="str">
        <f t="shared" si="32"/>
        <v>&gt;3</v>
      </c>
    </row>
    <row r="101" spans="1:43" x14ac:dyDescent="0.3">
      <c r="A101" t="s">
        <v>33</v>
      </c>
      <c r="B101" t="s">
        <v>51</v>
      </c>
      <c r="C101" t="s">
        <v>35</v>
      </c>
      <c r="D101">
        <v>1549</v>
      </c>
      <c r="E101">
        <v>23120010</v>
      </c>
      <c r="F101" t="s">
        <v>214</v>
      </c>
      <c r="G101" t="s">
        <v>215</v>
      </c>
      <c r="H101">
        <v>229.46</v>
      </c>
      <c r="I101">
        <v>7277.35</v>
      </c>
      <c r="J101">
        <v>1669860.73</v>
      </c>
      <c r="K101" s="7" t="str">
        <f>IFERROR(IF(B101&lt;&gt;"", TEXT(VLOOKUP(B101, 'Expected Date'!A:B, 2, FALSE) + DATE(RIGHT(C101,2),MID(C101,4,2),LEFT(C101,2)), "dd/mm/yy"), ""), "")</f>
        <v>17/05/23</v>
      </c>
      <c r="L101" t="s">
        <v>38</v>
      </c>
      <c r="M101" t="s">
        <v>48</v>
      </c>
      <c r="N101" t="s">
        <v>55</v>
      </c>
      <c r="O101" t="s">
        <v>41</v>
      </c>
      <c r="P101">
        <v>23190135</v>
      </c>
      <c r="Q101" t="s">
        <v>214</v>
      </c>
      <c r="R101" t="s">
        <v>215</v>
      </c>
      <c r="S101">
        <v>25.1</v>
      </c>
      <c r="T101">
        <v>7277.35</v>
      </c>
      <c r="U101">
        <v>182661.49</v>
      </c>
      <c r="V101" t="str">
        <f t="shared" si="33"/>
        <v>Hyderabad</v>
      </c>
      <c r="W101" t="str">
        <f>VLOOKUP(B101, Currency!A:B, 2, FALSE)</f>
        <v>INR</v>
      </c>
      <c r="X101" t="str">
        <f t="shared" si="34"/>
        <v>Accepted</v>
      </c>
      <c r="Y101">
        <f>IFERROR(VLOOKUP(N101, Payment_Terms!A:B, 2, FALSE), "Payment term not found!")</f>
        <v>0</v>
      </c>
      <c r="Z101" t="str">
        <f>IFERROR(VLOOKUP(R101, Item_Category!A:B, 2, FALSE), "Uncategorized")</f>
        <v>Coal materials</v>
      </c>
      <c r="AA101" s="5">
        <f t="shared" si="20"/>
        <v>0</v>
      </c>
      <c r="AB101">
        <f t="shared" si="21"/>
        <v>5</v>
      </c>
      <c r="AC101" s="10">
        <f t="shared" si="22"/>
        <v>-18</v>
      </c>
      <c r="AD101">
        <f t="shared" si="23"/>
        <v>5</v>
      </c>
      <c r="AE101" s="10">
        <f t="shared" si="24"/>
        <v>2</v>
      </c>
      <c r="AF101" s="5">
        <f t="shared" si="17"/>
        <v>1</v>
      </c>
      <c r="AG101" s="5">
        <f t="shared" si="18"/>
        <v>1</v>
      </c>
      <c r="AH101" s="5">
        <f t="shared" si="25"/>
        <v>0</v>
      </c>
      <c r="AI101">
        <f>IF(B101&lt;&gt;"", COUNTIFS($B$2:B101, B101), "")</f>
        <v>43</v>
      </c>
      <c r="AJ101">
        <f t="shared" si="26"/>
        <v>5</v>
      </c>
      <c r="AK101">
        <f t="shared" si="19"/>
        <v>5</v>
      </c>
      <c r="AL101">
        <f t="shared" si="27"/>
        <v>4</v>
      </c>
      <c r="AM101" t="str">
        <f t="shared" si="28"/>
        <v>April</v>
      </c>
      <c r="AN101">
        <f t="shared" si="29"/>
        <v>2023</v>
      </c>
      <c r="AO101" t="str">
        <f t="shared" si="30"/>
        <v>&gt;3</v>
      </c>
      <c r="AP101" t="str">
        <f t="shared" si="31"/>
        <v>&gt;3</v>
      </c>
      <c r="AQ101" t="str">
        <f t="shared" si="32"/>
        <v>&gt;3</v>
      </c>
    </row>
    <row r="102" spans="1:43" x14ac:dyDescent="0.3">
      <c r="A102" t="s">
        <v>33</v>
      </c>
      <c r="B102" t="s">
        <v>34</v>
      </c>
      <c r="C102" t="s">
        <v>35</v>
      </c>
      <c r="D102">
        <v>1661</v>
      </c>
      <c r="E102">
        <v>23120014</v>
      </c>
      <c r="F102" t="s">
        <v>216</v>
      </c>
      <c r="G102" t="s">
        <v>217</v>
      </c>
      <c r="H102">
        <v>2046</v>
      </c>
      <c r="I102">
        <v>35.75</v>
      </c>
      <c r="J102">
        <v>73144.5</v>
      </c>
      <c r="K102" s="7" t="str">
        <f>IFERROR(IF(B102&lt;&gt;"", TEXT(VLOOKUP(B102, 'Expected Date'!A:B, 2, FALSE) + DATE(RIGHT(C102,2),MID(C102,4,2),LEFT(C102,2)), "dd/mm/yy"), ""), "")</f>
        <v>07/05/23</v>
      </c>
      <c r="L102" t="s">
        <v>38</v>
      </c>
      <c r="M102" t="s">
        <v>39</v>
      </c>
      <c r="N102" t="s">
        <v>40</v>
      </c>
      <c r="O102" t="s">
        <v>41</v>
      </c>
      <c r="P102">
        <v>23190138</v>
      </c>
      <c r="Q102" t="s">
        <v>216</v>
      </c>
      <c r="R102" t="s">
        <v>217</v>
      </c>
      <c r="S102">
        <v>2046</v>
      </c>
      <c r="T102">
        <v>35.75</v>
      </c>
      <c r="U102">
        <v>73144.5</v>
      </c>
      <c r="V102" t="str">
        <f t="shared" si="33"/>
        <v>Hyderabad</v>
      </c>
      <c r="W102" t="str">
        <f>VLOOKUP(B102, Currency!A:B, 2, FALSE)</f>
        <v>INR</v>
      </c>
      <c r="X102" t="str">
        <f t="shared" si="34"/>
        <v>Accepted</v>
      </c>
      <c r="Y102">
        <f>IFERROR(VLOOKUP(N102, Payment_Terms!A:B, 2, FALSE), "Payment term not found!")</f>
        <v>30</v>
      </c>
      <c r="Z102" t="str">
        <f>IFERROR(VLOOKUP(R102, Item_Category!A:B, 2, FALSE), "Uncategorized")</f>
        <v>Bags</v>
      </c>
      <c r="AA102" s="5">
        <f t="shared" si="20"/>
        <v>0</v>
      </c>
      <c r="AB102">
        <f t="shared" si="21"/>
        <v>5</v>
      </c>
      <c r="AC102" s="10">
        <f t="shared" si="22"/>
        <v>-8</v>
      </c>
      <c r="AD102">
        <f t="shared" si="23"/>
        <v>5</v>
      </c>
      <c r="AE102" s="10">
        <f t="shared" si="24"/>
        <v>2</v>
      </c>
      <c r="AF102" s="5">
        <f t="shared" si="17"/>
        <v>1</v>
      </c>
      <c r="AG102" s="5">
        <f t="shared" si="18"/>
        <v>1</v>
      </c>
      <c r="AH102" s="5">
        <f t="shared" si="25"/>
        <v>0</v>
      </c>
      <c r="AI102">
        <f>IF(B102&lt;&gt;"", COUNTIFS($B$2:B102, B102), "")</f>
        <v>9</v>
      </c>
      <c r="AJ102">
        <f t="shared" si="26"/>
        <v>5</v>
      </c>
      <c r="AK102">
        <f t="shared" si="19"/>
        <v>5</v>
      </c>
      <c r="AL102">
        <f t="shared" si="27"/>
        <v>4</v>
      </c>
      <c r="AM102" t="str">
        <f t="shared" si="28"/>
        <v>April</v>
      </c>
      <c r="AN102">
        <f t="shared" si="29"/>
        <v>2023</v>
      </c>
      <c r="AO102" t="str">
        <f t="shared" si="30"/>
        <v>&gt;3</v>
      </c>
      <c r="AP102" t="str">
        <f t="shared" si="31"/>
        <v>&gt;3</v>
      </c>
      <c r="AQ102" t="str">
        <f t="shared" si="32"/>
        <v>&gt;3</v>
      </c>
    </row>
    <row r="103" spans="1:43" x14ac:dyDescent="0.3">
      <c r="A103" t="s">
        <v>33</v>
      </c>
      <c r="B103" t="s">
        <v>64</v>
      </c>
      <c r="C103" t="s">
        <v>117</v>
      </c>
      <c r="D103">
        <v>2901</v>
      </c>
      <c r="E103">
        <v>23120085</v>
      </c>
      <c r="F103" t="s">
        <v>125</v>
      </c>
      <c r="G103" t="s">
        <v>126</v>
      </c>
      <c r="H103">
        <v>3000</v>
      </c>
      <c r="I103">
        <v>22.5</v>
      </c>
      <c r="J103">
        <v>67500</v>
      </c>
      <c r="K103" s="7" t="str">
        <f>IFERROR(IF(B103&lt;&gt;"", TEXT(VLOOKUP(B103, 'Expected Date'!A:B, 2, FALSE) + DATE(RIGHT(C103,2),MID(C103,4,2),LEFT(C103,2)), "dd/mm/yy"), ""), "")</f>
        <v>17/07/23</v>
      </c>
      <c r="L103" t="s">
        <v>38</v>
      </c>
      <c r="M103" t="s">
        <v>48</v>
      </c>
      <c r="N103" t="s">
        <v>69</v>
      </c>
      <c r="O103" t="s">
        <v>192</v>
      </c>
      <c r="P103">
        <v>23190837</v>
      </c>
      <c r="Q103" t="s">
        <v>125</v>
      </c>
      <c r="R103" t="s">
        <v>126</v>
      </c>
      <c r="S103">
        <v>3200</v>
      </c>
      <c r="T103">
        <v>22.5</v>
      </c>
      <c r="U103">
        <v>72000</v>
      </c>
      <c r="V103" t="str">
        <f t="shared" si="33"/>
        <v>Hyderabad</v>
      </c>
      <c r="W103" t="str">
        <f>VLOOKUP(B103, Currency!A:B, 2, FALSE)</f>
        <v>INR</v>
      </c>
      <c r="X103" t="str">
        <f t="shared" si="34"/>
        <v>Accepted</v>
      </c>
      <c r="Y103">
        <f>IFERROR(VLOOKUP(N103, Payment_Terms!A:B, 2, FALSE), "Payment term not found!")</f>
        <v>30</v>
      </c>
      <c r="Z103" t="str">
        <f>IFERROR(VLOOKUP(R103, Item_Category!A:B, 2, FALSE), "Uncategorized")</f>
        <v>Bags</v>
      </c>
      <c r="AA103" s="5">
        <f t="shared" si="20"/>
        <v>0</v>
      </c>
      <c r="AB103">
        <f t="shared" si="21"/>
        <v>5</v>
      </c>
      <c r="AC103" s="10">
        <f t="shared" si="22"/>
        <v>28</v>
      </c>
      <c r="AD103">
        <f t="shared" si="23"/>
        <v>1</v>
      </c>
      <c r="AE103" s="10">
        <f t="shared" si="24"/>
        <v>38</v>
      </c>
      <c r="AF103" s="5">
        <f t="shared" si="17"/>
        <v>1</v>
      </c>
      <c r="AG103" s="5">
        <f t="shared" si="18"/>
        <v>1</v>
      </c>
      <c r="AH103" s="5">
        <f t="shared" si="25"/>
        <v>0</v>
      </c>
      <c r="AI103">
        <f>IF(B103&lt;&gt;"", COUNTIFS($B$2:B103, B103), "")</f>
        <v>7</v>
      </c>
      <c r="AJ103">
        <f t="shared" si="26"/>
        <v>5</v>
      </c>
      <c r="AK103">
        <f t="shared" si="19"/>
        <v>4</v>
      </c>
      <c r="AL103">
        <f t="shared" si="27"/>
        <v>7</v>
      </c>
      <c r="AM103" t="str">
        <f t="shared" si="28"/>
        <v>July</v>
      </c>
      <c r="AN103">
        <f t="shared" si="29"/>
        <v>2023</v>
      </c>
      <c r="AO103" t="str">
        <f t="shared" si="30"/>
        <v>&gt;3</v>
      </c>
      <c r="AP103" t="str">
        <f t="shared" si="31"/>
        <v>&gt;3</v>
      </c>
      <c r="AQ103" t="str">
        <f t="shared" si="32"/>
        <v>&lt;=3</v>
      </c>
    </row>
    <row r="104" spans="1:43" x14ac:dyDescent="0.3">
      <c r="A104" t="s">
        <v>33</v>
      </c>
      <c r="B104" t="s">
        <v>51</v>
      </c>
      <c r="C104" t="s">
        <v>52</v>
      </c>
      <c r="D104">
        <v>3768</v>
      </c>
      <c r="E104">
        <v>23120100</v>
      </c>
      <c r="F104" t="s">
        <v>53</v>
      </c>
      <c r="G104" t="s">
        <v>54</v>
      </c>
      <c r="H104">
        <v>435.83</v>
      </c>
      <c r="I104">
        <v>7412.17</v>
      </c>
      <c r="J104">
        <v>3230446.05</v>
      </c>
      <c r="K104" s="7" t="str">
        <f>IFERROR(IF(B104&lt;&gt;"", TEXT(VLOOKUP(B104, 'Expected Date'!A:B, 2, FALSE) + DATE(RIGHT(C104,2),MID(C104,4,2),LEFT(C104,2)), "dd/mm/yy"), ""), "")</f>
        <v>05/09/23</v>
      </c>
      <c r="L104" t="s">
        <v>38</v>
      </c>
      <c r="M104" t="s">
        <v>48</v>
      </c>
      <c r="N104" t="s">
        <v>55</v>
      </c>
      <c r="O104" t="s">
        <v>208</v>
      </c>
      <c r="P104">
        <v>23190875</v>
      </c>
      <c r="Q104" t="s">
        <v>53</v>
      </c>
      <c r="R104" t="s">
        <v>54</v>
      </c>
      <c r="S104">
        <v>30.67</v>
      </c>
      <c r="T104">
        <v>7412.17</v>
      </c>
      <c r="U104">
        <v>227331.25</v>
      </c>
      <c r="V104" t="str">
        <f t="shared" si="33"/>
        <v>Hyderabad</v>
      </c>
      <c r="W104" t="str">
        <f>VLOOKUP(B104, Currency!A:B, 2, FALSE)</f>
        <v>INR</v>
      </c>
      <c r="X104" t="str">
        <f t="shared" si="34"/>
        <v>Accepted</v>
      </c>
      <c r="Y104">
        <f>IFERROR(VLOOKUP(N104, Payment_Terms!A:B, 2, FALSE), "Payment term not found!")</f>
        <v>0</v>
      </c>
      <c r="Z104" t="str">
        <f>IFERROR(VLOOKUP(R104, Item_Category!A:B, 2, FALSE), "Uncategorized")</f>
        <v>Coal materials</v>
      </c>
      <c r="AA104" s="5">
        <f t="shared" si="20"/>
        <v>1.3042566794577706E-16</v>
      </c>
      <c r="AB104">
        <f t="shared" si="21"/>
        <v>4</v>
      </c>
      <c r="AC104" s="10">
        <f t="shared" si="22"/>
        <v>-24</v>
      </c>
      <c r="AD104">
        <f t="shared" si="23"/>
        <v>5</v>
      </c>
      <c r="AE104" s="10">
        <f t="shared" si="24"/>
        <v>4</v>
      </c>
      <c r="AF104" s="5">
        <f t="shared" si="17"/>
        <v>1</v>
      </c>
      <c r="AG104" s="5">
        <f t="shared" si="18"/>
        <v>1</v>
      </c>
      <c r="AH104" s="5">
        <f t="shared" si="25"/>
        <v>0</v>
      </c>
      <c r="AI104">
        <f>IF(B104&lt;&gt;"", COUNTIFS($B$2:B104, B104), "")</f>
        <v>44</v>
      </c>
      <c r="AJ104">
        <f t="shared" si="26"/>
        <v>5</v>
      </c>
      <c r="AK104">
        <f t="shared" si="19"/>
        <v>5</v>
      </c>
      <c r="AL104">
        <f t="shared" si="27"/>
        <v>8</v>
      </c>
      <c r="AM104" t="str">
        <f t="shared" si="28"/>
        <v>August</v>
      </c>
      <c r="AN104">
        <f t="shared" si="29"/>
        <v>2023</v>
      </c>
      <c r="AO104" t="str">
        <f t="shared" si="30"/>
        <v>&gt;3</v>
      </c>
      <c r="AP104" t="str">
        <f t="shared" si="31"/>
        <v>&gt;3</v>
      </c>
      <c r="AQ104" t="str">
        <f t="shared" si="32"/>
        <v>&gt;3</v>
      </c>
    </row>
    <row r="105" spans="1:43" x14ac:dyDescent="0.3">
      <c r="A105" t="s">
        <v>33</v>
      </c>
      <c r="B105" t="s">
        <v>51</v>
      </c>
      <c r="C105" t="s">
        <v>52</v>
      </c>
      <c r="D105">
        <v>3768</v>
      </c>
      <c r="E105">
        <v>23120100</v>
      </c>
      <c r="F105" t="s">
        <v>53</v>
      </c>
      <c r="G105" t="s">
        <v>54</v>
      </c>
      <c r="H105">
        <v>435.83</v>
      </c>
      <c r="I105">
        <v>7412.17</v>
      </c>
      <c r="J105">
        <v>3230446.05</v>
      </c>
      <c r="K105" s="7" t="str">
        <f>IFERROR(IF(B105&lt;&gt;"", TEXT(VLOOKUP(B105, 'Expected Date'!A:B, 2, FALSE) + DATE(RIGHT(C105,2),MID(C105,4,2),LEFT(C105,2)), "dd/mm/yy"), ""), "")</f>
        <v>05/09/23</v>
      </c>
      <c r="L105" t="s">
        <v>38</v>
      </c>
      <c r="M105" t="s">
        <v>48</v>
      </c>
      <c r="N105" t="s">
        <v>55</v>
      </c>
      <c r="O105" t="s">
        <v>74</v>
      </c>
      <c r="P105">
        <v>23190876</v>
      </c>
      <c r="Q105" t="s">
        <v>53</v>
      </c>
      <c r="R105" t="s">
        <v>54</v>
      </c>
      <c r="S105">
        <v>25.21</v>
      </c>
      <c r="T105">
        <v>7412.17</v>
      </c>
      <c r="U105">
        <v>186860.81</v>
      </c>
      <c r="V105" t="str">
        <f t="shared" si="33"/>
        <v>Hyderabad</v>
      </c>
      <c r="W105" t="str">
        <f>VLOOKUP(B105, Currency!A:B, 2, FALSE)</f>
        <v>INR</v>
      </c>
      <c r="X105" t="str">
        <f t="shared" si="34"/>
        <v>Accepted</v>
      </c>
      <c r="Y105">
        <f>IFERROR(VLOOKUP(N105, Payment_Terms!A:B, 2, FALSE), "Payment term not found!")</f>
        <v>0</v>
      </c>
      <c r="Z105" t="str">
        <f>IFERROR(VLOOKUP(R105, Item_Category!A:B, 2, FALSE), "Uncategorized")</f>
        <v>Coal materials</v>
      </c>
      <c r="AA105" s="5">
        <f t="shared" si="20"/>
        <v>1.3042566794577706E-16</v>
      </c>
      <c r="AB105">
        <f t="shared" si="21"/>
        <v>4</v>
      </c>
      <c r="AC105" s="10">
        <f t="shared" si="22"/>
        <v>-25</v>
      </c>
      <c r="AD105">
        <f t="shared" si="23"/>
        <v>5</v>
      </c>
      <c r="AE105" s="10">
        <f t="shared" si="24"/>
        <v>5</v>
      </c>
      <c r="AF105" s="5">
        <f t="shared" si="17"/>
        <v>1</v>
      </c>
      <c r="AG105" s="5">
        <f t="shared" si="18"/>
        <v>1</v>
      </c>
      <c r="AH105" s="5">
        <f t="shared" si="25"/>
        <v>0</v>
      </c>
      <c r="AI105">
        <f>IF(B105&lt;&gt;"", COUNTIFS($B$2:B105, B105), "")</f>
        <v>45</v>
      </c>
      <c r="AJ105">
        <f t="shared" si="26"/>
        <v>5</v>
      </c>
      <c r="AK105">
        <f t="shared" si="19"/>
        <v>5</v>
      </c>
      <c r="AL105">
        <f t="shared" si="27"/>
        <v>8</v>
      </c>
      <c r="AM105" t="str">
        <f t="shared" si="28"/>
        <v>August</v>
      </c>
      <c r="AN105">
        <f t="shared" si="29"/>
        <v>2023</v>
      </c>
      <c r="AO105" t="str">
        <f t="shared" si="30"/>
        <v>&gt;3</v>
      </c>
      <c r="AP105" t="str">
        <f t="shared" si="31"/>
        <v>&gt;3</v>
      </c>
      <c r="AQ105" t="str">
        <f t="shared" si="32"/>
        <v>&gt;3</v>
      </c>
    </row>
    <row r="106" spans="1:43" x14ac:dyDescent="0.3">
      <c r="A106" t="s">
        <v>33</v>
      </c>
      <c r="B106" t="s">
        <v>64</v>
      </c>
      <c r="C106" t="s">
        <v>105</v>
      </c>
      <c r="D106">
        <v>4033</v>
      </c>
      <c r="E106">
        <v>23120111</v>
      </c>
      <c r="F106" t="s">
        <v>170</v>
      </c>
      <c r="G106" t="s">
        <v>171</v>
      </c>
      <c r="H106">
        <v>3000</v>
      </c>
      <c r="I106">
        <v>22.25</v>
      </c>
      <c r="J106">
        <v>66750</v>
      </c>
      <c r="K106" s="7" t="str">
        <f>IFERROR(IF(B106&lt;&gt;"", TEXT(VLOOKUP(B106, 'Expected Date'!A:B, 2, FALSE) + DATE(RIGHT(C106,2),MID(C106,4,2),LEFT(C106,2)), "dd/mm/yy"), ""), "")</f>
        <v>04/09/23</v>
      </c>
      <c r="L106" t="s">
        <v>68</v>
      </c>
      <c r="M106" t="s">
        <v>39</v>
      </c>
      <c r="N106" t="s">
        <v>69</v>
      </c>
      <c r="O106" t="s">
        <v>206</v>
      </c>
      <c r="P106">
        <v>23191059</v>
      </c>
      <c r="Q106" t="s">
        <v>170</v>
      </c>
      <c r="R106" t="s">
        <v>171</v>
      </c>
      <c r="S106">
        <v>1600</v>
      </c>
      <c r="T106">
        <v>22.25</v>
      </c>
      <c r="U106">
        <v>35600</v>
      </c>
      <c r="V106" t="str">
        <f t="shared" si="33"/>
        <v>Hyderabad</v>
      </c>
      <c r="W106" t="str">
        <f>VLOOKUP(B106, Currency!A:B, 2, FALSE)</f>
        <v>INR</v>
      </c>
      <c r="X106" t="str">
        <f t="shared" si="34"/>
        <v>Accepted</v>
      </c>
      <c r="Y106">
        <f>IFERROR(VLOOKUP(N106, Payment_Terms!A:B, 2, FALSE), "Payment term not found!")</f>
        <v>30</v>
      </c>
      <c r="Z106" t="str">
        <f>IFERROR(VLOOKUP(R106, Item_Category!A:B, 2, FALSE), "Uncategorized")</f>
        <v>Bags</v>
      </c>
      <c r="AA106" s="5">
        <f t="shared" si="20"/>
        <v>0.46666666666666667</v>
      </c>
      <c r="AB106">
        <f t="shared" si="21"/>
        <v>1</v>
      </c>
      <c r="AC106" s="10">
        <f t="shared" si="22"/>
        <v>9</v>
      </c>
      <c r="AD106">
        <f t="shared" si="23"/>
        <v>2</v>
      </c>
      <c r="AE106" s="10">
        <f t="shared" si="24"/>
        <v>19</v>
      </c>
      <c r="AF106" s="5">
        <f t="shared" si="17"/>
        <v>1</v>
      </c>
      <c r="AG106" s="5">
        <f t="shared" si="18"/>
        <v>1</v>
      </c>
      <c r="AH106" s="5">
        <f t="shared" si="25"/>
        <v>0</v>
      </c>
      <c r="AI106">
        <f>IF(B106&lt;&gt;"", COUNTIFS($B$2:B106, B106), "")</f>
        <v>8</v>
      </c>
      <c r="AJ106">
        <f t="shared" si="26"/>
        <v>5</v>
      </c>
      <c r="AK106">
        <f t="shared" si="19"/>
        <v>3</v>
      </c>
      <c r="AL106">
        <f t="shared" si="27"/>
        <v>8</v>
      </c>
      <c r="AM106" t="str">
        <f t="shared" si="28"/>
        <v>August</v>
      </c>
      <c r="AN106">
        <f t="shared" si="29"/>
        <v>2023</v>
      </c>
      <c r="AO106" t="str">
        <f t="shared" si="30"/>
        <v>&gt;3</v>
      </c>
      <c r="AP106" t="str">
        <f t="shared" si="31"/>
        <v>&lt;=3</v>
      </c>
      <c r="AQ106" t="str">
        <f t="shared" si="32"/>
        <v>&lt;=3</v>
      </c>
    </row>
    <row r="107" spans="1:43" x14ac:dyDescent="0.3">
      <c r="A107" t="s">
        <v>33</v>
      </c>
      <c r="B107" t="s">
        <v>64</v>
      </c>
      <c r="C107" t="s">
        <v>105</v>
      </c>
      <c r="D107">
        <v>4033</v>
      </c>
      <c r="E107">
        <v>23120111</v>
      </c>
      <c r="F107" t="s">
        <v>218</v>
      </c>
      <c r="G107" t="s">
        <v>219</v>
      </c>
      <c r="H107">
        <v>2000</v>
      </c>
      <c r="I107">
        <v>22.5</v>
      </c>
      <c r="J107">
        <v>45000</v>
      </c>
      <c r="K107" s="7" t="str">
        <f>IFERROR(IF(B107&lt;&gt;"", TEXT(VLOOKUP(B107, 'Expected Date'!A:B, 2, FALSE) + DATE(RIGHT(C107,2),MID(C107,4,2),LEFT(C107,2)), "dd/mm/yy"), ""), "")</f>
        <v>04/09/23</v>
      </c>
      <c r="L107" t="s">
        <v>38</v>
      </c>
      <c r="M107" t="s">
        <v>39</v>
      </c>
      <c r="N107" t="s">
        <v>69</v>
      </c>
      <c r="O107" t="s">
        <v>206</v>
      </c>
      <c r="P107">
        <v>23191059</v>
      </c>
      <c r="Q107" t="s">
        <v>218</v>
      </c>
      <c r="R107" t="s">
        <v>219</v>
      </c>
      <c r="S107">
        <v>2000</v>
      </c>
      <c r="T107">
        <v>22.5</v>
      </c>
      <c r="U107">
        <v>45000</v>
      </c>
      <c r="V107" t="str">
        <f t="shared" si="33"/>
        <v>Hyderabad</v>
      </c>
      <c r="W107" t="str">
        <f>VLOOKUP(B107, Currency!A:B, 2, FALSE)</f>
        <v>INR</v>
      </c>
      <c r="X107" t="str">
        <f t="shared" si="34"/>
        <v>Accepted</v>
      </c>
      <c r="Y107">
        <f>IFERROR(VLOOKUP(N107, Payment_Terms!A:B, 2, FALSE), "Payment term not found!")</f>
        <v>30</v>
      </c>
      <c r="Z107" t="str">
        <f>IFERROR(VLOOKUP(R107, Item_Category!A:B, 2, FALSE), "Uncategorized")</f>
        <v>Bags</v>
      </c>
      <c r="AA107" s="5">
        <f t="shared" si="20"/>
        <v>0</v>
      </c>
      <c r="AB107">
        <f t="shared" si="21"/>
        <v>5</v>
      </c>
      <c r="AC107" s="10">
        <f t="shared" si="22"/>
        <v>9</v>
      </c>
      <c r="AD107">
        <f t="shared" si="23"/>
        <v>2</v>
      </c>
      <c r="AE107" s="10">
        <f t="shared" si="24"/>
        <v>19</v>
      </c>
      <c r="AF107" s="5">
        <f t="shared" si="17"/>
        <v>1</v>
      </c>
      <c r="AG107" s="5">
        <f t="shared" si="18"/>
        <v>1</v>
      </c>
      <c r="AH107" s="5">
        <f t="shared" si="25"/>
        <v>0</v>
      </c>
      <c r="AI107">
        <f>IF(B107&lt;&gt;"", COUNTIFS($B$2:B107, B107), "")</f>
        <v>9</v>
      </c>
      <c r="AJ107">
        <f t="shared" si="26"/>
        <v>5</v>
      </c>
      <c r="AK107">
        <f t="shared" si="19"/>
        <v>5</v>
      </c>
      <c r="AL107">
        <f t="shared" si="27"/>
        <v>8</v>
      </c>
      <c r="AM107" t="str">
        <f t="shared" si="28"/>
        <v>August</v>
      </c>
      <c r="AN107">
        <f t="shared" si="29"/>
        <v>2023</v>
      </c>
      <c r="AO107" t="str">
        <f t="shared" si="30"/>
        <v>&gt;3</v>
      </c>
      <c r="AP107" t="str">
        <f t="shared" si="31"/>
        <v>&gt;3</v>
      </c>
      <c r="AQ107" t="str">
        <f t="shared" si="32"/>
        <v>&lt;=3</v>
      </c>
    </row>
    <row r="108" spans="1:43" x14ac:dyDescent="0.3">
      <c r="A108" t="s">
        <v>33</v>
      </c>
      <c r="B108" t="s">
        <v>44</v>
      </c>
      <c r="C108" t="s">
        <v>206</v>
      </c>
      <c r="D108">
        <v>4349</v>
      </c>
      <c r="E108">
        <v>23120121</v>
      </c>
      <c r="F108" t="s">
        <v>46</v>
      </c>
      <c r="G108" t="s">
        <v>47</v>
      </c>
      <c r="H108">
        <v>600</v>
      </c>
      <c r="I108">
        <v>65</v>
      </c>
      <c r="J108">
        <v>39000</v>
      </c>
      <c r="K108" s="7" t="str">
        <f>IFERROR(IF(B108&lt;&gt;"", TEXT(VLOOKUP(B108, 'Expected Date'!A:B, 2, FALSE) + DATE(RIGHT(C108,2),MID(C108,4,2),LEFT(C108,2)), "dd/mm/yy"), ""), "")</f>
        <v>18/09/23</v>
      </c>
      <c r="L108" t="s">
        <v>38</v>
      </c>
      <c r="M108" t="s">
        <v>48</v>
      </c>
      <c r="N108" t="s">
        <v>49</v>
      </c>
      <c r="O108" t="s">
        <v>220</v>
      </c>
      <c r="P108">
        <v>23191250</v>
      </c>
      <c r="Q108" t="s">
        <v>46</v>
      </c>
      <c r="R108" t="s">
        <v>47</v>
      </c>
      <c r="S108">
        <v>300</v>
      </c>
      <c r="T108">
        <v>65</v>
      </c>
      <c r="U108">
        <v>19500</v>
      </c>
      <c r="V108" t="str">
        <f t="shared" si="33"/>
        <v>Hyderabad</v>
      </c>
      <c r="W108" t="str">
        <f>VLOOKUP(B108, Currency!A:B, 2, FALSE)</f>
        <v>INR</v>
      </c>
      <c r="X108" t="str">
        <f t="shared" si="34"/>
        <v>Accepted</v>
      </c>
      <c r="Y108">
        <f>IFERROR(VLOOKUP(N108, Payment_Terms!A:B, 2, FALSE), "Payment term not found!")</f>
        <v>30</v>
      </c>
      <c r="Z108" t="str">
        <f>IFERROR(VLOOKUP(R108, Item_Category!A:B, 2, FALSE), "Uncategorized")</f>
        <v>Gas</v>
      </c>
      <c r="AA108" s="5">
        <f t="shared" si="20"/>
        <v>0</v>
      </c>
      <c r="AB108">
        <f t="shared" si="21"/>
        <v>5</v>
      </c>
      <c r="AC108" s="10">
        <f t="shared" si="22"/>
        <v>19</v>
      </c>
      <c r="AD108">
        <f t="shared" si="23"/>
        <v>1</v>
      </c>
      <c r="AE108" s="10">
        <f t="shared" si="24"/>
        <v>24</v>
      </c>
      <c r="AF108" s="5">
        <f t="shared" si="17"/>
        <v>1</v>
      </c>
      <c r="AG108" s="5">
        <f t="shared" si="18"/>
        <v>1</v>
      </c>
      <c r="AH108" s="5">
        <f t="shared" si="25"/>
        <v>0</v>
      </c>
      <c r="AI108">
        <f>IF(B108&lt;&gt;"", COUNTIFS($B$2:B108, B108), "")</f>
        <v>3</v>
      </c>
      <c r="AJ108">
        <f t="shared" si="26"/>
        <v>5</v>
      </c>
      <c r="AK108">
        <f t="shared" si="19"/>
        <v>4</v>
      </c>
      <c r="AL108">
        <f t="shared" si="27"/>
        <v>9</v>
      </c>
      <c r="AM108" t="str">
        <f t="shared" si="28"/>
        <v>September</v>
      </c>
      <c r="AN108">
        <f t="shared" si="29"/>
        <v>2023</v>
      </c>
      <c r="AO108" t="str">
        <f t="shared" si="30"/>
        <v>&gt;3</v>
      </c>
      <c r="AP108" t="str">
        <f t="shared" si="31"/>
        <v>&gt;3</v>
      </c>
      <c r="AQ108" t="str">
        <f t="shared" si="32"/>
        <v>&lt;=3</v>
      </c>
    </row>
    <row r="109" spans="1:43" x14ac:dyDescent="0.3">
      <c r="A109" t="s">
        <v>33</v>
      </c>
      <c r="B109" t="s">
        <v>147</v>
      </c>
      <c r="C109" t="s">
        <v>45</v>
      </c>
      <c r="D109">
        <v>2484</v>
      </c>
      <c r="E109">
        <v>23120048</v>
      </c>
      <c r="F109" t="s">
        <v>148</v>
      </c>
      <c r="G109" t="s">
        <v>149</v>
      </c>
      <c r="H109">
        <v>1500</v>
      </c>
      <c r="I109">
        <v>225</v>
      </c>
      <c r="J109">
        <v>337500</v>
      </c>
      <c r="K109" s="7" t="str">
        <f>IFERROR(IF(B109&lt;&gt;"", TEXT(VLOOKUP(B109, 'Expected Date'!A:B, 2, FALSE) + DATE(RIGHT(C109,2),MID(C109,4,2),LEFT(C109,2)), "dd/mm/yy"), ""), "")</f>
        <v>27/06/23</v>
      </c>
      <c r="L109" t="s">
        <v>38</v>
      </c>
      <c r="M109" t="s">
        <v>39</v>
      </c>
      <c r="N109" t="s">
        <v>49</v>
      </c>
      <c r="O109" t="s">
        <v>221</v>
      </c>
      <c r="P109">
        <v>23190926</v>
      </c>
      <c r="Q109" t="s">
        <v>148</v>
      </c>
      <c r="R109" t="s">
        <v>149</v>
      </c>
      <c r="S109">
        <v>504</v>
      </c>
      <c r="T109">
        <v>225</v>
      </c>
      <c r="U109">
        <v>113400</v>
      </c>
      <c r="V109" t="str">
        <f t="shared" si="33"/>
        <v>Hyderabad</v>
      </c>
      <c r="W109" t="str">
        <f>VLOOKUP(B109, Currency!A:B, 2, FALSE)</f>
        <v>INR</v>
      </c>
      <c r="X109" t="str">
        <f t="shared" si="34"/>
        <v>Accepted</v>
      </c>
      <c r="Y109">
        <f>IFERROR(VLOOKUP(N109, Payment_Terms!A:B, 2, FALSE), "Payment term not found!")</f>
        <v>30</v>
      </c>
      <c r="Z109" t="str">
        <f>IFERROR(VLOOKUP(R109, Item_Category!A:B, 2, FALSE), "Uncategorized")</f>
        <v>Fibre drum</v>
      </c>
      <c r="AA109" s="5">
        <f t="shared" si="20"/>
        <v>0</v>
      </c>
      <c r="AB109">
        <f t="shared" si="21"/>
        <v>5</v>
      </c>
      <c r="AC109" s="10">
        <f t="shared" si="22"/>
        <v>55</v>
      </c>
      <c r="AD109">
        <f t="shared" si="23"/>
        <v>1</v>
      </c>
      <c r="AE109" s="10">
        <f t="shared" si="24"/>
        <v>65</v>
      </c>
      <c r="AF109" s="5">
        <f t="shared" si="17"/>
        <v>1</v>
      </c>
      <c r="AG109" s="5">
        <f t="shared" si="18"/>
        <v>1</v>
      </c>
      <c r="AH109" s="5">
        <f t="shared" si="25"/>
        <v>0</v>
      </c>
      <c r="AI109">
        <f>IF(B109&lt;&gt;"", COUNTIFS($B$2:B109, B109), "")</f>
        <v>3</v>
      </c>
      <c r="AJ109">
        <f t="shared" si="26"/>
        <v>5</v>
      </c>
      <c r="AK109">
        <f t="shared" si="19"/>
        <v>4</v>
      </c>
      <c r="AL109">
        <f t="shared" si="27"/>
        <v>6</v>
      </c>
      <c r="AM109" t="str">
        <f t="shared" si="28"/>
        <v>June</v>
      </c>
      <c r="AN109">
        <f t="shared" si="29"/>
        <v>2023</v>
      </c>
      <c r="AO109" t="str">
        <f t="shared" si="30"/>
        <v>&gt;3</v>
      </c>
      <c r="AP109" t="str">
        <f t="shared" si="31"/>
        <v>&gt;3</v>
      </c>
      <c r="AQ109" t="str">
        <f t="shared" si="32"/>
        <v>&lt;=3</v>
      </c>
    </row>
    <row r="110" spans="1:43" x14ac:dyDescent="0.3">
      <c r="A110" t="str">
        <f>A80</f>
        <v>Woodpulp</v>
      </c>
      <c r="B110" t="s">
        <v>140</v>
      </c>
      <c r="C110" t="s">
        <v>222</v>
      </c>
      <c r="D110">
        <v>2019</v>
      </c>
      <c r="E110">
        <v>23120031</v>
      </c>
      <c r="F110" t="s">
        <v>142</v>
      </c>
      <c r="G110" t="s">
        <v>360</v>
      </c>
      <c r="H110">
        <v>100</v>
      </c>
      <c r="I110">
        <v>830</v>
      </c>
      <c r="J110">
        <v>6710550</v>
      </c>
      <c r="K110" s="7" t="str">
        <f>IFERROR(IF(B110&lt;&gt;"", TEXT(VLOOKUP(B110, 'Expected Date'!A:B, 2, FALSE) + DATE(RIGHT(C110,2),MID(C110,4,2),LEFT(C110,2)), "dd/mm/yy"), ""), "")</f>
        <v>03/07/23</v>
      </c>
      <c r="L110" t="s">
        <v>68</v>
      </c>
      <c r="M110" t="str">
        <f>M47</f>
        <v>MT</v>
      </c>
      <c r="N110" t="s">
        <v>144</v>
      </c>
      <c r="O110" t="s">
        <v>223</v>
      </c>
      <c r="P110">
        <v>23190342</v>
      </c>
      <c r="Q110" t="s">
        <v>142</v>
      </c>
      <c r="R110" t="s">
        <v>360</v>
      </c>
      <c r="S110">
        <v>98.599000000000004</v>
      </c>
      <c r="T110">
        <v>830</v>
      </c>
      <c r="U110">
        <v>6616535.1900000004</v>
      </c>
      <c r="V110" t="str">
        <f t="shared" si="33"/>
        <v>Hyderabad</v>
      </c>
      <c r="W110" t="str">
        <f>VLOOKUP(B110, Currency!A:B, 2, FALSE)</f>
        <v>USD</v>
      </c>
      <c r="X110" t="str">
        <f t="shared" si="34"/>
        <v>Accepted</v>
      </c>
      <c r="Y110">
        <f>IFERROR(VLOOKUP(N110, Payment_Terms!A:B, 2, FALSE), "Payment term not found!")</f>
        <v>30</v>
      </c>
      <c r="Z110" t="str">
        <f>IFERROR(VLOOKUP(R110, Item_Category!A:B, 2, FALSE), "Uncategorized")</f>
        <v>Wood pulp</v>
      </c>
      <c r="AA110" s="5">
        <f t="shared" si="20"/>
        <v>1.4009999999999962E-2</v>
      </c>
      <c r="AB110">
        <f t="shared" si="21"/>
        <v>4</v>
      </c>
      <c r="AC110" s="10">
        <f t="shared" si="22"/>
        <v>-47</v>
      </c>
      <c r="AD110">
        <f t="shared" si="23"/>
        <v>5</v>
      </c>
      <c r="AE110" s="10">
        <f t="shared" si="24"/>
        <v>2</v>
      </c>
      <c r="AF110" s="5">
        <f t="shared" si="17"/>
        <v>1</v>
      </c>
      <c r="AG110" s="5">
        <f t="shared" si="18"/>
        <v>1</v>
      </c>
      <c r="AH110" s="5">
        <f t="shared" si="25"/>
        <v>0</v>
      </c>
      <c r="AI110">
        <f>IF(B110&lt;&gt;"", COUNTIFS($B$2:B110, B110), "")</f>
        <v>8</v>
      </c>
      <c r="AJ110">
        <f t="shared" si="26"/>
        <v>5</v>
      </c>
      <c r="AK110">
        <f t="shared" si="19"/>
        <v>5</v>
      </c>
      <c r="AL110">
        <f t="shared" si="27"/>
        <v>5</v>
      </c>
      <c r="AM110" t="str">
        <f t="shared" si="28"/>
        <v>May</v>
      </c>
      <c r="AN110">
        <f t="shared" si="29"/>
        <v>2023</v>
      </c>
      <c r="AO110" t="str">
        <f t="shared" si="30"/>
        <v>&gt;3</v>
      </c>
      <c r="AP110" t="str">
        <f t="shared" si="31"/>
        <v>&gt;3</v>
      </c>
      <c r="AQ110" t="str">
        <f t="shared" si="32"/>
        <v>&gt;3</v>
      </c>
    </row>
    <row r="111" spans="1:43" x14ac:dyDescent="0.3">
      <c r="A111" t="s">
        <v>33</v>
      </c>
      <c r="B111" t="s">
        <v>51</v>
      </c>
      <c r="C111" t="s">
        <v>169</v>
      </c>
      <c r="D111">
        <v>2154</v>
      </c>
      <c r="E111">
        <v>23120035</v>
      </c>
      <c r="F111" t="s">
        <v>135</v>
      </c>
      <c r="G111" t="s">
        <v>136</v>
      </c>
      <c r="H111">
        <v>164</v>
      </c>
      <c r="I111">
        <v>6732.43</v>
      </c>
      <c r="J111">
        <v>1104118.52</v>
      </c>
      <c r="K111" s="7" t="str">
        <f>IFERROR(IF(B111&lt;&gt;"", TEXT(VLOOKUP(B111, 'Expected Date'!A:B, 2, FALSE) + DATE(RIGHT(C111,2),MID(C111,4,2),LEFT(C111,2)), "dd/mm/yy"), ""), "")</f>
        <v>14/06/23</v>
      </c>
      <c r="L111" t="s">
        <v>38</v>
      </c>
      <c r="M111" t="s">
        <v>48</v>
      </c>
      <c r="N111" t="s">
        <v>55</v>
      </c>
      <c r="O111" t="s">
        <v>224</v>
      </c>
      <c r="P111">
        <v>23190343</v>
      </c>
      <c r="Q111" t="s">
        <v>135</v>
      </c>
      <c r="R111" t="s">
        <v>136</v>
      </c>
      <c r="S111">
        <v>21</v>
      </c>
      <c r="T111">
        <v>6732.43</v>
      </c>
      <c r="U111">
        <v>141381.03</v>
      </c>
      <c r="V111" t="str">
        <f t="shared" si="33"/>
        <v>Hyderabad</v>
      </c>
      <c r="W111" t="str">
        <f>VLOOKUP(B111, Currency!A:B, 2, FALSE)</f>
        <v>INR</v>
      </c>
      <c r="X111" t="str">
        <f t="shared" si="34"/>
        <v>Accepted</v>
      </c>
      <c r="Y111">
        <f>IFERROR(VLOOKUP(N111, Payment_Terms!A:B, 2, FALSE), "Payment term not found!")</f>
        <v>0</v>
      </c>
      <c r="Z111" t="str">
        <f>IFERROR(VLOOKUP(R111, Item_Category!A:B, 2, FALSE), "Uncategorized")</f>
        <v>Coal materials</v>
      </c>
      <c r="AA111" s="5">
        <f t="shared" si="20"/>
        <v>0</v>
      </c>
      <c r="AB111">
        <f t="shared" si="21"/>
        <v>5</v>
      </c>
      <c r="AC111" s="10">
        <f t="shared" si="22"/>
        <v>-27</v>
      </c>
      <c r="AD111">
        <f t="shared" si="23"/>
        <v>5</v>
      </c>
      <c r="AE111" s="10">
        <f t="shared" si="24"/>
        <v>7</v>
      </c>
      <c r="AF111" s="5">
        <f t="shared" si="17"/>
        <v>1</v>
      </c>
      <c r="AG111" s="5">
        <f t="shared" si="18"/>
        <v>1</v>
      </c>
      <c r="AH111" s="5">
        <f t="shared" si="25"/>
        <v>0</v>
      </c>
      <c r="AI111">
        <f>IF(B111&lt;&gt;"", COUNTIFS($B$2:B111, B111), "")</f>
        <v>46</v>
      </c>
      <c r="AJ111">
        <f t="shared" si="26"/>
        <v>5</v>
      </c>
      <c r="AK111">
        <f t="shared" si="19"/>
        <v>5</v>
      </c>
      <c r="AL111">
        <f t="shared" si="27"/>
        <v>5</v>
      </c>
      <c r="AM111" t="str">
        <f t="shared" si="28"/>
        <v>May</v>
      </c>
      <c r="AN111">
        <f t="shared" si="29"/>
        <v>2023</v>
      </c>
      <c r="AO111" t="str">
        <f t="shared" si="30"/>
        <v>&gt;3</v>
      </c>
      <c r="AP111" t="str">
        <f t="shared" si="31"/>
        <v>&gt;3</v>
      </c>
      <c r="AQ111" t="str">
        <f t="shared" si="32"/>
        <v>&gt;3</v>
      </c>
    </row>
    <row r="112" spans="1:43" x14ac:dyDescent="0.3">
      <c r="A112" t="s">
        <v>33</v>
      </c>
      <c r="B112" t="s">
        <v>51</v>
      </c>
      <c r="C112" t="s">
        <v>169</v>
      </c>
      <c r="D112">
        <v>2154</v>
      </c>
      <c r="E112">
        <v>23120035</v>
      </c>
      <c r="F112" t="s">
        <v>135</v>
      </c>
      <c r="G112" t="s">
        <v>136</v>
      </c>
      <c r="H112">
        <v>164</v>
      </c>
      <c r="I112">
        <v>6732.43</v>
      </c>
      <c r="J112">
        <v>1104118.52</v>
      </c>
      <c r="K112" s="7" t="str">
        <f>IFERROR(IF(B112&lt;&gt;"", TEXT(VLOOKUP(B112, 'Expected Date'!A:B, 2, FALSE) + DATE(RIGHT(C112,2),MID(C112,4,2),LEFT(C112,2)), "dd/mm/yy"), ""), "")</f>
        <v>14/06/23</v>
      </c>
      <c r="L112" t="s">
        <v>38</v>
      </c>
      <c r="M112" t="s">
        <v>48</v>
      </c>
      <c r="N112" t="s">
        <v>55</v>
      </c>
      <c r="O112" t="s">
        <v>224</v>
      </c>
      <c r="P112">
        <v>23190344</v>
      </c>
      <c r="Q112" t="s">
        <v>135</v>
      </c>
      <c r="R112" t="s">
        <v>136</v>
      </c>
      <c r="S112">
        <v>21</v>
      </c>
      <c r="T112">
        <v>6732.43</v>
      </c>
      <c r="U112">
        <v>141381.03</v>
      </c>
      <c r="V112" t="str">
        <f t="shared" si="33"/>
        <v>Hyderabad</v>
      </c>
      <c r="W112" t="str">
        <f>VLOOKUP(B112, Currency!A:B, 2, FALSE)</f>
        <v>INR</v>
      </c>
      <c r="X112" t="str">
        <f t="shared" si="34"/>
        <v>Accepted</v>
      </c>
      <c r="Y112">
        <f>IFERROR(VLOOKUP(N112, Payment_Terms!A:B, 2, FALSE), "Payment term not found!")</f>
        <v>0</v>
      </c>
      <c r="Z112" t="str">
        <f>IFERROR(VLOOKUP(R112, Item_Category!A:B, 2, FALSE), "Uncategorized")</f>
        <v>Coal materials</v>
      </c>
      <c r="AA112" s="5">
        <f t="shared" si="20"/>
        <v>0</v>
      </c>
      <c r="AB112">
        <f t="shared" si="21"/>
        <v>5</v>
      </c>
      <c r="AC112" s="10">
        <f t="shared" si="22"/>
        <v>-27</v>
      </c>
      <c r="AD112">
        <f t="shared" si="23"/>
        <v>5</v>
      </c>
      <c r="AE112" s="10">
        <f t="shared" si="24"/>
        <v>7</v>
      </c>
      <c r="AF112" s="5">
        <f t="shared" si="17"/>
        <v>1</v>
      </c>
      <c r="AG112" s="5">
        <f t="shared" si="18"/>
        <v>1</v>
      </c>
      <c r="AH112" s="5">
        <f t="shared" si="25"/>
        <v>0</v>
      </c>
      <c r="AI112">
        <f>IF(B112&lt;&gt;"", COUNTIFS($B$2:B112, B112), "")</f>
        <v>47</v>
      </c>
      <c r="AJ112">
        <f t="shared" si="26"/>
        <v>5</v>
      </c>
      <c r="AK112">
        <f t="shared" si="19"/>
        <v>5</v>
      </c>
      <c r="AL112">
        <f t="shared" si="27"/>
        <v>5</v>
      </c>
      <c r="AM112" t="str">
        <f t="shared" si="28"/>
        <v>May</v>
      </c>
      <c r="AN112">
        <f t="shared" si="29"/>
        <v>2023</v>
      </c>
      <c r="AO112" t="str">
        <f t="shared" si="30"/>
        <v>&gt;3</v>
      </c>
      <c r="AP112" t="str">
        <f t="shared" si="31"/>
        <v>&gt;3</v>
      </c>
      <c r="AQ112" t="str">
        <f t="shared" si="32"/>
        <v>&gt;3</v>
      </c>
    </row>
    <row r="113" spans="1:43" x14ac:dyDescent="0.3">
      <c r="A113" t="s">
        <v>33</v>
      </c>
      <c r="B113" t="s">
        <v>51</v>
      </c>
      <c r="C113" t="s">
        <v>169</v>
      </c>
      <c r="D113">
        <v>2154</v>
      </c>
      <c r="E113">
        <v>23120035</v>
      </c>
      <c r="F113" t="s">
        <v>135</v>
      </c>
      <c r="G113" t="s">
        <v>136</v>
      </c>
      <c r="H113">
        <v>164</v>
      </c>
      <c r="I113">
        <v>6732.43</v>
      </c>
      <c r="J113">
        <v>1104118.52</v>
      </c>
      <c r="K113" s="7" t="str">
        <f>IFERROR(IF(B113&lt;&gt;"", TEXT(VLOOKUP(B113, 'Expected Date'!A:B, 2, FALSE) + DATE(RIGHT(C113,2),MID(C113,4,2),LEFT(C113,2)), "dd/mm/yy"), ""), "")</f>
        <v>14/06/23</v>
      </c>
      <c r="L113" t="s">
        <v>38</v>
      </c>
      <c r="M113" t="s">
        <v>48</v>
      </c>
      <c r="N113" t="s">
        <v>55</v>
      </c>
      <c r="O113" t="s">
        <v>224</v>
      </c>
      <c r="P113">
        <v>23190345</v>
      </c>
      <c r="Q113" t="s">
        <v>135</v>
      </c>
      <c r="R113" t="s">
        <v>136</v>
      </c>
      <c r="S113">
        <v>21</v>
      </c>
      <c r="T113">
        <v>6732.43</v>
      </c>
      <c r="U113">
        <v>141381.03</v>
      </c>
      <c r="V113" t="str">
        <f t="shared" si="33"/>
        <v>Hyderabad</v>
      </c>
      <c r="W113" t="str">
        <f>VLOOKUP(B113, Currency!A:B, 2, FALSE)</f>
        <v>INR</v>
      </c>
      <c r="X113" t="str">
        <f t="shared" si="34"/>
        <v>Accepted</v>
      </c>
      <c r="Y113">
        <f>IFERROR(VLOOKUP(N113, Payment_Terms!A:B, 2, FALSE), "Payment term not found!")</f>
        <v>0</v>
      </c>
      <c r="Z113" t="str">
        <f>IFERROR(VLOOKUP(R113, Item_Category!A:B, 2, FALSE), "Uncategorized")</f>
        <v>Coal materials</v>
      </c>
      <c r="AA113" s="5">
        <f t="shared" si="20"/>
        <v>0</v>
      </c>
      <c r="AB113">
        <f t="shared" si="21"/>
        <v>5</v>
      </c>
      <c r="AC113" s="10">
        <f t="shared" si="22"/>
        <v>-27</v>
      </c>
      <c r="AD113">
        <f t="shared" si="23"/>
        <v>5</v>
      </c>
      <c r="AE113" s="10">
        <f t="shared" si="24"/>
        <v>7</v>
      </c>
      <c r="AF113" s="5">
        <f t="shared" si="17"/>
        <v>1</v>
      </c>
      <c r="AG113" s="5">
        <f t="shared" si="18"/>
        <v>1</v>
      </c>
      <c r="AH113" s="5">
        <f t="shared" si="25"/>
        <v>0</v>
      </c>
      <c r="AI113">
        <f>IF(B113&lt;&gt;"", COUNTIFS($B$2:B113, B113), "")</f>
        <v>48</v>
      </c>
      <c r="AJ113">
        <f t="shared" si="26"/>
        <v>5</v>
      </c>
      <c r="AK113">
        <f t="shared" si="19"/>
        <v>5</v>
      </c>
      <c r="AL113">
        <f t="shared" si="27"/>
        <v>5</v>
      </c>
      <c r="AM113" t="str">
        <f t="shared" si="28"/>
        <v>May</v>
      </c>
      <c r="AN113">
        <f t="shared" si="29"/>
        <v>2023</v>
      </c>
      <c r="AO113" t="str">
        <f t="shared" si="30"/>
        <v>&gt;3</v>
      </c>
      <c r="AP113" t="str">
        <f t="shared" si="31"/>
        <v>&gt;3</v>
      </c>
      <c r="AQ113" t="str">
        <f t="shared" si="32"/>
        <v>&gt;3</v>
      </c>
    </row>
    <row r="114" spans="1:43" x14ac:dyDescent="0.3">
      <c r="A114" t="s">
        <v>33</v>
      </c>
      <c r="B114" t="s">
        <v>51</v>
      </c>
      <c r="C114" t="s">
        <v>169</v>
      </c>
      <c r="D114">
        <v>2154</v>
      </c>
      <c r="E114">
        <v>23120035</v>
      </c>
      <c r="F114" t="s">
        <v>135</v>
      </c>
      <c r="G114" t="s">
        <v>136</v>
      </c>
      <c r="H114">
        <v>164</v>
      </c>
      <c r="I114">
        <v>6732.43</v>
      </c>
      <c r="J114">
        <v>1104118.52</v>
      </c>
      <c r="K114" s="7" t="str">
        <f>IFERROR(IF(B114&lt;&gt;"", TEXT(VLOOKUP(B114, 'Expected Date'!A:B, 2, FALSE) + DATE(RIGHT(C114,2),MID(C114,4,2),LEFT(C114,2)), "dd/mm/yy"), ""), "")</f>
        <v>14/06/23</v>
      </c>
      <c r="L114" t="s">
        <v>38</v>
      </c>
      <c r="M114" t="s">
        <v>48</v>
      </c>
      <c r="N114" t="s">
        <v>55</v>
      </c>
      <c r="O114" t="s">
        <v>222</v>
      </c>
      <c r="P114">
        <v>23190346</v>
      </c>
      <c r="Q114" t="s">
        <v>135</v>
      </c>
      <c r="R114" t="s">
        <v>136</v>
      </c>
      <c r="S114">
        <v>20</v>
      </c>
      <c r="T114">
        <v>6732.43</v>
      </c>
      <c r="U114">
        <v>134648.6</v>
      </c>
      <c r="V114" t="str">
        <f t="shared" si="33"/>
        <v>Hyderabad</v>
      </c>
      <c r="W114" t="str">
        <f>VLOOKUP(B114, Currency!A:B, 2, FALSE)</f>
        <v>INR</v>
      </c>
      <c r="X114" t="str">
        <f t="shared" si="34"/>
        <v>Accepted</v>
      </c>
      <c r="Y114">
        <f>IFERROR(VLOOKUP(N114, Payment_Terms!A:B, 2, FALSE), "Payment term not found!")</f>
        <v>0</v>
      </c>
      <c r="Z114" t="str">
        <f>IFERROR(VLOOKUP(R114, Item_Category!A:B, 2, FALSE), "Uncategorized")</f>
        <v>Coal materials</v>
      </c>
      <c r="AA114" s="5">
        <f t="shared" si="20"/>
        <v>0</v>
      </c>
      <c r="AB114">
        <f t="shared" si="21"/>
        <v>5</v>
      </c>
      <c r="AC114" s="10">
        <f t="shared" si="22"/>
        <v>-26</v>
      </c>
      <c r="AD114">
        <f t="shared" si="23"/>
        <v>5</v>
      </c>
      <c r="AE114" s="10">
        <f t="shared" si="24"/>
        <v>6</v>
      </c>
      <c r="AF114" s="5">
        <f t="shared" si="17"/>
        <v>1</v>
      </c>
      <c r="AG114" s="5">
        <f t="shared" si="18"/>
        <v>1</v>
      </c>
      <c r="AH114" s="5">
        <f t="shared" si="25"/>
        <v>0</v>
      </c>
      <c r="AI114">
        <f>IF(B114&lt;&gt;"", COUNTIFS($B$2:B114, B114), "")</f>
        <v>49</v>
      </c>
      <c r="AJ114">
        <f t="shared" si="26"/>
        <v>5</v>
      </c>
      <c r="AK114">
        <f t="shared" si="19"/>
        <v>5</v>
      </c>
      <c r="AL114">
        <f t="shared" si="27"/>
        <v>5</v>
      </c>
      <c r="AM114" t="str">
        <f t="shared" si="28"/>
        <v>May</v>
      </c>
      <c r="AN114">
        <f t="shared" si="29"/>
        <v>2023</v>
      </c>
      <c r="AO114" t="str">
        <f t="shared" si="30"/>
        <v>&gt;3</v>
      </c>
      <c r="AP114" t="str">
        <f t="shared" si="31"/>
        <v>&gt;3</v>
      </c>
      <c r="AQ114" t="str">
        <f t="shared" si="32"/>
        <v>&gt;3</v>
      </c>
    </row>
    <row r="115" spans="1:43" x14ac:dyDescent="0.3">
      <c r="A115" t="s">
        <v>33</v>
      </c>
      <c r="B115" t="s">
        <v>51</v>
      </c>
      <c r="C115" t="s">
        <v>169</v>
      </c>
      <c r="D115">
        <v>2154</v>
      </c>
      <c r="E115">
        <v>23120035</v>
      </c>
      <c r="F115" t="s">
        <v>135</v>
      </c>
      <c r="G115" t="s">
        <v>136</v>
      </c>
      <c r="H115">
        <v>164</v>
      </c>
      <c r="I115">
        <v>6732.43</v>
      </c>
      <c r="J115">
        <v>1104118.52</v>
      </c>
      <c r="K115" s="7" t="str">
        <f>IFERROR(IF(B115&lt;&gt;"", TEXT(VLOOKUP(B115, 'Expected Date'!A:B, 2, FALSE) + DATE(RIGHT(C115,2),MID(C115,4,2),LEFT(C115,2)), "dd/mm/yy"), ""), "")</f>
        <v>14/06/23</v>
      </c>
      <c r="L115" t="s">
        <v>38</v>
      </c>
      <c r="M115" t="s">
        <v>48</v>
      </c>
      <c r="N115" t="s">
        <v>55</v>
      </c>
      <c r="O115" t="s">
        <v>222</v>
      </c>
      <c r="P115">
        <v>23190347</v>
      </c>
      <c r="Q115" t="s">
        <v>135</v>
      </c>
      <c r="R115" t="s">
        <v>136</v>
      </c>
      <c r="S115">
        <v>21</v>
      </c>
      <c r="T115">
        <v>6732.43</v>
      </c>
      <c r="U115">
        <v>141381.03</v>
      </c>
      <c r="V115" t="str">
        <f t="shared" si="33"/>
        <v>Hyderabad</v>
      </c>
      <c r="W115" t="str">
        <f>VLOOKUP(B115, Currency!A:B, 2, FALSE)</f>
        <v>INR</v>
      </c>
      <c r="X115" t="str">
        <f t="shared" si="34"/>
        <v>Accepted</v>
      </c>
      <c r="Y115">
        <f>IFERROR(VLOOKUP(N115, Payment_Terms!A:B, 2, FALSE), "Payment term not found!")</f>
        <v>0</v>
      </c>
      <c r="Z115" t="str">
        <f>IFERROR(VLOOKUP(R115, Item_Category!A:B, 2, FALSE), "Uncategorized")</f>
        <v>Coal materials</v>
      </c>
      <c r="AA115" s="5">
        <f t="shared" si="20"/>
        <v>0</v>
      </c>
      <c r="AB115">
        <f t="shared" si="21"/>
        <v>5</v>
      </c>
      <c r="AC115" s="10">
        <f t="shared" si="22"/>
        <v>-26</v>
      </c>
      <c r="AD115">
        <f t="shared" si="23"/>
        <v>5</v>
      </c>
      <c r="AE115" s="10">
        <f t="shared" si="24"/>
        <v>6</v>
      </c>
      <c r="AF115" s="5">
        <f t="shared" si="17"/>
        <v>1</v>
      </c>
      <c r="AG115" s="5">
        <f t="shared" si="18"/>
        <v>1</v>
      </c>
      <c r="AH115" s="5">
        <f t="shared" si="25"/>
        <v>0</v>
      </c>
      <c r="AI115">
        <f>IF(B115&lt;&gt;"", COUNTIFS($B$2:B115, B115), "")</f>
        <v>50</v>
      </c>
      <c r="AJ115">
        <f t="shared" si="26"/>
        <v>5</v>
      </c>
      <c r="AK115">
        <f t="shared" si="19"/>
        <v>5</v>
      </c>
      <c r="AL115">
        <f t="shared" si="27"/>
        <v>5</v>
      </c>
      <c r="AM115" t="str">
        <f t="shared" si="28"/>
        <v>May</v>
      </c>
      <c r="AN115">
        <f t="shared" si="29"/>
        <v>2023</v>
      </c>
      <c r="AO115" t="str">
        <f t="shared" si="30"/>
        <v>&gt;3</v>
      </c>
      <c r="AP115" t="str">
        <f t="shared" si="31"/>
        <v>&gt;3</v>
      </c>
      <c r="AQ115" t="str">
        <f t="shared" si="32"/>
        <v>&gt;3</v>
      </c>
    </row>
    <row r="116" spans="1:43" x14ac:dyDescent="0.3">
      <c r="A116" t="s">
        <v>33</v>
      </c>
      <c r="B116" t="s">
        <v>79</v>
      </c>
      <c r="C116" t="s">
        <v>225</v>
      </c>
      <c r="D116">
        <v>1841</v>
      </c>
      <c r="E116">
        <v>23120026</v>
      </c>
      <c r="F116" t="s">
        <v>81</v>
      </c>
      <c r="G116" t="s">
        <v>82</v>
      </c>
      <c r="H116">
        <v>21000</v>
      </c>
      <c r="I116">
        <v>0.4</v>
      </c>
      <c r="J116">
        <v>8400</v>
      </c>
      <c r="K116" s="7" t="str">
        <f>IFERROR(IF(B116&lt;&gt;"", TEXT(VLOOKUP(B116, 'Expected Date'!A:B, 2, FALSE) + DATE(RIGHT(C116,2),MID(C116,4,2),LEFT(C116,2)), "dd/mm/yy"), ""), "")</f>
        <v>31/05/23</v>
      </c>
      <c r="L116" t="s">
        <v>68</v>
      </c>
      <c r="M116" t="s">
        <v>48</v>
      </c>
      <c r="N116" t="s">
        <v>83</v>
      </c>
      <c r="O116" t="s">
        <v>211</v>
      </c>
      <c r="P116">
        <v>23190374</v>
      </c>
      <c r="Q116" t="s">
        <v>81</v>
      </c>
      <c r="R116" t="s">
        <v>82</v>
      </c>
      <c r="S116">
        <v>20200</v>
      </c>
      <c r="T116">
        <v>0.4</v>
      </c>
      <c r="U116">
        <v>8080</v>
      </c>
      <c r="V116" t="str">
        <f t="shared" si="33"/>
        <v>Hyderabad</v>
      </c>
      <c r="W116" t="str">
        <f>VLOOKUP(B116, Currency!A:B, 2, FALSE)</f>
        <v>INR</v>
      </c>
      <c r="X116" t="str">
        <f t="shared" si="34"/>
        <v>Accepted</v>
      </c>
      <c r="Y116">
        <f>IFERROR(VLOOKUP(N116, Payment_Terms!A:B, 2, FALSE), "Payment term not found!")</f>
        <v>0</v>
      </c>
      <c r="Z116" t="str">
        <f>IFERROR(VLOOKUP(R116, Item_Category!A:B, 2, FALSE), "Uncategorized")</f>
        <v>HCL</v>
      </c>
      <c r="AA116" s="5">
        <f t="shared" si="20"/>
        <v>3.8095238095238099E-2</v>
      </c>
      <c r="AB116">
        <f t="shared" si="21"/>
        <v>3</v>
      </c>
      <c r="AC116" s="10">
        <f t="shared" si="22"/>
        <v>-17</v>
      </c>
      <c r="AD116">
        <f t="shared" si="23"/>
        <v>5</v>
      </c>
      <c r="AE116" s="10">
        <f t="shared" si="24"/>
        <v>3</v>
      </c>
      <c r="AF116" s="5">
        <f t="shared" si="17"/>
        <v>1</v>
      </c>
      <c r="AG116" s="5">
        <f t="shared" si="18"/>
        <v>1</v>
      </c>
      <c r="AH116" s="5">
        <f t="shared" si="25"/>
        <v>0</v>
      </c>
      <c r="AI116">
        <f>IF(B116&lt;&gt;"", COUNTIFS($B$2:B116, B116), "")</f>
        <v>5</v>
      </c>
      <c r="AJ116">
        <f t="shared" si="26"/>
        <v>5</v>
      </c>
      <c r="AK116">
        <f t="shared" si="19"/>
        <v>5</v>
      </c>
      <c r="AL116">
        <f t="shared" si="27"/>
        <v>5</v>
      </c>
      <c r="AM116" t="str">
        <f t="shared" si="28"/>
        <v>May</v>
      </c>
      <c r="AN116">
        <f t="shared" si="29"/>
        <v>2023</v>
      </c>
      <c r="AO116" t="str">
        <f t="shared" si="30"/>
        <v>&gt;3</v>
      </c>
      <c r="AP116" t="str">
        <f t="shared" si="31"/>
        <v>&lt;=3</v>
      </c>
      <c r="AQ116" t="str">
        <f t="shared" si="32"/>
        <v>&gt;3</v>
      </c>
    </row>
    <row r="117" spans="1:43" x14ac:dyDescent="0.3">
      <c r="A117" t="s">
        <v>33</v>
      </c>
      <c r="B117" t="s">
        <v>34</v>
      </c>
      <c r="C117" t="s">
        <v>35</v>
      </c>
      <c r="D117">
        <v>1661</v>
      </c>
      <c r="E117">
        <v>23120014</v>
      </c>
      <c r="F117" t="s">
        <v>92</v>
      </c>
      <c r="G117" t="s">
        <v>93</v>
      </c>
      <c r="H117">
        <v>5054</v>
      </c>
      <c r="I117">
        <v>35.75</v>
      </c>
      <c r="J117">
        <v>180680.5</v>
      </c>
      <c r="K117" s="7" t="str">
        <f>IFERROR(IF(B117&lt;&gt;"", TEXT(VLOOKUP(B117, 'Expected Date'!A:B, 2, FALSE) + DATE(RIGHT(C117,2),MID(C117,4,2),LEFT(C117,2)), "dd/mm/yy"), ""), "")</f>
        <v>07/05/23</v>
      </c>
      <c r="L117" t="s">
        <v>38</v>
      </c>
      <c r="M117" t="s">
        <v>39</v>
      </c>
      <c r="N117" t="s">
        <v>40</v>
      </c>
      <c r="O117" t="s">
        <v>41</v>
      </c>
      <c r="P117">
        <v>23190138</v>
      </c>
      <c r="Q117" t="s">
        <v>92</v>
      </c>
      <c r="R117" t="s">
        <v>93</v>
      </c>
      <c r="S117">
        <v>5054</v>
      </c>
      <c r="T117">
        <v>35.75</v>
      </c>
      <c r="U117">
        <v>180680.5</v>
      </c>
      <c r="V117" t="str">
        <f t="shared" si="33"/>
        <v>Hyderabad</v>
      </c>
      <c r="W117" t="str">
        <f>VLOOKUP(B117, Currency!A:B, 2, FALSE)</f>
        <v>INR</v>
      </c>
      <c r="X117" t="str">
        <f t="shared" si="34"/>
        <v>Accepted</v>
      </c>
      <c r="Y117">
        <f>IFERROR(VLOOKUP(N117, Payment_Terms!A:B, 2, FALSE), "Payment term not found!")</f>
        <v>30</v>
      </c>
      <c r="Z117" t="str">
        <f>IFERROR(VLOOKUP(R117, Item_Category!A:B, 2, FALSE), "Uncategorized")</f>
        <v>Bags</v>
      </c>
      <c r="AA117" s="5">
        <f t="shared" si="20"/>
        <v>0</v>
      </c>
      <c r="AB117">
        <f t="shared" si="21"/>
        <v>5</v>
      </c>
      <c r="AC117" s="10">
        <f t="shared" si="22"/>
        <v>-8</v>
      </c>
      <c r="AD117">
        <f t="shared" si="23"/>
        <v>5</v>
      </c>
      <c r="AE117" s="10">
        <f t="shared" si="24"/>
        <v>2</v>
      </c>
      <c r="AF117" s="5">
        <f t="shared" si="17"/>
        <v>1</v>
      </c>
      <c r="AG117" s="5">
        <f t="shared" si="18"/>
        <v>1</v>
      </c>
      <c r="AH117" s="5">
        <f t="shared" si="25"/>
        <v>0</v>
      </c>
      <c r="AI117">
        <f>IF(B117&lt;&gt;"", COUNTIFS($B$2:B117, B117), "")</f>
        <v>10</v>
      </c>
      <c r="AJ117">
        <f t="shared" si="26"/>
        <v>5</v>
      </c>
      <c r="AK117">
        <f t="shared" si="19"/>
        <v>5</v>
      </c>
      <c r="AL117">
        <f t="shared" si="27"/>
        <v>4</v>
      </c>
      <c r="AM117" t="str">
        <f t="shared" si="28"/>
        <v>April</v>
      </c>
      <c r="AN117">
        <f t="shared" si="29"/>
        <v>2023</v>
      </c>
      <c r="AO117" t="str">
        <f t="shared" si="30"/>
        <v>&gt;3</v>
      </c>
      <c r="AP117" t="str">
        <f t="shared" si="31"/>
        <v>&gt;3</v>
      </c>
      <c r="AQ117" t="str">
        <f t="shared" si="32"/>
        <v>&gt;3</v>
      </c>
    </row>
    <row r="118" spans="1:43" x14ac:dyDescent="0.3">
      <c r="A118" t="s">
        <v>33</v>
      </c>
      <c r="B118" t="s">
        <v>185</v>
      </c>
      <c r="C118" t="s">
        <v>226</v>
      </c>
      <c r="D118">
        <v>4293</v>
      </c>
      <c r="E118">
        <v>23120118</v>
      </c>
      <c r="F118" t="s">
        <v>186</v>
      </c>
      <c r="G118" t="s">
        <v>187</v>
      </c>
      <c r="H118">
        <v>2000</v>
      </c>
      <c r="I118">
        <v>124</v>
      </c>
      <c r="J118">
        <v>248000</v>
      </c>
      <c r="K118" s="7" t="str">
        <f>IFERROR(IF(B118&lt;&gt;"", TEXT(VLOOKUP(B118, 'Expected Date'!A:B, 2, FALSE) + DATE(RIGHT(C118,2),MID(C118,4,2),LEFT(C118,2)), "dd/mm/yy"), ""), "")</f>
        <v>21/09/23</v>
      </c>
      <c r="L118" t="s">
        <v>68</v>
      </c>
      <c r="M118" t="s">
        <v>48</v>
      </c>
      <c r="N118" t="s">
        <v>188</v>
      </c>
      <c r="O118" t="s">
        <v>206</v>
      </c>
      <c r="P118">
        <v>23191060</v>
      </c>
      <c r="Q118" t="s">
        <v>186</v>
      </c>
      <c r="R118" t="s">
        <v>187</v>
      </c>
      <c r="S118">
        <v>1539</v>
      </c>
      <c r="T118">
        <v>124</v>
      </c>
      <c r="U118">
        <v>190836</v>
      </c>
      <c r="V118" t="str">
        <f t="shared" si="33"/>
        <v>Hyderabad</v>
      </c>
      <c r="W118" t="str">
        <f>VLOOKUP(B118, Currency!A:B, 2, FALSE)</f>
        <v>INR</v>
      </c>
      <c r="X118" t="str">
        <f t="shared" si="34"/>
        <v>Accepted</v>
      </c>
      <c r="Y118">
        <f>IFERROR(VLOOKUP(N118, Payment_Terms!A:B, 2, FALSE), "Payment term not found!")</f>
        <v>30</v>
      </c>
      <c r="Z118" t="str">
        <f>IFERROR(VLOOKUP(R118, Item_Category!A:B, 2, FALSE), "Uncategorized")</f>
        <v>Liner</v>
      </c>
      <c r="AA118" s="5">
        <f t="shared" si="20"/>
        <v>5.4999999999999997E-3</v>
      </c>
      <c r="AB118">
        <f t="shared" si="21"/>
        <v>4</v>
      </c>
      <c r="AC118" s="10">
        <f t="shared" si="22"/>
        <v>-8</v>
      </c>
      <c r="AD118">
        <f t="shared" si="23"/>
        <v>5</v>
      </c>
      <c r="AE118" s="10">
        <f t="shared" si="24"/>
        <v>2</v>
      </c>
      <c r="AF118" s="5">
        <f t="shared" si="17"/>
        <v>1</v>
      </c>
      <c r="AG118" s="5">
        <f t="shared" si="18"/>
        <v>1</v>
      </c>
      <c r="AH118" s="5">
        <f t="shared" si="25"/>
        <v>0</v>
      </c>
      <c r="AI118">
        <f>IF(B118&lt;&gt;"", COUNTIFS($B$2:B118, B118), "")</f>
        <v>2</v>
      </c>
      <c r="AJ118">
        <f t="shared" si="26"/>
        <v>5</v>
      </c>
      <c r="AK118">
        <f t="shared" si="19"/>
        <v>5</v>
      </c>
      <c r="AL118">
        <f t="shared" si="27"/>
        <v>9</v>
      </c>
      <c r="AM118" t="str">
        <f t="shared" si="28"/>
        <v>September</v>
      </c>
      <c r="AN118">
        <f t="shared" si="29"/>
        <v>2023</v>
      </c>
      <c r="AO118" t="str">
        <f t="shared" si="30"/>
        <v>&gt;3</v>
      </c>
      <c r="AP118" t="str">
        <f t="shared" si="31"/>
        <v>&gt;3</v>
      </c>
      <c r="AQ118" t="str">
        <f t="shared" si="32"/>
        <v>&gt;3</v>
      </c>
    </row>
    <row r="119" spans="1:43" x14ac:dyDescent="0.3">
      <c r="A119" t="s">
        <v>33</v>
      </c>
      <c r="B119" t="s">
        <v>64</v>
      </c>
      <c r="C119" t="s">
        <v>87</v>
      </c>
      <c r="D119">
        <v>3062</v>
      </c>
      <c r="E119">
        <v>23120088</v>
      </c>
      <c r="F119" t="s">
        <v>218</v>
      </c>
      <c r="G119" t="s">
        <v>219</v>
      </c>
      <c r="H119">
        <v>2000</v>
      </c>
      <c r="I119">
        <v>22.5</v>
      </c>
      <c r="J119">
        <v>45000</v>
      </c>
      <c r="K119" s="7" t="str">
        <f>IFERROR(IF(B119&lt;&gt;"", TEXT(VLOOKUP(B119, 'Expected Date'!A:B, 2, FALSE) + DATE(RIGHT(C119,2),MID(C119,4,2),LEFT(C119,2)), "dd/mm/yy"), ""), "")</f>
        <v>22/07/23</v>
      </c>
      <c r="L119" t="s">
        <v>38</v>
      </c>
      <c r="M119" t="s">
        <v>39</v>
      </c>
      <c r="N119" t="s">
        <v>69</v>
      </c>
      <c r="O119" t="s">
        <v>192</v>
      </c>
      <c r="P119">
        <v>23190837</v>
      </c>
      <c r="Q119" t="s">
        <v>218</v>
      </c>
      <c r="R119" t="s">
        <v>219</v>
      </c>
      <c r="S119">
        <v>2400</v>
      </c>
      <c r="T119">
        <v>22.5</v>
      </c>
      <c r="U119">
        <v>54000</v>
      </c>
      <c r="V119" t="str">
        <f t="shared" si="33"/>
        <v>Hyderabad</v>
      </c>
      <c r="W119" t="str">
        <f>VLOOKUP(B119, Currency!A:B, 2, FALSE)</f>
        <v>INR</v>
      </c>
      <c r="X119" t="str">
        <f t="shared" si="34"/>
        <v>Accepted</v>
      </c>
      <c r="Y119">
        <f>IFERROR(VLOOKUP(N119, Payment_Terms!A:B, 2, FALSE), "Payment term not found!")</f>
        <v>30</v>
      </c>
      <c r="Z119" t="str">
        <f>IFERROR(VLOOKUP(R119, Item_Category!A:B, 2, FALSE), "Uncategorized")</f>
        <v>Bags</v>
      </c>
      <c r="AA119" s="5">
        <f t="shared" si="20"/>
        <v>0</v>
      </c>
      <c r="AB119">
        <f t="shared" si="21"/>
        <v>5</v>
      </c>
      <c r="AC119" s="10">
        <f t="shared" si="22"/>
        <v>23</v>
      </c>
      <c r="AD119">
        <f t="shared" si="23"/>
        <v>1</v>
      </c>
      <c r="AE119" s="10">
        <f t="shared" si="24"/>
        <v>33</v>
      </c>
      <c r="AF119" s="5">
        <f t="shared" si="17"/>
        <v>1</v>
      </c>
      <c r="AG119" s="5">
        <f t="shared" si="18"/>
        <v>1</v>
      </c>
      <c r="AH119" s="5">
        <f t="shared" si="25"/>
        <v>0</v>
      </c>
      <c r="AI119">
        <f>IF(B119&lt;&gt;"", COUNTIFS($B$2:B119, B119), "")</f>
        <v>10</v>
      </c>
      <c r="AJ119">
        <f t="shared" si="26"/>
        <v>5</v>
      </c>
      <c r="AK119">
        <f t="shared" si="19"/>
        <v>4</v>
      </c>
      <c r="AL119">
        <f t="shared" si="27"/>
        <v>7</v>
      </c>
      <c r="AM119" t="str">
        <f t="shared" si="28"/>
        <v>July</v>
      </c>
      <c r="AN119">
        <f t="shared" si="29"/>
        <v>2023</v>
      </c>
      <c r="AO119" t="str">
        <f t="shared" si="30"/>
        <v>&gt;3</v>
      </c>
      <c r="AP119" t="str">
        <f t="shared" si="31"/>
        <v>&gt;3</v>
      </c>
      <c r="AQ119" t="str">
        <f t="shared" si="32"/>
        <v>&lt;=3</v>
      </c>
    </row>
    <row r="120" spans="1:43" x14ac:dyDescent="0.3">
      <c r="A120" t="s">
        <v>33</v>
      </c>
      <c r="B120" t="s">
        <v>107</v>
      </c>
      <c r="C120" t="s">
        <v>117</v>
      </c>
      <c r="D120">
        <v>2899</v>
      </c>
      <c r="E120">
        <v>23120083</v>
      </c>
      <c r="F120" t="s">
        <v>216</v>
      </c>
      <c r="G120" t="s">
        <v>217</v>
      </c>
      <c r="H120">
        <v>5000</v>
      </c>
      <c r="I120">
        <v>33.75</v>
      </c>
      <c r="J120">
        <v>168750</v>
      </c>
      <c r="K120" s="7" t="str">
        <f>IFERROR(IF(B120&lt;&gt;"", TEXT(VLOOKUP(B120, 'Expected Date'!A:B, 2, FALSE) + DATE(RIGHT(C120,2),MID(C120,4,2),LEFT(C120,2)), "dd/mm/yy"), ""), "")</f>
        <v>17/07/23</v>
      </c>
      <c r="L120" t="s">
        <v>68</v>
      </c>
      <c r="M120" t="s">
        <v>48</v>
      </c>
      <c r="N120" t="s">
        <v>109</v>
      </c>
      <c r="O120" t="s">
        <v>52</v>
      </c>
      <c r="P120">
        <v>23190856</v>
      </c>
      <c r="Q120" t="s">
        <v>216</v>
      </c>
      <c r="R120" t="s">
        <v>217</v>
      </c>
      <c r="S120">
        <v>4195</v>
      </c>
      <c r="T120">
        <v>33.75</v>
      </c>
      <c r="U120">
        <v>141581.25</v>
      </c>
      <c r="V120" t="str">
        <f t="shared" si="33"/>
        <v>Hyderabad</v>
      </c>
      <c r="W120" t="str">
        <f>VLOOKUP(B120, Currency!A:B, 2, FALSE)</f>
        <v>INR</v>
      </c>
      <c r="X120" t="str">
        <f t="shared" si="34"/>
        <v>Accepted</v>
      </c>
      <c r="Y120">
        <f>IFERROR(VLOOKUP(N120, Payment_Terms!A:B, 2, FALSE), "Payment term not found!")</f>
        <v>0</v>
      </c>
      <c r="Z120" t="str">
        <f>IFERROR(VLOOKUP(R120, Item_Category!A:B, 2, FALSE), "Uncategorized")</f>
        <v>Bags</v>
      </c>
      <c r="AA120" s="5">
        <f t="shared" si="20"/>
        <v>0.161</v>
      </c>
      <c r="AB120">
        <f t="shared" si="21"/>
        <v>1</v>
      </c>
      <c r="AC120" s="10">
        <f t="shared" si="22"/>
        <v>30</v>
      </c>
      <c r="AD120">
        <f t="shared" si="23"/>
        <v>1</v>
      </c>
      <c r="AE120" s="10">
        <f t="shared" si="24"/>
        <v>40</v>
      </c>
      <c r="AF120" s="5">
        <f t="shared" si="17"/>
        <v>1</v>
      </c>
      <c r="AG120" s="5">
        <f t="shared" si="18"/>
        <v>1</v>
      </c>
      <c r="AH120" s="5">
        <f t="shared" si="25"/>
        <v>0</v>
      </c>
      <c r="AI120">
        <f>IF(B120&lt;&gt;"", COUNTIFS($B$2:B120, B120), "")</f>
        <v>6</v>
      </c>
      <c r="AJ120">
        <f t="shared" si="26"/>
        <v>5</v>
      </c>
      <c r="AK120">
        <f t="shared" si="19"/>
        <v>3</v>
      </c>
      <c r="AL120">
        <f t="shared" si="27"/>
        <v>7</v>
      </c>
      <c r="AM120" t="str">
        <f t="shared" si="28"/>
        <v>July</v>
      </c>
      <c r="AN120">
        <f t="shared" si="29"/>
        <v>2023</v>
      </c>
      <c r="AO120" t="str">
        <f t="shared" si="30"/>
        <v>&gt;3</v>
      </c>
      <c r="AP120" t="str">
        <f t="shared" si="31"/>
        <v>&lt;=3</v>
      </c>
      <c r="AQ120" t="str">
        <f t="shared" si="32"/>
        <v>&lt;=3</v>
      </c>
    </row>
    <row r="121" spans="1:43" x14ac:dyDescent="0.3">
      <c r="A121" t="s">
        <v>33</v>
      </c>
      <c r="B121" t="s">
        <v>64</v>
      </c>
      <c r="C121" t="s">
        <v>105</v>
      </c>
      <c r="D121">
        <v>4033</v>
      </c>
      <c r="E121">
        <v>23120111</v>
      </c>
      <c r="F121" t="s">
        <v>66</v>
      </c>
      <c r="G121" t="s">
        <v>67</v>
      </c>
      <c r="H121">
        <v>5000</v>
      </c>
      <c r="I121">
        <v>22.5</v>
      </c>
      <c r="J121">
        <v>112500</v>
      </c>
      <c r="K121" s="7" t="str">
        <f>IFERROR(IF(B121&lt;&gt;"", TEXT(VLOOKUP(B121, 'Expected Date'!A:B, 2, FALSE) + DATE(RIGHT(C121,2),MID(C121,4,2),LEFT(C121,2)), "dd/mm/yy"), ""), "")</f>
        <v>04/09/23</v>
      </c>
      <c r="L121" t="s">
        <v>38</v>
      </c>
      <c r="M121" t="s">
        <v>39</v>
      </c>
      <c r="N121" t="s">
        <v>69</v>
      </c>
      <c r="O121" t="s">
        <v>206</v>
      </c>
      <c r="P121">
        <v>23191059</v>
      </c>
      <c r="Q121" t="s">
        <v>66</v>
      </c>
      <c r="R121" t="s">
        <v>67</v>
      </c>
      <c r="S121">
        <v>5100</v>
      </c>
      <c r="T121">
        <v>22.5</v>
      </c>
      <c r="U121">
        <v>114750</v>
      </c>
      <c r="V121" t="str">
        <f t="shared" si="33"/>
        <v>Hyderabad</v>
      </c>
      <c r="W121" t="str">
        <f>VLOOKUP(B121, Currency!A:B, 2, FALSE)</f>
        <v>INR</v>
      </c>
      <c r="X121" t="str">
        <f t="shared" si="34"/>
        <v>Accepted</v>
      </c>
      <c r="Y121">
        <f>IFERROR(VLOOKUP(N121, Payment_Terms!A:B, 2, FALSE), "Payment term not found!")</f>
        <v>30</v>
      </c>
      <c r="Z121" t="str">
        <f>IFERROR(VLOOKUP(R121, Item_Category!A:B, 2, FALSE), "Uncategorized")</f>
        <v>Bags</v>
      </c>
      <c r="AA121" s="5">
        <f t="shared" si="20"/>
        <v>0</v>
      </c>
      <c r="AB121">
        <f t="shared" si="21"/>
        <v>5</v>
      </c>
      <c r="AC121" s="10">
        <f t="shared" si="22"/>
        <v>9</v>
      </c>
      <c r="AD121">
        <f t="shared" si="23"/>
        <v>2</v>
      </c>
      <c r="AE121" s="10">
        <f t="shared" si="24"/>
        <v>19</v>
      </c>
      <c r="AF121" s="5">
        <f t="shared" si="17"/>
        <v>1</v>
      </c>
      <c r="AG121" s="5">
        <f t="shared" si="18"/>
        <v>1</v>
      </c>
      <c r="AH121" s="5">
        <f t="shared" si="25"/>
        <v>0</v>
      </c>
      <c r="AI121">
        <f>IF(B121&lt;&gt;"", COUNTIFS($B$2:B121, B121), "")</f>
        <v>11</v>
      </c>
      <c r="AJ121">
        <f t="shared" si="26"/>
        <v>5</v>
      </c>
      <c r="AK121">
        <f t="shared" si="19"/>
        <v>5</v>
      </c>
      <c r="AL121">
        <f t="shared" si="27"/>
        <v>8</v>
      </c>
      <c r="AM121" t="str">
        <f t="shared" si="28"/>
        <v>August</v>
      </c>
      <c r="AN121">
        <f t="shared" si="29"/>
        <v>2023</v>
      </c>
      <c r="AO121" t="str">
        <f t="shared" si="30"/>
        <v>&gt;3</v>
      </c>
      <c r="AP121" t="str">
        <f t="shared" si="31"/>
        <v>&gt;3</v>
      </c>
      <c r="AQ121" t="str">
        <f t="shared" si="32"/>
        <v>&lt;=3</v>
      </c>
    </row>
    <row r="122" spans="1:43" x14ac:dyDescent="0.3">
      <c r="A122" t="s">
        <v>33</v>
      </c>
      <c r="B122" t="s">
        <v>34</v>
      </c>
      <c r="C122" t="s">
        <v>228</v>
      </c>
      <c r="D122">
        <v>4549</v>
      </c>
      <c r="E122">
        <v>23120126</v>
      </c>
      <c r="F122" t="s">
        <v>212</v>
      </c>
      <c r="G122" t="s">
        <v>213</v>
      </c>
      <c r="H122">
        <v>3000</v>
      </c>
      <c r="I122">
        <v>33.75</v>
      </c>
      <c r="J122">
        <v>101250</v>
      </c>
      <c r="K122" s="7" t="str">
        <f>IFERROR(IF(B122&lt;&gt;"", TEXT(VLOOKUP(B122, 'Expected Date'!A:B, 2, FALSE) + DATE(RIGHT(C122,2),MID(C122,4,2),LEFT(C122,2)), "dd/mm/yy"), ""), "")</f>
        <v>02/10/23</v>
      </c>
      <c r="L122" t="s">
        <v>38</v>
      </c>
      <c r="M122" t="s">
        <v>39</v>
      </c>
      <c r="N122" t="s">
        <v>40</v>
      </c>
      <c r="O122" t="s">
        <v>230</v>
      </c>
      <c r="P122">
        <v>23191244</v>
      </c>
      <c r="Q122" t="s">
        <v>212</v>
      </c>
      <c r="R122" t="s">
        <v>213</v>
      </c>
      <c r="S122">
        <v>3345</v>
      </c>
      <c r="T122">
        <v>33.75</v>
      </c>
      <c r="U122">
        <v>112893.75</v>
      </c>
      <c r="V122" t="str">
        <f t="shared" si="33"/>
        <v>Hyderabad</v>
      </c>
      <c r="W122" t="str">
        <f>VLOOKUP(B122, Currency!A:B, 2, FALSE)</f>
        <v>INR</v>
      </c>
      <c r="X122" t="str">
        <f t="shared" si="34"/>
        <v>Accepted</v>
      </c>
      <c r="Y122">
        <f>IFERROR(VLOOKUP(N122, Payment_Terms!A:B, 2, FALSE), "Payment term not found!")</f>
        <v>30</v>
      </c>
      <c r="Z122" t="str">
        <f>IFERROR(VLOOKUP(R122, Item_Category!A:B, 2, FALSE), "Uncategorized")</f>
        <v>Bags</v>
      </c>
      <c r="AA122" s="5">
        <f t="shared" si="20"/>
        <v>0</v>
      </c>
      <c r="AB122">
        <f t="shared" si="21"/>
        <v>5</v>
      </c>
      <c r="AC122" s="10">
        <f t="shared" si="22"/>
        <v>1</v>
      </c>
      <c r="AD122">
        <f t="shared" si="23"/>
        <v>5</v>
      </c>
      <c r="AE122" s="10">
        <f t="shared" si="24"/>
        <v>11</v>
      </c>
      <c r="AF122" s="5">
        <f t="shared" si="17"/>
        <v>1</v>
      </c>
      <c r="AG122" s="5">
        <f t="shared" si="18"/>
        <v>1</v>
      </c>
      <c r="AH122" s="5">
        <f t="shared" si="25"/>
        <v>0</v>
      </c>
      <c r="AI122">
        <f>IF(B122&lt;&gt;"", COUNTIFS($B$2:B122, B122), "")</f>
        <v>11</v>
      </c>
      <c r="AJ122">
        <f t="shared" si="26"/>
        <v>5</v>
      </c>
      <c r="AK122">
        <f t="shared" si="19"/>
        <v>5</v>
      </c>
      <c r="AL122">
        <f t="shared" si="27"/>
        <v>9</v>
      </c>
      <c r="AM122" t="str">
        <f t="shared" si="28"/>
        <v>September</v>
      </c>
      <c r="AN122">
        <f t="shared" si="29"/>
        <v>2023</v>
      </c>
      <c r="AO122" t="str">
        <f t="shared" si="30"/>
        <v>&gt;3</v>
      </c>
      <c r="AP122" t="str">
        <f t="shared" si="31"/>
        <v>&gt;3</v>
      </c>
      <c r="AQ122" t="str">
        <f t="shared" si="32"/>
        <v>&gt;3</v>
      </c>
    </row>
    <row r="123" spans="1:43" x14ac:dyDescent="0.3">
      <c r="A123" t="s">
        <v>33</v>
      </c>
      <c r="B123" t="s">
        <v>34</v>
      </c>
      <c r="C123" t="s">
        <v>228</v>
      </c>
      <c r="D123">
        <v>4549</v>
      </c>
      <c r="E123">
        <v>23120126</v>
      </c>
      <c r="F123" t="s">
        <v>166</v>
      </c>
      <c r="G123" t="s">
        <v>167</v>
      </c>
      <c r="H123">
        <v>2000</v>
      </c>
      <c r="I123">
        <v>33.75</v>
      </c>
      <c r="J123">
        <v>67500</v>
      </c>
      <c r="K123" s="7" t="str">
        <f>IFERROR(IF(B123&lt;&gt;"", TEXT(VLOOKUP(B123, 'Expected Date'!A:B, 2, FALSE) + DATE(RIGHT(C123,2),MID(C123,4,2),LEFT(C123,2)), "dd/mm/yy"), ""), "")</f>
        <v>02/10/23</v>
      </c>
      <c r="L123" t="s">
        <v>38</v>
      </c>
      <c r="M123" t="s">
        <v>39</v>
      </c>
      <c r="N123" t="s">
        <v>40</v>
      </c>
      <c r="O123" t="s">
        <v>230</v>
      </c>
      <c r="P123">
        <v>23191244</v>
      </c>
      <c r="Q123" t="s">
        <v>166</v>
      </c>
      <c r="R123" t="s">
        <v>167</v>
      </c>
      <c r="S123">
        <v>2105</v>
      </c>
      <c r="T123">
        <v>33.75</v>
      </c>
      <c r="U123">
        <v>71043.75</v>
      </c>
      <c r="V123" t="str">
        <f t="shared" si="33"/>
        <v>Hyderabad</v>
      </c>
      <c r="W123" t="str">
        <f>VLOOKUP(B123, Currency!A:B, 2, FALSE)</f>
        <v>INR</v>
      </c>
      <c r="X123" t="str">
        <f t="shared" si="34"/>
        <v>Accepted</v>
      </c>
      <c r="Y123">
        <f>IFERROR(VLOOKUP(N123, Payment_Terms!A:B, 2, FALSE), "Payment term not found!")</f>
        <v>30</v>
      </c>
      <c r="Z123" t="str">
        <f>IFERROR(VLOOKUP(R123, Item_Category!A:B, 2, FALSE), "Uncategorized")</f>
        <v>Bags</v>
      </c>
      <c r="AA123" s="5">
        <f t="shared" si="20"/>
        <v>0</v>
      </c>
      <c r="AB123">
        <f t="shared" si="21"/>
        <v>5</v>
      </c>
      <c r="AC123" s="10">
        <f t="shared" si="22"/>
        <v>1</v>
      </c>
      <c r="AD123">
        <f t="shared" si="23"/>
        <v>5</v>
      </c>
      <c r="AE123" s="10">
        <f t="shared" si="24"/>
        <v>11</v>
      </c>
      <c r="AF123" s="5">
        <f t="shared" si="17"/>
        <v>1</v>
      </c>
      <c r="AG123" s="5">
        <f t="shared" si="18"/>
        <v>1</v>
      </c>
      <c r="AH123" s="5">
        <f t="shared" si="25"/>
        <v>0</v>
      </c>
      <c r="AI123">
        <f>IF(B123&lt;&gt;"", COUNTIFS($B$2:B123, B123), "")</f>
        <v>12</v>
      </c>
      <c r="AJ123">
        <f t="shared" si="26"/>
        <v>5</v>
      </c>
      <c r="AK123">
        <f t="shared" si="19"/>
        <v>5</v>
      </c>
      <c r="AL123">
        <f t="shared" si="27"/>
        <v>9</v>
      </c>
      <c r="AM123" t="str">
        <f t="shared" si="28"/>
        <v>September</v>
      </c>
      <c r="AN123">
        <f t="shared" si="29"/>
        <v>2023</v>
      </c>
      <c r="AO123" t="str">
        <f t="shared" si="30"/>
        <v>&gt;3</v>
      </c>
      <c r="AP123" t="str">
        <f t="shared" si="31"/>
        <v>&gt;3</v>
      </c>
      <c r="AQ123" t="str">
        <f t="shared" si="32"/>
        <v>&gt;3</v>
      </c>
    </row>
    <row r="124" spans="1:43" x14ac:dyDescent="0.3">
      <c r="A124" t="s">
        <v>33</v>
      </c>
      <c r="B124" t="s">
        <v>64</v>
      </c>
      <c r="C124" t="s">
        <v>231</v>
      </c>
      <c r="D124">
        <v>2384</v>
      </c>
      <c r="E124">
        <v>23120043</v>
      </c>
      <c r="F124" t="s">
        <v>232</v>
      </c>
      <c r="G124" t="s">
        <v>233</v>
      </c>
      <c r="H124">
        <v>3000</v>
      </c>
      <c r="I124">
        <v>22.5</v>
      </c>
      <c r="J124">
        <v>67500</v>
      </c>
      <c r="K124" s="7" t="str">
        <f>IFERROR(IF(B124&lt;&gt;"", TEXT(VLOOKUP(B124, 'Expected Date'!A:B, 2, FALSE) + DATE(RIGHT(C124,2),MID(C124,4,2),LEFT(C124,2)), "dd/mm/yy"), ""), "")</f>
        <v>19/06/23</v>
      </c>
      <c r="L124" t="s">
        <v>38</v>
      </c>
      <c r="M124" t="s">
        <v>39</v>
      </c>
      <c r="N124" t="s">
        <v>69</v>
      </c>
      <c r="O124" t="s">
        <v>162</v>
      </c>
      <c r="P124">
        <v>23190516</v>
      </c>
      <c r="Q124" t="s">
        <v>232</v>
      </c>
      <c r="R124" t="s">
        <v>233</v>
      </c>
      <c r="S124">
        <v>3200</v>
      </c>
      <c r="T124">
        <v>22.5</v>
      </c>
      <c r="U124">
        <v>72000</v>
      </c>
      <c r="V124" t="str">
        <f t="shared" si="33"/>
        <v>Hyderabad</v>
      </c>
      <c r="W124" t="str">
        <f>VLOOKUP(B124, Currency!A:B, 2, FALSE)</f>
        <v>INR</v>
      </c>
      <c r="X124" t="str">
        <f t="shared" si="34"/>
        <v>Accepted</v>
      </c>
      <c r="Y124">
        <f>IFERROR(VLOOKUP(N124, Payment_Terms!A:B, 2, FALSE), "Payment term not found!")</f>
        <v>30</v>
      </c>
      <c r="Z124" t="str">
        <f>IFERROR(VLOOKUP(R124, Item_Category!A:B, 2, FALSE), "Uncategorized")</f>
        <v>Bags</v>
      </c>
      <c r="AA124" s="5">
        <f t="shared" si="20"/>
        <v>0</v>
      </c>
      <c r="AB124">
        <f t="shared" si="21"/>
        <v>5</v>
      </c>
      <c r="AC124" s="10">
        <f t="shared" si="22"/>
        <v>10</v>
      </c>
      <c r="AD124">
        <f t="shared" si="23"/>
        <v>2</v>
      </c>
      <c r="AE124" s="10">
        <f t="shared" si="24"/>
        <v>20</v>
      </c>
      <c r="AF124" s="5">
        <f t="shared" si="17"/>
        <v>1</v>
      </c>
      <c r="AG124" s="5">
        <f t="shared" si="18"/>
        <v>1</v>
      </c>
      <c r="AH124" s="5">
        <f t="shared" si="25"/>
        <v>0</v>
      </c>
      <c r="AI124">
        <f>IF(B124&lt;&gt;"", COUNTIFS($B$2:B124, B124), "")</f>
        <v>12</v>
      </c>
      <c r="AJ124">
        <f t="shared" si="26"/>
        <v>5</v>
      </c>
      <c r="AK124">
        <f t="shared" si="19"/>
        <v>5</v>
      </c>
      <c r="AL124">
        <f t="shared" si="27"/>
        <v>6</v>
      </c>
      <c r="AM124" t="str">
        <f t="shared" si="28"/>
        <v>June</v>
      </c>
      <c r="AN124">
        <f t="shared" si="29"/>
        <v>2023</v>
      </c>
      <c r="AO124" t="str">
        <f t="shared" si="30"/>
        <v>&gt;3</v>
      </c>
      <c r="AP124" t="str">
        <f t="shared" si="31"/>
        <v>&gt;3</v>
      </c>
      <c r="AQ124" t="str">
        <f t="shared" si="32"/>
        <v>&lt;=3</v>
      </c>
    </row>
    <row r="125" spans="1:43" x14ac:dyDescent="0.3">
      <c r="A125" t="s">
        <v>33</v>
      </c>
      <c r="B125" t="s">
        <v>107</v>
      </c>
      <c r="C125" t="s">
        <v>105</v>
      </c>
      <c r="D125">
        <v>4031</v>
      </c>
      <c r="E125">
        <v>23120109</v>
      </c>
      <c r="F125" t="s">
        <v>92</v>
      </c>
      <c r="G125" t="s">
        <v>93</v>
      </c>
      <c r="H125">
        <v>5000</v>
      </c>
      <c r="I125">
        <v>33.75</v>
      </c>
      <c r="J125">
        <v>168750</v>
      </c>
      <c r="K125" s="7" t="str">
        <f>IFERROR(IF(B125&lt;&gt;"", TEXT(VLOOKUP(B125, 'Expected Date'!A:B, 2, FALSE) + DATE(RIGHT(C125,2),MID(C125,4,2),LEFT(C125,2)), "dd/mm/yy"), ""), "")</f>
        <v>04/09/23</v>
      </c>
      <c r="L125" t="s">
        <v>38</v>
      </c>
      <c r="M125" t="s">
        <v>39</v>
      </c>
      <c r="N125" t="s">
        <v>109</v>
      </c>
      <c r="O125" t="s">
        <v>181</v>
      </c>
      <c r="P125">
        <v>23191104</v>
      </c>
      <c r="Q125" t="s">
        <v>92</v>
      </c>
      <c r="R125" t="s">
        <v>93</v>
      </c>
      <c r="S125">
        <v>5028</v>
      </c>
      <c r="T125">
        <v>33.75</v>
      </c>
      <c r="U125">
        <v>169695</v>
      </c>
      <c r="V125" t="str">
        <f t="shared" si="33"/>
        <v>Hyderabad</v>
      </c>
      <c r="W125" t="str">
        <f>VLOOKUP(B125, Currency!A:B, 2, FALSE)</f>
        <v>INR</v>
      </c>
      <c r="X125" t="str">
        <f t="shared" si="34"/>
        <v>Accepted</v>
      </c>
      <c r="Y125">
        <f>IFERROR(VLOOKUP(N125, Payment_Terms!A:B, 2, FALSE), "Payment term not found!")</f>
        <v>0</v>
      </c>
      <c r="Z125" t="str">
        <f>IFERROR(VLOOKUP(R125, Item_Category!A:B, 2, FALSE), "Uncategorized")</f>
        <v>Bags</v>
      </c>
      <c r="AA125" s="5">
        <f t="shared" si="20"/>
        <v>0</v>
      </c>
      <c r="AB125">
        <f t="shared" si="21"/>
        <v>5</v>
      </c>
      <c r="AC125" s="10">
        <f t="shared" si="22"/>
        <v>17</v>
      </c>
      <c r="AD125">
        <f t="shared" si="23"/>
        <v>1</v>
      </c>
      <c r="AE125" s="10">
        <f t="shared" si="24"/>
        <v>27</v>
      </c>
      <c r="AF125" s="5">
        <f t="shared" si="17"/>
        <v>1</v>
      </c>
      <c r="AG125" s="5">
        <f t="shared" si="18"/>
        <v>1</v>
      </c>
      <c r="AH125" s="5">
        <f t="shared" si="25"/>
        <v>0</v>
      </c>
      <c r="AI125">
        <f>IF(B125&lt;&gt;"", COUNTIFS($B$2:B125, B125), "")</f>
        <v>7</v>
      </c>
      <c r="AJ125">
        <f t="shared" si="26"/>
        <v>5</v>
      </c>
      <c r="AK125">
        <f t="shared" si="19"/>
        <v>4</v>
      </c>
      <c r="AL125">
        <f t="shared" si="27"/>
        <v>8</v>
      </c>
      <c r="AM125" t="str">
        <f t="shared" si="28"/>
        <v>August</v>
      </c>
      <c r="AN125">
        <f t="shared" si="29"/>
        <v>2023</v>
      </c>
      <c r="AO125" t="str">
        <f t="shared" si="30"/>
        <v>&gt;3</v>
      </c>
      <c r="AP125" t="str">
        <f t="shared" si="31"/>
        <v>&gt;3</v>
      </c>
      <c r="AQ125" t="str">
        <f t="shared" si="32"/>
        <v>&lt;=3</v>
      </c>
    </row>
    <row r="126" spans="1:43" x14ac:dyDescent="0.3">
      <c r="A126" t="s">
        <v>33</v>
      </c>
      <c r="B126" t="s">
        <v>64</v>
      </c>
      <c r="C126" t="s">
        <v>117</v>
      </c>
      <c r="D126">
        <v>2901</v>
      </c>
      <c r="E126">
        <v>23120085</v>
      </c>
      <c r="F126" t="s">
        <v>170</v>
      </c>
      <c r="G126" t="s">
        <v>171</v>
      </c>
      <c r="H126">
        <v>3000</v>
      </c>
      <c r="I126">
        <v>22.25</v>
      </c>
      <c r="J126">
        <v>66750</v>
      </c>
      <c r="K126" s="7" t="str">
        <f>IFERROR(IF(B126&lt;&gt;"", TEXT(VLOOKUP(B126, 'Expected Date'!A:B, 2, FALSE) + DATE(RIGHT(C126,2),MID(C126,4,2),LEFT(C126,2)), "dd/mm/yy"), ""), "")</f>
        <v>17/07/23</v>
      </c>
      <c r="L126" t="s">
        <v>38</v>
      </c>
      <c r="M126" t="s">
        <v>48</v>
      </c>
      <c r="N126" t="s">
        <v>69</v>
      </c>
      <c r="O126" t="s">
        <v>192</v>
      </c>
      <c r="P126">
        <v>23190837</v>
      </c>
      <c r="Q126" t="s">
        <v>170</v>
      </c>
      <c r="R126" t="s">
        <v>171</v>
      </c>
      <c r="S126">
        <v>3542</v>
      </c>
      <c r="T126">
        <v>22.25</v>
      </c>
      <c r="U126">
        <v>78809.5</v>
      </c>
      <c r="V126" t="str">
        <f t="shared" si="33"/>
        <v>Hyderabad</v>
      </c>
      <c r="W126" t="str">
        <f>VLOOKUP(B126, Currency!A:B, 2, FALSE)</f>
        <v>INR</v>
      </c>
      <c r="X126" t="str">
        <f t="shared" si="34"/>
        <v>Accepted</v>
      </c>
      <c r="Y126">
        <f>IFERROR(VLOOKUP(N126, Payment_Terms!A:B, 2, FALSE), "Payment term not found!")</f>
        <v>30</v>
      </c>
      <c r="Z126" t="str">
        <f>IFERROR(VLOOKUP(R126, Item_Category!A:B, 2, FALSE), "Uncategorized")</f>
        <v>Bags</v>
      </c>
      <c r="AA126" s="5">
        <f t="shared" si="20"/>
        <v>0</v>
      </c>
      <c r="AB126">
        <f t="shared" si="21"/>
        <v>5</v>
      </c>
      <c r="AC126" s="10">
        <f t="shared" si="22"/>
        <v>28</v>
      </c>
      <c r="AD126">
        <f t="shared" si="23"/>
        <v>1</v>
      </c>
      <c r="AE126" s="10">
        <f t="shared" si="24"/>
        <v>38</v>
      </c>
      <c r="AF126" s="5">
        <f t="shared" si="17"/>
        <v>1</v>
      </c>
      <c r="AG126" s="5">
        <f t="shared" si="18"/>
        <v>1</v>
      </c>
      <c r="AH126" s="5">
        <f t="shared" si="25"/>
        <v>0</v>
      </c>
      <c r="AI126">
        <f>IF(B126&lt;&gt;"", COUNTIFS($B$2:B126, B126), "")</f>
        <v>13</v>
      </c>
      <c r="AJ126">
        <f t="shared" si="26"/>
        <v>5</v>
      </c>
      <c r="AK126">
        <f t="shared" si="19"/>
        <v>4</v>
      </c>
      <c r="AL126">
        <f t="shared" si="27"/>
        <v>7</v>
      </c>
      <c r="AM126" t="str">
        <f t="shared" si="28"/>
        <v>July</v>
      </c>
      <c r="AN126">
        <f t="shared" si="29"/>
        <v>2023</v>
      </c>
      <c r="AO126" t="str">
        <f t="shared" si="30"/>
        <v>&gt;3</v>
      </c>
      <c r="AP126" t="str">
        <f t="shared" si="31"/>
        <v>&gt;3</v>
      </c>
      <c r="AQ126" t="str">
        <f t="shared" si="32"/>
        <v>&lt;=3</v>
      </c>
    </row>
    <row r="127" spans="1:43" x14ac:dyDescent="0.3">
      <c r="A127" t="s">
        <v>33</v>
      </c>
      <c r="B127" t="s">
        <v>34</v>
      </c>
      <c r="C127" t="s">
        <v>228</v>
      </c>
      <c r="D127">
        <v>4549</v>
      </c>
      <c r="E127">
        <v>23120126</v>
      </c>
      <c r="F127" t="s">
        <v>92</v>
      </c>
      <c r="G127" t="s">
        <v>93</v>
      </c>
      <c r="H127">
        <v>10000</v>
      </c>
      <c r="I127">
        <v>33.75</v>
      </c>
      <c r="J127">
        <v>337500</v>
      </c>
      <c r="K127" s="7" t="str">
        <f>IFERROR(IF(B127&lt;&gt;"", TEXT(VLOOKUP(B127, 'Expected Date'!A:B, 2, FALSE) + DATE(RIGHT(C127,2),MID(C127,4,2),LEFT(C127,2)), "dd/mm/yy"), ""), "")</f>
        <v>02/10/23</v>
      </c>
      <c r="L127" t="s">
        <v>38</v>
      </c>
      <c r="M127" t="s">
        <v>39</v>
      </c>
      <c r="N127" t="s">
        <v>40</v>
      </c>
      <c r="O127" t="s">
        <v>230</v>
      </c>
      <c r="P127">
        <v>23191244</v>
      </c>
      <c r="Q127" t="s">
        <v>92</v>
      </c>
      <c r="R127" t="s">
        <v>93</v>
      </c>
      <c r="S127">
        <v>10200</v>
      </c>
      <c r="T127">
        <v>33.75</v>
      </c>
      <c r="U127">
        <v>344250</v>
      </c>
      <c r="V127" t="str">
        <f t="shared" si="33"/>
        <v>Hyderabad</v>
      </c>
      <c r="W127" t="str">
        <f>VLOOKUP(B127, Currency!A:B, 2, FALSE)</f>
        <v>INR</v>
      </c>
      <c r="X127" t="str">
        <f t="shared" si="34"/>
        <v>Accepted</v>
      </c>
      <c r="Y127">
        <f>IFERROR(VLOOKUP(N127, Payment_Terms!A:B, 2, FALSE), "Payment term not found!")</f>
        <v>30</v>
      </c>
      <c r="Z127" t="str">
        <f>IFERROR(VLOOKUP(R127, Item_Category!A:B, 2, FALSE), "Uncategorized")</f>
        <v>Bags</v>
      </c>
      <c r="AA127" s="5">
        <f t="shared" si="20"/>
        <v>0</v>
      </c>
      <c r="AB127">
        <f t="shared" si="21"/>
        <v>5</v>
      </c>
      <c r="AC127" s="10">
        <f t="shared" si="22"/>
        <v>1</v>
      </c>
      <c r="AD127">
        <f t="shared" si="23"/>
        <v>5</v>
      </c>
      <c r="AE127" s="10">
        <f t="shared" si="24"/>
        <v>11</v>
      </c>
      <c r="AF127" s="5">
        <f t="shared" si="17"/>
        <v>1</v>
      </c>
      <c r="AG127" s="5">
        <f t="shared" si="18"/>
        <v>1</v>
      </c>
      <c r="AH127" s="5">
        <f t="shared" si="25"/>
        <v>0</v>
      </c>
      <c r="AI127">
        <f>IF(B127&lt;&gt;"", COUNTIFS($B$2:B127, B127), "")</f>
        <v>13</v>
      </c>
      <c r="AJ127">
        <f t="shared" si="26"/>
        <v>5</v>
      </c>
      <c r="AK127">
        <f t="shared" si="19"/>
        <v>5</v>
      </c>
      <c r="AL127">
        <f t="shared" si="27"/>
        <v>9</v>
      </c>
      <c r="AM127" t="str">
        <f t="shared" si="28"/>
        <v>September</v>
      </c>
      <c r="AN127">
        <f t="shared" si="29"/>
        <v>2023</v>
      </c>
      <c r="AO127" t="str">
        <f t="shared" si="30"/>
        <v>&gt;3</v>
      </c>
      <c r="AP127" t="str">
        <f t="shared" si="31"/>
        <v>&gt;3</v>
      </c>
      <c r="AQ127" t="str">
        <f t="shared" si="32"/>
        <v>&gt;3</v>
      </c>
    </row>
    <row r="128" spans="1:43" x14ac:dyDescent="0.3">
      <c r="A128" t="s">
        <v>111</v>
      </c>
      <c r="B128" t="s">
        <v>234</v>
      </c>
      <c r="C128" t="s">
        <v>35</v>
      </c>
      <c r="D128">
        <v>1547</v>
      </c>
      <c r="E128">
        <v>23120009</v>
      </c>
      <c r="F128" t="s">
        <v>235</v>
      </c>
      <c r="G128" t="s">
        <v>236</v>
      </c>
      <c r="H128">
        <v>25</v>
      </c>
      <c r="I128">
        <v>110</v>
      </c>
      <c r="J128">
        <v>2750</v>
      </c>
      <c r="K128" s="7" t="str">
        <f>IFERROR(IF(B128&lt;&gt;"", TEXT(VLOOKUP(B128, 'Expected Date'!A:B, 2, FALSE) + DATE(RIGHT(C128,2),MID(C128,4,2),LEFT(C128,2)), "dd/mm/yy"), ""), "")</f>
        <v>07/05/23</v>
      </c>
      <c r="L128" t="s">
        <v>38</v>
      </c>
      <c r="M128" t="s">
        <v>48</v>
      </c>
      <c r="N128" t="s">
        <v>237</v>
      </c>
      <c r="O128" t="s">
        <v>238</v>
      </c>
      <c r="P128">
        <v>23190184</v>
      </c>
      <c r="Q128" t="s">
        <v>235</v>
      </c>
      <c r="R128" t="s">
        <v>236</v>
      </c>
      <c r="S128">
        <v>25</v>
      </c>
      <c r="T128">
        <v>110</v>
      </c>
      <c r="U128">
        <v>2750</v>
      </c>
      <c r="V128" t="str">
        <f t="shared" si="33"/>
        <v>Hyderabad</v>
      </c>
      <c r="W128" t="str">
        <f>VLOOKUP(B128, Currency!A:B, 2, FALSE)</f>
        <v>INR</v>
      </c>
      <c r="X128" t="str">
        <f t="shared" si="34"/>
        <v>Accepted</v>
      </c>
      <c r="Y128">
        <f>IFERROR(VLOOKUP(N128, Payment_Terms!A:B, 2, FALSE), "Payment term not found!")</f>
        <v>0</v>
      </c>
      <c r="Z128" t="str">
        <f>IFERROR(VLOOKUP(R128, Item_Category!A:B, 2, FALSE), "Uncategorized")</f>
        <v>Calcium salts</v>
      </c>
      <c r="AA128" s="5">
        <f t="shared" si="20"/>
        <v>0</v>
      </c>
      <c r="AB128">
        <f t="shared" si="21"/>
        <v>5</v>
      </c>
      <c r="AC128" s="10">
        <f t="shared" si="22"/>
        <v>-3</v>
      </c>
      <c r="AD128">
        <f t="shared" si="23"/>
        <v>5</v>
      </c>
      <c r="AE128" s="10">
        <f t="shared" si="24"/>
        <v>7</v>
      </c>
      <c r="AF128" s="5">
        <f t="shared" si="17"/>
        <v>1</v>
      </c>
      <c r="AG128" s="5">
        <f t="shared" si="18"/>
        <v>1</v>
      </c>
      <c r="AH128" s="5">
        <f t="shared" si="25"/>
        <v>0</v>
      </c>
      <c r="AI128">
        <f>IF(B128&lt;&gt;"", COUNTIFS($B$2:B128, B128), "")</f>
        <v>1</v>
      </c>
      <c r="AJ128">
        <f t="shared" si="26"/>
        <v>5</v>
      </c>
      <c r="AK128">
        <f t="shared" si="19"/>
        <v>5</v>
      </c>
      <c r="AL128">
        <f t="shared" si="27"/>
        <v>4</v>
      </c>
      <c r="AM128" t="str">
        <f t="shared" si="28"/>
        <v>April</v>
      </c>
      <c r="AN128">
        <f t="shared" si="29"/>
        <v>2023</v>
      </c>
      <c r="AO128" t="str">
        <f t="shared" si="30"/>
        <v>&gt;3</v>
      </c>
      <c r="AP128" t="str">
        <f t="shared" si="31"/>
        <v>&gt;3</v>
      </c>
      <c r="AQ128" t="str">
        <f t="shared" si="32"/>
        <v>&gt;3</v>
      </c>
    </row>
    <row r="129" spans="1:43" x14ac:dyDescent="0.3">
      <c r="A129" t="s">
        <v>33</v>
      </c>
      <c r="B129" t="s">
        <v>51</v>
      </c>
      <c r="C129" t="s">
        <v>169</v>
      </c>
      <c r="D129">
        <v>2154</v>
      </c>
      <c r="E129">
        <v>23120035</v>
      </c>
      <c r="F129" t="s">
        <v>135</v>
      </c>
      <c r="G129" t="s">
        <v>136</v>
      </c>
      <c r="H129">
        <v>164</v>
      </c>
      <c r="I129">
        <v>6732.43</v>
      </c>
      <c r="J129">
        <v>1104118.52</v>
      </c>
      <c r="K129" s="7" t="str">
        <f>IFERROR(IF(B129&lt;&gt;"", TEXT(VLOOKUP(B129, 'Expected Date'!A:B, 2, FALSE) + DATE(RIGHT(C129,2),MID(C129,4,2),LEFT(C129,2)), "dd/mm/yy"), ""), "")</f>
        <v>14/06/23</v>
      </c>
      <c r="L129" t="s">
        <v>38</v>
      </c>
      <c r="M129" t="s">
        <v>48</v>
      </c>
      <c r="N129" t="s">
        <v>55</v>
      </c>
      <c r="O129" t="s">
        <v>239</v>
      </c>
      <c r="P129">
        <v>23190350</v>
      </c>
      <c r="Q129" t="s">
        <v>135</v>
      </c>
      <c r="R129" t="s">
        <v>136</v>
      </c>
      <c r="S129">
        <v>20</v>
      </c>
      <c r="T129">
        <v>6732.43</v>
      </c>
      <c r="U129">
        <v>134648.6</v>
      </c>
      <c r="V129" t="str">
        <f t="shared" si="33"/>
        <v>Hyderabad</v>
      </c>
      <c r="W129" t="str">
        <f>VLOOKUP(B129, Currency!A:B, 2, FALSE)</f>
        <v>INR</v>
      </c>
      <c r="X129" t="str">
        <f t="shared" si="34"/>
        <v>Accepted</v>
      </c>
      <c r="Y129">
        <f>IFERROR(VLOOKUP(N129, Payment_Terms!A:B, 2, FALSE), "Payment term not found!")</f>
        <v>0</v>
      </c>
      <c r="Z129" t="str">
        <f>IFERROR(VLOOKUP(R129, Item_Category!A:B, 2, FALSE), "Uncategorized")</f>
        <v>Coal materials</v>
      </c>
      <c r="AA129" s="5">
        <f t="shared" si="20"/>
        <v>0</v>
      </c>
      <c r="AB129">
        <f t="shared" si="21"/>
        <v>5</v>
      </c>
      <c r="AC129" s="10">
        <f t="shared" si="22"/>
        <v>-21</v>
      </c>
      <c r="AD129">
        <f t="shared" si="23"/>
        <v>5</v>
      </c>
      <c r="AE129" s="10">
        <f t="shared" si="24"/>
        <v>1</v>
      </c>
      <c r="AF129" s="5">
        <f t="shared" si="17"/>
        <v>1</v>
      </c>
      <c r="AG129" s="5">
        <f t="shared" si="18"/>
        <v>1</v>
      </c>
      <c r="AH129" s="5">
        <f t="shared" si="25"/>
        <v>0</v>
      </c>
      <c r="AI129">
        <f>IF(B129&lt;&gt;"", COUNTIFS($B$2:B129, B129), "")</f>
        <v>51</v>
      </c>
      <c r="AJ129">
        <f t="shared" si="26"/>
        <v>5</v>
      </c>
      <c r="AK129">
        <f t="shared" si="19"/>
        <v>5</v>
      </c>
      <c r="AL129">
        <f t="shared" si="27"/>
        <v>5</v>
      </c>
      <c r="AM129" t="str">
        <f t="shared" si="28"/>
        <v>May</v>
      </c>
      <c r="AN129">
        <f t="shared" si="29"/>
        <v>2023</v>
      </c>
      <c r="AO129" t="str">
        <f t="shared" si="30"/>
        <v>&gt;3</v>
      </c>
      <c r="AP129" t="str">
        <f t="shared" si="31"/>
        <v>&gt;3</v>
      </c>
      <c r="AQ129" t="str">
        <f t="shared" si="32"/>
        <v>&gt;3</v>
      </c>
    </row>
    <row r="130" spans="1:43" x14ac:dyDescent="0.3">
      <c r="A130" t="s">
        <v>33</v>
      </c>
      <c r="B130" t="s">
        <v>51</v>
      </c>
      <c r="C130" t="s">
        <v>169</v>
      </c>
      <c r="D130">
        <v>2154</v>
      </c>
      <c r="E130">
        <v>23120035</v>
      </c>
      <c r="F130" t="s">
        <v>135</v>
      </c>
      <c r="G130" t="s">
        <v>136</v>
      </c>
      <c r="H130">
        <v>164</v>
      </c>
      <c r="I130">
        <v>6732.43</v>
      </c>
      <c r="J130">
        <v>1104118.52</v>
      </c>
      <c r="K130" s="7" t="str">
        <f>IFERROR(IF(B130&lt;&gt;"", TEXT(VLOOKUP(B130, 'Expected Date'!A:B, 2, FALSE) + DATE(RIGHT(C130,2),MID(C130,4,2),LEFT(C130,2)), "dd/mm/yy"), ""), "")</f>
        <v>14/06/23</v>
      </c>
      <c r="L130" t="s">
        <v>38</v>
      </c>
      <c r="M130" t="s">
        <v>48</v>
      </c>
      <c r="N130" t="s">
        <v>55</v>
      </c>
      <c r="O130" t="s">
        <v>239</v>
      </c>
      <c r="P130">
        <v>23190351</v>
      </c>
      <c r="Q130" t="s">
        <v>135</v>
      </c>
      <c r="R130" t="s">
        <v>136</v>
      </c>
      <c r="S130">
        <v>20</v>
      </c>
      <c r="T130">
        <v>6732.43</v>
      </c>
      <c r="U130">
        <v>134648.6</v>
      </c>
      <c r="V130" t="str">
        <f t="shared" si="33"/>
        <v>Hyderabad</v>
      </c>
      <c r="W130" t="str">
        <f>VLOOKUP(B130, Currency!A:B, 2, FALSE)</f>
        <v>INR</v>
      </c>
      <c r="X130" t="str">
        <f t="shared" si="34"/>
        <v>Accepted</v>
      </c>
      <c r="Y130">
        <f>IFERROR(VLOOKUP(N130, Payment_Terms!A:B, 2, FALSE), "Payment term not found!")</f>
        <v>0</v>
      </c>
      <c r="Z130" t="str">
        <f>IFERROR(VLOOKUP(R130, Item_Category!A:B, 2, FALSE), "Uncategorized")</f>
        <v>Coal materials</v>
      </c>
      <c r="AA130" s="5">
        <f t="shared" si="20"/>
        <v>0</v>
      </c>
      <c r="AB130">
        <f t="shared" si="21"/>
        <v>5</v>
      </c>
      <c r="AC130" s="10">
        <f t="shared" si="22"/>
        <v>-21</v>
      </c>
      <c r="AD130">
        <f t="shared" si="23"/>
        <v>5</v>
      </c>
      <c r="AE130" s="10">
        <f t="shared" si="24"/>
        <v>1</v>
      </c>
      <c r="AF130" s="5">
        <f t="shared" ref="AF130:AF193" si="35">IF(X130="Accepted",1,0)</f>
        <v>1</v>
      </c>
      <c r="AG130" s="5">
        <f t="shared" ref="AG130:AG193" si="36">ROUNDUP((SUMIFS(S:S, B:B, B130, X:X, "Accepted")/SUMIF(B:B,B130,S:S)),2)</f>
        <v>1</v>
      </c>
      <c r="AH130" s="5">
        <f t="shared" si="25"/>
        <v>0</v>
      </c>
      <c r="AI130">
        <f>IF(B130&lt;&gt;"", COUNTIFS($B$2:B130, B130), "")</f>
        <v>52</v>
      </c>
      <c r="AJ130">
        <f t="shared" si="26"/>
        <v>5</v>
      </c>
      <c r="AK130">
        <f t="shared" ref="AK130:AK193" si="37">_xlfn.CEILING.MATH(((0.4*AJ130)+(0.3*AD130)+(0.3*AB130)),1)</f>
        <v>5</v>
      </c>
      <c r="AL130">
        <f t="shared" si="27"/>
        <v>5</v>
      </c>
      <c r="AM130" t="str">
        <f t="shared" si="28"/>
        <v>May</v>
      </c>
      <c r="AN130">
        <f t="shared" si="29"/>
        <v>2023</v>
      </c>
      <c r="AO130" t="str">
        <f t="shared" si="30"/>
        <v>&gt;3</v>
      </c>
      <c r="AP130" t="str">
        <f t="shared" si="31"/>
        <v>&gt;3</v>
      </c>
      <c r="AQ130" t="str">
        <f t="shared" si="32"/>
        <v>&gt;3</v>
      </c>
    </row>
    <row r="131" spans="1:43" x14ac:dyDescent="0.3">
      <c r="A131" t="s">
        <v>33</v>
      </c>
      <c r="B131" t="s">
        <v>51</v>
      </c>
      <c r="C131" t="s">
        <v>169</v>
      </c>
      <c r="D131">
        <v>2154</v>
      </c>
      <c r="E131">
        <v>23120035</v>
      </c>
      <c r="F131" t="s">
        <v>135</v>
      </c>
      <c r="G131" t="s">
        <v>136</v>
      </c>
      <c r="H131">
        <v>164</v>
      </c>
      <c r="I131">
        <v>6732.43</v>
      </c>
      <c r="J131">
        <v>1104118.52</v>
      </c>
      <c r="K131" s="7" t="str">
        <f>IFERROR(IF(B131&lt;&gt;"", TEXT(VLOOKUP(B131, 'Expected Date'!A:B, 2, FALSE) + DATE(RIGHT(C131,2),MID(C131,4,2),LEFT(C131,2)), "dd/mm/yy"), ""), "")</f>
        <v>14/06/23</v>
      </c>
      <c r="L131" t="s">
        <v>38</v>
      </c>
      <c r="M131" t="s">
        <v>48</v>
      </c>
      <c r="N131" t="s">
        <v>55</v>
      </c>
      <c r="O131" t="s">
        <v>239</v>
      </c>
      <c r="P131">
        <v>23190352</v>
      </c>
      <c r="Q131" t="s">
        <v>135</v>
      </c>
      <c r="R131" t="s">
        <v>136</v>
      </c>
      <c r="S131">
        <v>20</v>
      </c>
      <c r="T131">
        <v>6732.43</v>
      </c>
      <c r="U131">
        <v>134648.6</v>
      </c>
      <c r="V131" t="str">
        <f t="shared" si="33"/>
        <v>Hyderabad</v>
      </c>
      <c r="W131" t="str">
        <f>VLOOKUP(B131, Currency!A:B, 2, FALSE)</f>
        <v>INR</v>
      </c>
      <c r="X131" t="str">
        <f t="shared" si="34"/>
        <v>Accepted</v>
      </c>
      <c r="Y131">
        <f>IFERROR(VLOOKUP(N131, Payment_Terms!A:B, 2, FALSE), "Payment term not found!")</f>
        <v>0</v>
      </c>
      <c r="Z131" t="str">
        <f>IFERROR(VLOOKUP(R131, Item_Category!A:B, 2, FALSE), "Uncategorized")</f>
        <v>Coal materials</v>
      </c>
      <c r="AA131" s="5">
        <f t="shared" ref="AA131:AA194" si="38">IFERROR(IF(AND(E131&lt;&gt;"", G131&lt;&gt;""), MAX(0, (H131-SUMIFS(S:S, E:E, E131, G:G, G131))/H131), ""), (H131-S131)/H131)</f>
        <v>0</v>
      </c>
      <c r="AB131">
        <f t="shared" ref="AB131:AB194" si="39">IF(AA131&lt;=0%,5,(IF(AND(AA131&gt;0%,AA131&lt;=2%),4,IF(AND(AA131&gt;2%,AA131&lt;=5%),3,IF(AND(AA131&gt;5%,AA131&lt;10%),2,1)))))</f>
        <v>5</v>
      </c>
      <c r="AC131" s="10">
        <f t="shared" ref="AC131:AC194" si="40">DATE(RIGHT(O131,2),MID(O131,4,2),LEFT(O131,2)) - DATE(RIGHT(K131,2),MID(K131,4,2),LEFT(K131,2))</f>
        <v>-21</v>
      </c>
      <c r="AD131">
        <f t="shared" ref="AD131:AD194" si="41">IF(AC131 &lt;= 2, 5, IF(AC131 &lt;= 4, 4, IF(AC131 &lt;= 7, 3, IF(AC131&lt;=10,2,1))))</f>
        <v>5</v>
      </c>
      <c r="AE131" s="10">
        <f t="shared" ref="AE131:AE194" si="42">ABS(DATE(RIGHT(O131,2),MID(O131,4,2),LEFT(O131,2)) - DATE(RIGHT(C131,2),MID(C131,4,2),LEFT(C131,2)))</f>
        <v>1</v>
      </c>
      <c r="AF131" s="5">
        <f t="shared" si="35"/>
        <v>1</v>
      </c>
      <c r="AG131" s="5">
        <f t="shared" si="36"/>
        <v>1</v>
      </c>
      <c r="AH131" s="5">
        <f t="shared" ref="AH131:AH194" si="43">ROUNDUP(ABS(100%-AG131),2)</f>
        <v>0</v>
      </c>
      <c r="AI131">
        <f>IF(B131&lt;&gt;"", COUNTIFS($B$2:B131, B131), "")</f>
        <v>53</v>
      </c>
      <c r="AJ131">
        <f t="shared" ref="AJ131:AJ194" si="44">IF(AH131=0%,5,IF(AND(AH131&gt;0%,AH131&lt;=2%),4,IF(AND(AH131&gt;2%,AH131&lt;=5%),3,IF(AND(AH131&gt;5%,AH131&lt;10%),2,1))))</f>
        <v>5</v>
      </c>
      <c r="AK131">
        <f t="shared" si="37"/>
        <v>5</v>
      </c>
      <c r="AL131">
        <f t="shared" ref="AL131:AL194" si="45">MONTH(DATE(RIGHT(C131,2),MID(C131,4,2),LEFT(C131,2)))</f>
        <v>5</v>
      </c>
      <c r="AM131" t="str">
        <f t="shared" ref="AM131:AM194" si="46">TEXT(DATE(RIGHT(C131,2),MID(C131,4,2),LEFT(C131,2)),"mmmm")</f>
        <v>May</v>
      </c>
      <c r="AN131">
        <f t="shared" ref="AN131:AN194" si="47">YEAR(DATE(VALUE(MID(C131,7,2))+2000, MID(C131,4,2), MID(C131,1,2)))</f>
        <v>2023</v>
      </c>
      <c r="AO131" t="str">
        <f t="shared" ref="AO131:AO194" si="48">IF(AJ131&lt;=3,"&lt;=3","&gt;3")</f>
        <v>&gt;3</v>
      </c>
      <c r="AP131" t="str">
        <f t="shared" ref="AP131:AP194" si="49">IF(AB131&lt;=3,"&lt;=3","&gt;3")</f>
        <v>&gt;3</v>
      </c>
      <c r="AQ131" t="str">
        <f t="shared" ref="AQ131:AQ194" si="50">IF(AD131&lt;=3,"&lt;=3","&gt;3")</f>
        <v>&gt;3</v>
      </c>
    </row>
    <row r="132" spans="1:43" x14ac:dyDescent="0.3">
      <c r="A132" t="s">
        <v>33</v>
      </c>
      <c r="B132" t="s">
        <v>200</v>
      </c>
      <c r="C132" t="s">
        <v>108</v>
      </c>
      <c r="D132">
        <v>1807</v>
      </c>
      <c r="E132">
        <v>23120021</v>
      </c>
      <c r="F132" t="s">
        <v>186</v>
      </c>
      <c r="G132" t="s">
        <v>187</v>
      </c>
      <c r="H132">
        <v>4000</v>
      </c>
      <c r="I132">
        <v>126</v>
      </c>
      <c r="J132">
        <v>504000</v>
      </c>
      <c r="K132" s="7" t="str">
        <f>IFERROR(IF(B132&lt;&gt;"", TEXT(VLOOKUP(B132, 'Expected Date'!A:B, 2, FALSE) + DATE(RIGHT(C132,2),MID(C132,4,2),LEFT(C132,2)), "dd/mm/yy"), ""), "")</f>
        <v>20/05/23</v>
      </c>
      <c r="L132" t="s">
        <v>38</v>
      </c>
      <c r="M132" t="s">
        <v>48</v>
      </c>
      <c r="N132" t="s">
        <v>188</v>
      </c>
      <c r="O132" t="s">
        <v>169</v>
      </c>
      <c r="P132">
        <v>23190354</v>
      </c>
      <c r="Q132" t="s">
        <v>186</v>
      </c>
      <c r="R132" t="s">
        <v>187</v>
      </c>
      <c r="S132">
        <v>2000</v>
      </c>
      <c r="T132">
        <v>126</v>
      </c>
      <c r="U132">
        <v>252000</v>
      </c>
      <c r="V132" t="str">
        <f t="shared" ref="V132:V195" si="51">V131</f>
        <v>Hyderabad</v>
      </c>
      <c r="W132" t="str">
        <f>VLOOKUP(B132, Currency!A:B, 2, FALSE)</f>
        <v>INR</v>
      </c>
      <c r="X132" t="str">
        <f t="shared" ref="X132:X195" si="52">X131</f>
        <v>Accepted</v>
      </c>
      <c r="Y132">
        <f>IFERROR(VLOOKUP(N132, Payment_Terms!A:B, 2, FALSE), "Payment term not found!")</f>
        <v>30</v>
      </c>
      <c r="Z132" t="str">
        <f>IFERROR(VLOOKUP(R132, Item_Category!A:B, 2, FALSE), "Uncategorized")</f>
        <v>Liner</v>
      </c>
      <c r="AA132" s="5">
        <f t="shared" si="38"/>
        <v>0</v>
      </c>
      <c r="AB132">
        <f t="shared" si="39"/>
        <v>5</v>
      </c>
      <c r="AC132" s="10">
        <f t="shared" si="40"/>
        <v>5</v>
      </c>
      <c r="AD132">
        <f t="shared" si="41"/>
        <v>3</v>
      </c>
      <c r="AE132" s="10">
        <f t="shared" si="42"/>
        <v>15</v>
      </c>
      <c r="AF132" s="5">
        <f t="shared" si="35"/>
        <v>1</v>
      </c>
      <c r="AG132" s="5">
        <f t="shared" si="36"/>
        <v>1</v>
      </c>
      <c r="AH132" s="5">
        <f t="shared" si="43"/>
        <v>0</v>
      </c>
      <c r="AI132">
        <f>IF(B132&lt;&gt;"", COUNTIFS($B$2:B132, B132), "")</f>
        <v>2</v>
      </c>
      <c r="AJ132">
        <f t="shared" si="44"/>
        <v>5</v>
      </c>
      <c r="AK132">
        <f t="shared" si="37"/>
        <v>5</v>
      </c>
      <c r="AL132">
        <f t="shared" si="45"/>
        <v>5</v>
      </c>
      <c r="AM132" t="str">
        <f t="shared" si="46"/>
        <v>May</v>
      </c>
      <c r="AN132">
        <f t="shared" si="47"/>
        <v>2023</v>
      </c>
      <c r="AO132" t="str">
        <f t="shared" si="48"/>
        <v>&gt;3</v>
      </c>
      <c r="AP132" t="str">
        <f t="shared" si="49"/>
        <v>&gt;3</v>
      </c>
      <c r="AQ132" t="str">
        <f t="shared" si="50"/>
        <v>&lt;=3</v>
      </c>
    </row>
    <row r="133" spans="1:43" x14ac:dyDescent="0.3">
      <c r="A133" t="s">
        <v>33</v>
      </c>
      <c r="B133" t="s">
        <v>34</v>
      </c>
      <c r="C133" t="s">
        <v>117</v>
      </c>
      <c r="D133">
        <v>2900</v>
      </c>
      <c r="E133">
        <v>23120084</v>
      </c>
      <c r="F133" t="s">
        <v>240</v>
      </c>
      <c r="G133" t="s">
        <v>241</v>
      </c>
      <c r="H133">
        <v>5000</v>
      </c>
      <c r="I133">
        <v>33.75</v>
      </c>
      <c r="J133">
        <v>168750</v>
      </c>
      <c r="K133" s="7" t="str">
        <f>IFERROR(IF(B133&lt;&gt;"", TEXT(VLOOKUP(B133, 'Expected Date'!A:B, 2, FALSE) + DATE(RIGHT(C133,2),MID(C133,4,2),LEFT(C133,2)), "dd/mm/yy"), ""), "")</f>
        <v>17/07/23</v>
      </c>
      <c r="L133" t="s">
        <v>38</v>
      </c>
      <c r="M133" t="s">
        <v>39</v>
      </c>
      <c r="N133" t="s">
        <v>40</v>
      </c>
      <c r="O133" t="s">
        <v>203</v>
      </c>
      <c r="P133">
        <v>23190653</v>
      </c>
      <c r="Q133" t="s">
        <v>240</v>
      </c>
      <c r="R133" t="s">
        <v>241</v>
      </c>
      <c r="S133">
        <v>5000</v>
      </c>
      <c r="T133">
        <v>33.75</v>
      </c>
      <c r="U133">
        <v>168750</v>
      </c>
      <c r="V133" t="str">
        <f t="shared" si="51"/>
        <v>Hyderabad</v>
      </c>
      <c r="W133" t="str">
        <f>VLOOKUP(B133, Currency!A:B, 2, FALSE)</f>
        <v>INR</v>
      </c>
      <c r="X133" t="str">
        <f t="shared" si="52"/>
        <v>Accepted</v>
      </c>
      <c r="Y133">
        <f>IFERROR(VLOOKUP(N133, Payment_Terms!A:B, 2, FALSE), "Payment term not found!")</f>
        <v>30</v>
      </c>
      <c r="Z133" t="str">
        <f>IFERROR(VLOOKUP(R133, Item_Category!A:B, 2, FALSE), "Uncategorized")</f>
        <v>Bags</v>
      </c>
      <c r="AA133" s="5">
        <f t="shared" si="38"/>
        <v>0</v>
      </c>
      <c r="AB133">
        <f t="shared" si="39"/>
        <v>5</v>
      </c>
      <c r="AC133" s="10">
        <f t="shared" si="40"/>
        <v>-1</v>
      </c>
      <c r="AD133">
        <f t="shared" si="41"/>
        <v>5</v>
      </c>
      <c r="AE133" s="10">
        <f t="shared" si="42"/>
        <v>9</v>
      </c>
      <c r="AF133" s="5">
        <f t="shared" si="35"/>
        <v>1</v>
      </c>
      <c r="AG133" s="5">
        <f t="shared" si="36"/>
        <v>1</v>
      </c>
      <c r="AH133" s="5">
        <f t="shared" si="43"/>
        <v>0</v>
      </c>
      <c r="AI133">
        <f>IF(B133&lt;&gt;"", COUNTIFS($B$2:B133, B133), "")</f>
        <v>14</v>
      </c>
      <c r="AJ133">
        <f t="shared" si="44"/>
        <v>5</v>
      </c>
      <c r="AK133">
        <f t="shared" si="37"/>
        <v>5</v>
      </c>
      <c r="AL133">
        <f t="shared" si="45"/>
        <v>7</v>
      </c>
      <c r="AM133" t="str">
        <f t="shared" si="46"/>
        <v>July</v>
      </c>
      <c r="AN133">
        <f t="shared" si="47"/>
        <v>2023</v>
      </c>
      <c r="AO133" t="str">
        <f t="shared" si="48"/>
        <v>&gt;3</v>
      </c>
      <c r="AP133" t="str">
        <f t="shared" si="49"/>
        <v>&gt;3</v>
      </c>
      <c r="AQ133" t="str">
        <f t="shared" si="50"/>
        <v>&gt;3</v>
      </c>
    </row>
    <row r="134" spans="1:43" x14ac:dyDescent="0.3">
      <c r="A134" t="s">
        <v>95</v>
      </c>
      <c r="B134" t="s">
        <v>242</v>
      </c>
      <c r="C134" t="s">
        <v>161</v>
      </c>
      <c r="D134">
        <v>2279</v>
      </c>
      <c r="E134">
        <v>23120037</v>
      </c>
      <c r="F134" t="s">
        <v>243</v>
      </c>
      <c r="G134" t="s">
        <v>244</v>
      </c>
      <c r="H134">
        <v>55</v>
      </c>
      <c r="I134">
        <v>780</v>
      </c>
      <c r="J134">
        <v>3498495</v>
      </c>
      <c r="K134" s="7" t="str">
        <f>IFERROR(IF(B134&lt;&gt;"", TEXT(VLOOKUP(B134, 'Expected Date'!A:B, 2, FALSE) + DATE(RIGHT(C134,2),MID(C134,4,2),LEFT(C134,2)), "dd/mm/yy"), ""), "")</f>
        <v>02/08/23</v>
      </c>
      <c r="L134" t="s">
        <v>68</v>
      </c>
      <c r="M134" t="str">
        <f>M47</f>
        <v>MT</v>
      </c>
      <c r="N134" t="s">
        <v>245</v>
      </c>
      <c r="O134" t="s">
        <v>116</v>
      </c>
      <c r="P134">
        <v>23190654</v>
      </c>
      <c r="Q134" t="s">
        <v>243</v>
      </c>
      <c r="R134" t="s">
        <v>244</v>
      </c>
      <c r="S134">
        <v>52.22</v>
      </c>
      <c r="T134">
        <v>780</v>
      </c>
      <c r="U134">
        <v>3321661.98</v>
      </c>
      <c r="V134" t="str">
        <f t="shared" si="51"/>
        <v>Hyderabad</v>
      </c>
      <c r="W134" t="str">
        <f>VLOOKUP(B134, Currency!A:B, 2, FALSE)</f>
        <v>USD</v>
      </c>
      <c r="X134" t="str">
        <f t="shared" si="52"/>
        <v>Accepted</v>
      </c>
      <c r="Y134">
        <f>IFERROR(VLOOKUP(N134, Payment_Terms!A:B, 2, FALSE), "Payment term not found!")</f>
        <v>0</v>
      </c>
      <c r="Z134" t="str">
        <f>IFERROR(VLOOKUP(R134, Item_Category!A:B, 2, FALSE), "Uncategorized")</f>
        <v>Wood pulp</v>
      </c>
      <c r="AA134" s="5">
        <f t="shared" si="38"/>
        <v>5.0545454545454567E-2</v>
      </c>
      <c r="AB134">
        <f t="shared" si="39"/>
        <v>2</v>
      </c>
      <c r="AC134" s="10">
        <f t="shared" si="40"/>
        <v>-15</v>
      </c>
      <c r="AD134">
        <f t="shared" si="41"/>
        <v>5</v>
      </c>
      <c r="AE134" s="10">
        <f t="shared" si="42"/>
        <v>45</v>
      </c>
      <c r="AF134" s="5">
        <f t="shared" si="35"/>
        <v>1</v>
      </c>
      <c r="AG134" s="5">
        <f t="shared" si="36"/>
        <v>1</v>
      </c>
      <c r="AH134" s="5">
        <f t="shared" si="43"/>
        <v>0</v>
      </c>
      <c r="AI134">
        <f>IF(B134&lt;&gt;"", COUNTIFS($B$2:B134, B134), "")</f>
        <v>1</v>
      </c>
      <c r="AJ134">
        <f t="shared" si="44"/>
        <v>5</v>
      </c>
      <c r="AK134">
        <f t="shared" si="37"/>
        <v>5</v>
      </c>
      <c r="AL134">
        <f t="shared" si="45"/>
        <v>6</v>
      </c>
      <c r="AM134" t="str">
        <f t="shared" si="46"/>
        <v>June</v>
      </c>
      <c r="AN134">
        <f t="shared" si="47"/>
        <v>2023</v>
      </c>
      <c r="AO134" t="str">
        <f t="shared" si="48"/>
        <v>&gt;3</v>
      </c>
      <c r="AP134" t="str">
        <f t="shared" si="49"/>
        <v>&lt;=3</v>
      </c>
      <c r="AQ134" t="str">
        <f t="shared" si="50"/>
        <v>&gt;3</v>
      </c>
    </row>
    <row r="135" spans="1:43" x14ac:dyDescent="0.3">
      <c r="A135" t="s">
        <v>33</v>
      </c>
      <c r="B135" t="s">
        <v>185</v>
      </c>
      <c r="C135" t="s">
        <v>226</v>
      </c>
      <c r="D135">
        <v>4293</v>
      </c>
      <c r="E135">
        <v>23120118</v>
      </c>
      <c r="F135" t="s">
        <v>186</v>
      </c>
      <c r="G135" t="s">
        <v>187</v>
      </c>
      <c r="H135">
        <v>2000</v>
      </c>
      <c r="I135">
        <v>124</v>
      </c>
      <c r="J135">
        <v>248000</v>
      </c>
      <c r="K135" s="7" t="str">
        <f>IFERROR(IF(B135&lt;&gt;"", TEXT(VLOOKUP(B135, 'Expected Date'!A:B, 2, FALSE) + DATE(RIGHT(C135,2),MID(C135,4,2),LEFT(C135,2)), "dd/mm/yy"), ""), "")</f>
        <v>21/09/23</v>
      </c>
      <c r="L135" t="s">
        <v>68</v>
      </c>
      <c r="M135" t="s">
        <v>48</v>
      </c>
      <c r="N135" t="s">
        <v>188</v>
      </c>
      <c r="O135" t="s">
        <v>246</v>
      </c>
      <c r="P135">
        <v>23191055</v>
      </c>
      <c r="Q135" t="s">
        <v>186</v>
      </c>
      <c r="R135" t="s">
        <v>187</v>
      </c>
      <c r="S135">
        <v>450</v>
      </c>
      <c r="T135">
        <v>124</v>
      </c>
      <c r="U135">
        <v>55800</v>
      </c>
      <c r="V135" t="str">
        <f t="shared" si="51"/>
        <v>Hyderabad</v>
      </c>
      <c r="W135" t="str">
        <f>VLOOKUP(B135, Currency!A:B, 2, FALSE)</f>
        <v>INR</v>
      </c>
      <c r="X135" t="str">
        <f t="shared" si="52"/>
        <v>Accepted</v>
      </c>
      <c r="Y135">
        <f>IFERROR(VLOOKUP(N135, Payment_Terms!A:B, 2, FALSE), "Payment term not found!")</f>
        <v>30</v>
      </c>
      <c r="Z135" t="str">
        <f>IFERROR(VLOOKUP(R135, Item_Category!A:B, 2, FALSE), "Uncategorized")</f>
        <v>Liner</v>
      </c>
      <c r="AA135" s="5">
        <f t="shared" si="38"/>
        <v>5.4999999999999997E-3</v>
      </c>
      <c r="AB135">
        <f t="shared" si="39"/>
        <v>4</v>
      </c>
      <c r="AC135" s="10">
        <f t="shared" si="40"/>
        <v>-9</v>
      </c>
      <c r="AD135">
        <f t="shared" si="41"/>
        <v>5</v>
      </c>
      <c r="AE135" s="10">
        <f t="shared" si="42"/>
        <v>1</v>
      </c>
      <c r="AF135" s="5">
        <f t="shared" si="35"/>
        <v>1</v>
      </c>
      <c r="AG135" s="5">
        <f t="shared" si="36"/>
        <v>1</v>
      </c>
      <c r="AH135" s="5">
        <f t="shared" si="43"/>
        <v>0</v>
      </c>
      <c r="AI135">
        <f>IF(B135&lt;&gt;"", COUNTIFS($B$2:B135, B135), "")</f>
        <v>3</v>
      </c>
      <c r="AJ135">
        <f t="shared" si="44"/>
        <v>5</v>
      </c>
      <c r="AK135">
        <f t="shared" si="37"/>
        <v>5</v>
      </c>
      <c r="AL135">
        <f t="shared" si="45"/>
        <v>9</v>
      </c>
      <c r="AM135" t="str">
        <f t="shared" si="46"/>
        <v>September</v>
      </c>
      <c r="AN135">
        <f t="shared" si="47"/>
        <v>2023</v>
      </c>
      <c r="AO135" t="str">
        <f t="shared" si="48"/>
        <v>&gt;3</v>
      </c>
      <c r="AP135" t="str">
        <f t="shared" si="49"/>
        <v>&gt;3</v>
      </c>
      <c r="AQ135" t="str">
        <f t="shared" si="50"/>
        <v>&gt;3</v>
      </c>
    </row>
    <row r="136" spans="1:43" x14ac:dyDescent="0.3">
      <c r="A136" t="s">
        <v>33</v>
      </c>
      <c r="B136" t="s">
        <v>64</v>
      </c>
      <c r="C136" t="s">
        <v>105</v>
      </c>
      <c r="D136">
        <v>4033</v>
      </c>
      <c r="E136">
        <v>23120111</v>
      </c>
      <c r="F136" t="s">
        <v>125</v>
      </c>
      <c r="G136" t="s">
        <v>126</v>
      </c>
      <c r="H136">
        <v>4000</v>
      </c>
      <c r="I136">
        <v>22.5</v>
      </c>
      <c r="J136">
        <v>90000</v>
      </c>
      <c r="K136" s="7" t="str">
        <f>IFERROR(IF(B136&lt;&gt;"", TEXT(VLOOKUP(B136, 'Expected Date'!A:B, 2, FALSE) + DATE(RIGHT(C136,2),MID(C136,4,2),LEFT(C136,2)), "dd/mm/yy"), ""), "")</f>
        <v>04/09/23</v>
      </c>
      <c r="L136" t="s">
        <v>68</v>
      </c>
      <c r="M136" t="s">
        <v>39</v>
      </c>
      <c r="N136" t="s">
        <v>69</v>
      </c>
      <c r="O136" t="s">
        <v>206</v>
      </c>
      <c r="P136">
        <v>23191059</v>
      </c>
      <c r="Q136" t="s">
        <v>125</v>
      </c>
      <c r="R136" t="s">
        <v>126</v>
      </c>
      <c r="S136">
        <v>3950</v>
      </c>
      <c r="T136">
        <v>22.5</v>
      </c>
      <c r="U136">
        <v>88875</v>
      </c>
      <c r="V136" t="str">
        <f t="shared" si="51"/>
        <v>Hyderabad</v>
      </c>
      <c r="W136" t="str">
        <f>VLOOKUP(B136, Currency!A:B, 2, FALSE)</f>
        <v>INR</v>
      </c>
      <c r="X136" t="str">
        <f t="shared" si="52"/>
        <v>Accepted</v>
      </c>
      <c r="Y136">
        <f>IFERROR(VLOOKUP(N136, Payment_Terms!A:B, 2, FALSE), "Payment term not found!")</f>
        <v>30</v>
      </c>
      <c r="Z136" t="str">
        <f>IFERROR(VLOOKUP(R136, Item_Category!A:B, 2, FALSE), "Uncategorized")</f>
        <v>Bags</v>
      </c>
      <c r="AA136" s="5">
        <f t="shared" si="38"/>
        <v>1.2500000000000001E-2</v>
      </c>
      <c r="AB136">
        <f t="shared" si="39"/>
        <v>4</v>
      </c>
      <c r="AC136" s="10">
        <f t="shared" si="40"/>
        <v>9</v>
      </c>
      <c r="AD136">
        <f t="shared" si="41"/>
        <v>2</v>
      </c>
      <c r="AE136" s="10">
        <f t="shared" si="42"/>
        <v>19</v>
      </c>
      <c r="AF136" s="5">
        <f t="shared" si="35"/>
        <v>1</v>
      </c>
      <c r="AG136" s="5">
        <f t="shared" si="36"/>
        <v>1</v>
      </c>
      <c r="AH136" s="5">
        <f t="shared" si="43"/>
        <v>0</v>
      </c>
      <c r="AI136">
        <f>IF(B136&lt;&gt;"", COUNTIFS($B$2:B136, B136), "")</f>
        <v>14</v>
      </c>
      <c r="AJ136">
        <f t="shared" si="44"/>
        <v>5</v>
      </c>
      <c r="AK136">
        <f t="shared" si="37"/>
        <v>4</v>
      </c>
      <c r="AL136">
        <f t="shared" si="45"/>
        <v>8</v>
      </c>
      <c r="AM136" t="str">
        <f t="shared" si="46"/>
        <v>August</v>
      </c>
      <c r="AN136">
        <f t="shared" si="47"/>
        <v>2023</v>
      </c>
      <c r="AO136" t="str">
        <f t="shared" si="48"/>
        <v>&gt;3</v>
      </c>
      <c r="AP136" t="str">
        <f t="shared" si="49"/>
        <v>&gt;3</v>
      </c>
      <c r="AQ136" t="str">
        <f t="shared" si="50"/>
        <v>&lt;=3</v>
      </c>
    </row>
    <row r="137" spans="1:43" x14ac:dyDescent="0.3">
      <c r="A137" t="str">
        <f>A110</f>
        <v>Woodpulp</v>
      </c>
      <c r="B137" t="s">
        <v>140</v>
      </c>
      <c r="C137" t="s">
        <v>193</v>
      </c>
      <c r="D137">
        <v>3155</v>
      </c>
      <c r="E137">
        <v>23120090</v>
      </c>
      <c r="F137" t="s">
        <v>142</v>
      </c>
      <c r="G137" t="s">
        <v>360</v>
      </c>
      <c r="H137">
        <v>125</v>
      </c>
      <c r="I137">
        <v>830</v>
      </c>
      <c r="J137">
        <v>8460812.5</v>
      </c>
      <c r="K137" s="7" t="str">
        <f>IFERROR(IF(B137&lt;&gt;"", TEXT(VLOOKUP(B137, 'Expected Date'!A:B, 2, FALSE) + DATE(RIGHT(C137,2),MID(C137,4,2),LEFT(C137,2)), "dd/mm/yy"), ""), "")</f>
        <v>31/08/23</v>
      </c>
      <c r="L137" t="s">
        <v>68</v>
      </c>
      <c r="M137" t="str">
        <f>M47</f>
        <v>MT</v>
      </c>
      <c r="N137" t="s">
        <v>190</v>
      </c>
      <c r="O137" t="s">
        <v>247</v>
      </c>
      <c r="P137">
        <v>23191249</v>
      </c>
      <c r="Q137" t="s">
        <v>142</v>
      </c>
      <c r="R137" t="s">
        <v>360</v>
      </c>
      <c r="S137">
        <v>122.361</v>
      </c>
      <c r="T137">
        <v>830</v>
      </c>
      <c r="U137">
        <v>8358357.5499999998</v>
      </c>
      <c r="V137" t="str">
        <f t="shared" si="51"/>
        <v>Hyderabad</v>
      </c>
      <c r="W137" t="str">
        <f>VLOOKUP(B137, Currency!A:B, 2, FALSE)</f>
        <v>USD</v>
      </c>
      <c r="X137" t="str">
        <f t="shared" si="52"/>
        <v>Accepted</v>
      </c>
      <c r="Y137">
        <f>IFERROR(VLOOKUP(N137, Payment_Terms!A:B, 2, FALSE), "Payment term not found!")</f>
        <v>0</v>
      </c>
      <c r="Z137" t="str">
        <f>IFERROR(VLOOKUP(R137, Item_Category!A:B, 2, FALSE), "Uncategorized")</f>
        <v>Wood pulp</v>
      </c>
      <c r="AA137" s="5">
        <f t="shared" si="38"/>
        <v>2.1111999999999968E-2</v>
      </c>
      <c r="AB137">
        <f t="shared" si="39"/>
        <v>3</v>
      </c>
      <c r="AC137" s="10">
        <f t="shared" si="40"/>
        <v>35</v>
      </c>
      <c r="AD137">
        <f t="shared" si="41"/>
        <v>1</v>
      </c>
      <c r="AE137" s="10">
        <f t="shared" si="42"/>
        <v>80</v>
      </c>
      <c r="AF137" s="5">
        <f t="shared" si="35"/>
        <v>1</v>
      </c>
      <c r="AG137" s="5">
        <f t="shared" si="36"/>
        <v>1</v>
      </c>
      <c r="AH137" s="5">
        <f t="shared" si="43"/>
        <v>0</v>
      </c>
      <c r="AI137">
        <f>IF(B137&lt;&gt;"", COUNTIFS($B$2:B137, B137), "")</f>
        <v>9</v>
      </c>
      <c r="AJ137">
        <f t="shared" si="44"/>
        <v>5</v>
      </c>
      <c r="AK137">
        <f t="shared" si="37"/>
        <v>4</v>
      </c>
      <c r="AL137">
        <f t="shared" si="45"/>
        <v>7</v>
      </c>
      <c r="AM137" t="str">
        <f t="shared" si="46"/>
        <v>July</v>
      </c>
      <c r="AN137">
        <f t="shared" si="47"/>
        <v>2023</v>
      </c>
      <c r="AO137" t="str">
        <f t="shared" si="48"/>
        <v>&gt;3</v>
      </c>
      <c r="AP137" t="str">
        <f t="shared" si="49"/>
        <v>&lt;=3</v>
      </c>
      <c r="AQ137" t="str">
        <f t="shared" si="50"/>
        <v>&lt;=3</v>
      </c>
    </row>
    <row r="138" spans="1:43" x14ac:dyDescent="0.3">
      <c r="A138" t="s">
        <v>33</v>
      </c>
      <c r="B138" t="s">
        <v>73</v>
      </c>
      <c r="C138" t="s">
        <v>108</v>
      </c>
      <c r="D138">
        <v>1808</v>
      </c>
      <c r="E138">
        <v>23120022</v>
      </c>
      <c r="F138" t="s">
        <v>75</v>
      </c>
      <c r="G138" t="s">
        <v>76</v>
      </c>
      <c r="H138">
        <v>1600</v>
      </c>
      <c r="I138">
        <v>900</v>
      </c>
      <c r="J138">
        <v>1440000</v>
      </c>
      <c r="K138" s="7" t="str">
        <f>IFERROR(IF(B138&lt;&gt;"", TEXT(VLOOKUP(B138, 'Expected Date'!A:B, 2, FALSE) + DATE(RIGHT(C138,2),MID(C138,4,2),LEFT(C138,2)), "dd/mm/yy"), ""), "")</f>
        <v>30/05/23</v>
      </c>
      <c r="L138" t="s">
        <v>38</v>
      </c>
      <c r="M138" t="s">
        <v>39</v>
      </c>
      <c r="N138" t="s">
        <v>77</v>
      </c>
      <c r="O138" t="s">
        <v>162</v>
      </c>
      <c r="P138">
        <v>23190517</v>
      </c>
      <c r="Q138" t="s">
        <v>75</v>
      </c>
      <c r="R138" t="s">
        <v>76</v>
      </c>
      <c r="S138">
        <v>400</v>
      </c>
      <c r="T138">
        <v>900</v>
      </c>
      <c r="U138">
        <v>360000</v>
      </c>
      <c r="V138" t="str">
        <f t="shared" si="51"/>
        <v>Hyderabad</v>
      </c>
      <c r="W138" t="str">
        <f>VLOOKUP(B138, Currency!A:B, 2, FALSE)</f>
        <v>INR</v>
      </c>
      <c r="X138" t="str">
        <f t="shared" si="52"/>
        <v>Accepted</v>
      </c>
      <c r="Y138">
        <f>IFERROR(VLOOKUP(N138, Payment_Terms!A:B, 2, FALSE), "Payment term not found!")</f>
        <v>0</v>
      </c>
      <c r="Z138" t="str">
        <f>IFERROR(VLOOKUP(R138, Item_Category!A:B, 2, FALSE), "Uncategorized")</f>
        <v>Pallets</v>
      </c>
      <c r="AA138" s="5">
        <f t="shared" si="38"/>
        <v>0</v>
      </c>
      <c r="AB138">
        <f t="shared" si="39"/>
        <v>5</v>
      </c>
      <c r="AC138" s="10">
        <f t="shared" si="40"/>
        <v>30</v>
      </c>
      <c r="AD138">
        <f t="shared" si="41"/>
        <v>1</v>
      </c>
      <c r="AE138" s="10">
        <f t="shared" si="42"/>
        <v>50</v>
      </c>
      <c r="AF138" s="5">
        <f t="shared" si="35"/>
        <v>1</v>
      </c>
      <c r="AG138" s="5">
        <f t="shared" si="36"/>
        <v>1</v>
      </c>
      <c r="AH138" s="5">
        <f t="shared" si="43"/>
        <v>0</v>
      </c>
      <c r="AI138">
        <f>IF(B138&lt;&gt;"", COUNTIFS($B$2:B138, B138), "")</f>
        <v>7</v>
      </c>
      <c r="AJ138">
        <f t="shared" si="44"/>
        <v>5</v>
      </c>
      <c r="AK138">
        <f t="shared" si="37"/>
        <v>4</v>
      </c>
      <c r="AL138">
        <f t="shared" si="45"/>
        <v>5</v>
      </c>
      <c r="AM138" t="str">
        <f t="shared" si="46"/>
        <v>May</v>
      </c>
      <c r="AN138">
        <f t="shared" si="47"/>
        <v>2023</v>
      </c>
      <c r="AO138" t="str">
        <f t="shared" si="48"/>
        <v>&gt;3</v>
      </c>
      <c r="AP138" t="str">
        <f t="shared" si="49"/>
        <v>&gt;3</v>
      </c>
      <c r="AQ138" t="str">
        <f t="shared" si="50"/>
        <v>&lt;=3</v>
      </c>
    </row>
    <row r="139" spans="1:43" x14ac:dyDescent="0.3">
      <c r="A139" t="s">
        <v>33</v>
      </c>
      <c r="B139" t="s">
        <v>248</v>
      </c>
      <c r="C139" t="s">
        <v>249</v>
      </c>
      <c r="D139">
        <v>2550</v>
      </c>
      <c r="E139">
        <v>23120050</v>
      </c>
      <c r="F139" t="s">
        <v>250</v>
      </c>
      <c r="G139" t="s">
        <v>251</v>
      </c>
      <c r="H139">
        <v>800</v>
      </c>
      <c r="I139">
        <v>390</v>
      </c>
      <c r="J139">
        <v>312000</v>
      </c>
      <c r="K139" s="7" t="str">
        <f>IFERROR(IF(B139&lt;&gt;"", TEXT(VLOOKUP(B139, 'Expected Date'!A:B, 2, FALSE) + DATE(RIGHT(C139,2),MID(C139,4,2),LEFT(C139,2)), "dd/mm/yy"), ""), "")</f>
        <v>01/07/23</v>
      </c>
      <c r="L139" t="s">
        <v>38</v>
      </c>
      <c r="M139" t="s">
        <v>39</v>
      </c>
      <c r="N139" t="s">
        <v>109</v>
      </c>
      <c r="O139" t="s">
        <v>252</v>
      </c>
      <c r="P139">
        <v>23190518</v>
      </c>
      <c r="Q139" t="s">
        <v>250</v>
      </c>
      <c r="R139" t="s">
        <v>251</v>
      </c>
      <c r="S139">
        <v>408</v>
      </c>
      <c r="T139">
        <v>390</v>
      </c>
      <c r="U139">
        <v>159120</v>
      </c>
      <c r="V139" t="str">
        <f t="shared" si="51"/>
        <v>Hyderabad</v>
      </c>
      <c r="W139" t="str">
        <f>VLOOKUP(B139, Currency!A:B, 2, FALSE)</f>
        <v>INR</v>
      </c>
      <c r="X139" t="str">
        <f t="shared" si="52"/>
        <v>Accepted</v>
      </c>
      <c r="Y139">
        <f>IFERROR(VLOOKUP(N139, Payment_Terms!A:B, 2, FALSE), "Payment term not found!")</f>
        <v>0</v>
      </c>
      <c r="Z139" t="str">
        <f>IFERROR(VLOOKUP(R139, Item_Category!A:B, 2, FALSE), "Uncategorized")</f>
        <v>HDPE</v>
      </c>
      <c r="AA139" s="5">
        <f t="shared" si="38"/>
        <v>0</v>
      </c>
      <c r="AB139">
        <f t="shared" si="39"/>
        <v>5</v>
      </c>
      <c r="AC139" s="10">
        <f t="shared" si="40"/>
        <v>-1</v>
      </c>
      <c r="AD139">
        <f t="shared" si="41"/>
        <v>5</v>
      </c>
      <c r="AE139" s="10">
        <f t="shared" si="42"/>
        <v>9</v>
      </c>
      <c r="AF139" s="5">
        <f t="shared" si="35"/>
        <v>1</v>
      </c>
      <c r="AG139" s="5">
        <f t="shared" si="36"/>
        <v>1</v>
      </c>
      <c r="AH139" s="5">
        <f t="shared" si="43"/>
        <v>0</v>
      </c>
      <c r="AI139">
        <f>IF(B139&lt;&gt;"", COUNTIFS($B$2:B139, B139), "")</f>
        <v>1</v>
      </c>
      <c r="AJ139">
        <f t="shared" si="44"/>
        <v>5</v>
      </c>
      <c r="AK139">
        <f t="shared" si="37"/>
        <v>5</v>
      </c>
      <c r="AL139">
        <f t="shared" si="45"/>
        <v>6</v>
      </c>
      <c r="AM139" t="str">
        <f t="shared" si="46"/>
        <v>June</v>
      </c>
      <c r="AN139">
        <f t="shared" si="47"/>
        <v>2023</v>
      </c>
      <c r="AO139" t="str">
        <f t="shared" si="48"/>
        <v>&gt;3</v>
      </c>
      <c r="AP139" t="str">
        <f t="shared" si="49"/>
        <v>&gt;3</v>
      </c>
      <c r="AQ139" t="str">
        <f t="shared" si="50"/>
        <v>&gt;3</v>
      </c>
    </row>
    <row r="140" spans="1:43" x14ac:dyDescent="0.3">
      <c r="A140" t="s">
        <v>33</v>
      </c>
      <c r="B140" t="s">
        <v>157</v>
      </c>
      <c r="C140" t="s">
        <v>194</v>
      </c>
      <c r="D140">
        <v>4637</v>
      </c>
      <c r="E140">
        <v>23120136</v>
      </c>
      <c r="F140" t="s">
        <v>158</v>
      </c>
      <c r="G140" t="s">
        <v>159</v>
      </c>
      <c r="H140">
        <v>2000</v>
      </c>
      <c r="I140">
        <v>265</v>
      </c>
      <c r="J140">
        <v>530000</v>
      </c>
      <c r="K140" s="7" t="str">
        <f>IFERROR(IF(B140&lt;&gt;"", TEXT(VLOOKUP(B140, 'Expected Date'!A:B, 2, FALSE) + DATE(RIGHT(C140,2),MID(C140,4,2),LEFT(C140,2)), "dd/mm/yy"), ""), "")</f>
        <v>06/10/23</v>
      </c>
      <c r="L140" t="s">
        <v>38</v>
      </c>
      <c r="M140" t="s">
        <v>48</v>
      </c>
      <c r="N140" t="s">
        <v>132</v>
      </c>
      <c r="O140" t="s">
        <v>253</v>
      </c>
      <c r="P140">
        <v>23191312</v>
      </c>
      <c r="Q140" t="s">
        <v>158</v>
      </c>
      <c r="R140" t="s">
        <v>159</v>
      </c>
      <c r="S140">
        <v>2000</v>
      </c>
      <c r="T140">
        <v>265</v>
      </c>
      <c r="U140">
        <v>530000</v>
      </c>
      <c r="V140" t="str">
        <f t="shared" si="51"/>
        <v>Hyderabad</v>
      </c>
      <c r="W140" t="str">
        <f>VLOOKUP(B140, Currency!A:B, 2, FALSE)</f>
        <v>INR</v>
      </c>
      <c r="X140" t="str">
        <f t="shared" si="52"/>
        <v>Accepted</v>
      </c>
      <c r="Y140">
        <f>IFERROR(VLOOKUP(N140, Payment_Terms!A:B, 2, FALSE), "Payment term not found!")</f>
        <v>0</v>
      </c>
      <c r="Z140" t="str">
        <f>IFERROR(VLOOKUP(R140, Item_Category!A:B, 2, FALSE), "Uncategorized")</f>
        <v>Sodium salts</v>
      </c>
      <c r="AA140" s="5">
        <f t="shared" si="38"/>
        <v>0</v>
      </c>
      <c r="AB140">
        <f t="shared" si="39"/>
        <v>5</v>
      </c>
      <c r="AC140" s="10">
        <f t="shared" si="40"/>
        <v>4</v>
      </c>
      <c r="AD140">
        <f t="shared" si="41"/>
        <v>4</v>
      </c>
      <c r="AE140" s="10">
        <f t="shared" si="42"/>
        <v>14</v>
      </c>
      <c r="AF140" s="5">
        <f t="shared" si="35"/>
        <v>1</v>
      </c>
      <c r="AG140" s="5">
        <f t="shared" si="36"/>
        <v>1</v>
      </c>
      <c r="AH140" s="5">
        <f t="shared" si="43"/>
        <v>0</v>
      </c>
      <c r="AI140">
        <f>IF(B140&lt;&gt;"", COUNTIFS($B$2:B140, B140), "")</f>
        <v>2</v>
      </c>
      <c r="AJ140">
        <f t="shared" si="44"/>
        <v>5</v>
      </c>
      <c r="AK140">
        <f t="shared" si="37"/>
        <v>5</v>
      </c>
      <c r="AL140">
        <f t="shared" si="45"/>
        <v>9</v>
      </c>
      <c r="AM140" t="str">
        <f t="shared" si="46"/>
        <v>September</v>
      </c>
      <c r="AN140">
        <f t="shared" si="47"/>
        <v>2023</v>
      </c>
      <c r="AO140" t="str">
        <f t="shared" si="48"/>
        <v>&gt;3</v>
      </c>
      <c r="AP140" t="str">
        <f t="shared" si="49"/>
        <v>&gt;3</v>
      </c>
      <c r="AQ140" t="str">
        <f t="shared" si="50"/>
        <v>&gt;3</v>
      </c>
    </row>
    <row r="141" spans="1:43" x14ac:dyDescent="0.3">
      <c r="A141" t="s">
        <v>33</v>
      </c>
      <c r="B141" t="s">
        <v>64</v>
      </c>
      <c r="C141" t="s">
        <v>228</v>
      </c>
      <c r="D141">
        <v>4548</v>
      </c>
      <c r="E141">
        <v>23120125</v>
      </c>
      <c r="F141" t="s">
        <v>218</v>
      </c>
      <c r="G141" t="s">
        <v>219</v>
      </c>
      <c r="H141">
        <v>2000</v>
      </c>
      <c r="I141">
        <v>22.5</v>
      </c>
      <c r="J141">
        <v>45000</v>
      </c>
      <c r="K141" s="7" t="str">
        <f>IFERROR(IF(B141&lt;&gt;"", TEXT(VLOOKUP(B141, 'Expected Date'!A:B, 2, FALSE) + DATE(RIGHT(C141,2),MID(C141,4,2),LEFT(C141,2)), "dd/mm/yy"), ""), "")</f>
        <v>02/10/23</v>
      </c>
      <c r="L141" t="s">
        <v>38</v>
      </c>
      <c r="M141" t="s">
        <v>39</v>
      </c>
      <c r="N141" t="s">
        <v>69</v>
      </c>
      <c r="O141" t="s">
        <v>254</v>
      </c>
      <c r="P141">
        <v>23191316</v>
      </c>
      <c r="Q141" t="s">
        <v>218</v>
      </c>
      <c r="R141" t="s">
        <v>219</v>
      </c>
      <c r="S141">
        <v>2000</v>
      </c>
      <c r="T141">
        <v>22.5</v>
      </c>
      <c r="U141">
        <v>45000</v>
      </c>
      <c r="V141" t="str">
        <f t="shared" si="51"/>
        <v>Hyderabad</v>
      </c>
      <c r="W141" t="str">
        <f>VLOOKUP(B141, Currency!A:B, 2, FALSE)</f>
        <v>INR</v>
      </c>
      <c r="X141" t="str">
        <f t="shared" si="52"/>
        <v>Accepted</v>
      </c>
      <c r="Y141">
        <f>IFERROR(VLOOKUP(N141, Payment_Terms!A:B, 2, FALSE), "Payment term not found!")</f>
        <v>30</v>
      </c>
      <c r="Z141" t="str">
        <f>IFERROR(VLOOKUP(R141, Item_Category!A:B, 2, FALSE), "Uncategorized")</f>
        <v>Bags</v>
      </c>
      <c r="AA141" s="5">
        <f t="shared" si="38"/>
        <v>0</v>
      </c>
      <c r="AB141">
        <f t="shared" si="39"/>
        <v>5</v>
      </c>
      <c r="AC141" s="10">
        <f t="shared" si="40"/>
        <v>12</v>
      </c>
      <c r="AD141">
        <f t="shared" si="41"/>
        <v>1</v>
      </c>
      <c r="AE141" s="10">
        <f t="shared" si="42"/>
        <v>22</v>
      </c>
      <c r="AF141" s="5">
        <f t="shared" si="35"/>
        <v>1</v>
      </c>
      <c r="AG141" s="5">
        <f t="shared" si="36"/>
        <v>1</v>
      </c>
      <c r="AH141" s="5">
        <f t="shared" si="43"/>
        <v>0</v>
      </c>
      <c r="AI141">
        <f>IF(B141&lt;&gt;"", COUNTIFS($B$2:B141, B141), "")</f>
        <v>15</v>
      </c>
      <c r="AJ141">
        <f t="shared" si="44"/>
        <v>5</v>
      </c>
      <c r="AK141">
        <f t="shared" si="37"/>
        <v>4</v>
      </c>
      <c r="AL141">
        <f t="shared" si="45"/>
        <v>9</v>
      </c>
      <c r="AM141" t="str">
        <f t="shared" si="46"/>
        <v>September</v>
      </c>
      <c r="AN141">
        <f t="shared" si="47"/>
        <v>2023</v>
      </c>
      <c r="AO141" t="str">
        <f t="shared" si="48"/>
        <v>&gt;3</v>
      </c>
      <c r="AP141" t="str">
        <f t="shared" si="49"/>
        <v>&gt;3</v>
      </c>
      <c r="AQ141" t="str">
        <f t="shared" si="50"/>
        <v>&lt;=3</v>
      </c>
    </row>
    <row r="142" spans="1:43" x14ac:dyDescent="0.3">
      <c r="A142" t="s">
        <v>33</v>
      </c>
      <c r="B142" t="s">
        <v>64</v>
      </c>
      <c r="C142" t="s">
        <v>228</v>
      </c>
      <c r="D142">
        <v>4548</v>
      </c>
      <c r="E142">
        <v>23120125</v>
      </c>
      <c r="F142" t="s">
        <v>66</v>
      </c>
      <c r="G142" t="s">
        <v>67</v>
      </c>
      <c r="H142">
        <v>4000</v>
      </c>
      <c r="I142">
        <v>22.5</v>
      </c>
      <c r="J142">
        <v>90000</v>
      </c>
      <c r="K142" s="7" t="str">
        <f>IFERROR(IF(B142&lt;&gt;"", TEXT(VLOOKUP(B142, 'Expected Date'!A:B, 2, FALSE) + DATE(RIGHT(C142,2),MID(C142,4,2),LEFT(C142,2)), "dd/mm/yy"), ""), "")</f>
        <v>02/10/23</v>
      </c>
      <c r="L142" t="s">
        <v>38</v>
      </c>
      <c r="M142" t="s">
        <v>39</v>
      </c>
      <c r="N142" t="s">
        <v>69</v>
      </c>
      <c r="O142" t="s">
        <v>254</v>
      </c>
      <c r="P142">
        <v>23191316</v>
      </c>
      <c r="Q142" t="s">
        <v>66</v>
      </c>
      <c r="R142" t="s">
        <v>67</v>
      </c>
      <c r="S142">
        <v>4450</v>
      </c>
      <c r="T142">
        <v>22.5</v>
      </c>
      <c r="U142">
        <v>100125</v>
      </c>
      <c r="V142" t="str">
        <f t="shared" si="51"/>
        <v>Hyderabad</v>
      </c>
      <c r="W142" t="str">
        <f>VLOOKUP(B142, Currency!A:B, 2, FALSE)</f>
        <v>INR</v>
      </c>
      <c r="X142" t="str">
        <f t="shared" si="52"/>
        <v>Accepted</v>
      </c>
      <c r="Y142">
        <f>IFERROR(VLOOKUP(N142, Payment_Terms!A:B, 2, FALSE), "Payment term not found!")</f>
        <v>30</v>
      </c>
      <c r="Z142" t="str">
        <f>IFERROR(VLOOKUP(R142, Item_Category!A:B, 2, FALSE), "Uncategorized")</f>
        <v>Bags</v>
      </c>
      <c r="AA142" s="5">
        <f t="shared" si="38"/>
        <v>0</v>
      </c>
      <c r="AB142">
        <f t="shared" si="39"/>
        <v>5</v>
      </c>
      <c r="AC142" s="10">
        <f t="shared" si="40"/>
        <v>12</v>
      </c>
      <c r="AD142">
        <f t="shared" si="41"/>
        <v>1</v>
      </c>
      <c r="AE142" s="10">
        <f t="shared" si="42"/>
        <v>22</v>
      </c>
      <c r="AF142" s="5">
        <f t="shared" si="35"/>
        <v>1</v>
      </c>
      <c r="AG142" s="5">
        <f t="shared" si="36"/>
        <v>1</v>
      </c>
      <c r="AH142" s="5">
        <f t="shared" si="43"/>
        <v>0</v>
      </c>
      <c r="AI142">
        <f>IF(B142&lt;&gt;"", COUNTIFS($B$2:B142, B142), "")</f>
        <v>16</v>
      </c>
      <c r="AJ142">
        <f t="shared" si="44"/>
        <v>5</v>
      </c>
      <c r="AK142">
        <f t="shared" si="37"/>
        <v>4</v>
      </c>
      <c r="AL142">
        <f t="shared" si="45"/>
        <v>9</v>
      </c>
      <c r="AM142" t="str">
        <f t="shared" si="46"/>
        <v>September</v>
      </c>
      <c r="AN142">
        <f t="shared" si="47"/>
        <v>2023</v>
      </c>
      <c r="AO142" t="str">
        <f t="shared" si="48"/>
        <v>&gt;3</v>
      </c>
      <c r="AP142" t="str">
        <f t="shared" si="49"/>
        <v>&gt;3</v>
      </c>
      <c r="AQ142" t="str">
        <f t="shared" si="50"/>
        <v>&lt;=3</v>
      </c>
    </row>
    <row r="143" spans="1:43" x14ac:dyDescent="0.3">
      <c r="A143" t="s">
        <v>33</v>
      </c>
      <c r="B143" t="s">
        <v>107</v>
      </c>
      <c r="C143" t="s">
        <v>231</v>
      </c>
      <c r="D143">
        <v>2383</v>
      </c>
      <c r="E143">
        <v>23120042</v>
      </c>
      <c r="F143" t="s">
        <v>255</v>
      </c>
      <c r="G143" t="s">
        <v>256</v>
      </c>
      <c r="H143">
        <v>5000</v>
      </c>
      <c r="I143">
        <v>33.799999999999997</v>
      </c>
      <c r="J143">
        <v>169000</v>
      </c>
      <c r="K143" s="7" t="str">
        <f>IFERROR(IF(B143&lt;&gt;"", TEXT(VLOOKUP(B143, 'Expected Date'!A:B, 2, FALSE) + DATE(RIGHT(C143,2),MID(C143,4,2),LEFT(C143,2)), "dd/mm/yy"), ""), "")</f>
        <v>19/06/23</v>
      </c>
      <c r="L143" t="s">
        <v>38</v>
      </c>
      <c r="M143" t="s">
        <v>39</v>
      </c>
      <c r="N143" t="s">
        <v>109</v>
      </c>
      <c r="O143" t="s">
        <v>257</v>
      </c>
      <c r="P143">
        <v>23190503</v>
      </c>
      <c r="Q143" t="s">
        <v>255</v>
      </c>
      <c r="R143" t="s">
        <v>256</v>
      </c>
      <c r="S143">
        <v>2250</v>
      </c>
      <c r="T143">
        <v>33.799999999999997</v>
      </c>
      <c r="U143">
        <v>76050</v>
      </c>
      <c r="V143" t="str">
        <f t="shared" si="51"/>
        <v>Hyderabad</v>
      </c>
      <c r="W143" t="str">
        <f>VLOOKUP(B143, Currency!A:B, 2, FALSE)</f>
        <v>INR</v>
      </c>
      <c r="X143" t="str">
        <f t="shared" si="52"/>
        <v>Accepted</v>
      </c>
      <c r="Y143">
        <f>IFERROR(VLOOKUP(N143, Payment_Terms!A:B, 2, FALSE), "Payment term not found!")</f>
        <v>0</v>
      </c>
      <c r="Z143" t="str">
        <f>IFERROR(VLOOKUP(R143, Item_Category!A:B, 2, FALSE), "Uncategorized")</f>
        <v>Bags</v>
      </c>
      <c r="AA143" s="5">
        <f t="shared" si="38"/>
        <v>0</v>
      </c>
      <c r="AB143">
        <f t="shared" si="39"/>
        <v>5</v>
      </c>
      <c r="AC143" s="10">
        <f t="shared" si="40"/>
        <v>8</v>
      </c>
      <c r="AD143">
        <f t="shared" si="41"/>
        <v>2</v>
      </c>
      <c r="AE143" s="10">
        <f t="shared" si="42"/>
        <v>18</v>
      </c>
      <c r="AF143" s="5">
        <f t="shared" si="35"/>
        <v>1</v>
      </c>
      <c r="AG143" s="5">
        <f t="shared" si="36"/>
        <v>1</v>
      </c>
      <c r="AH143" s="5">
        <f t="shared" si="43"/>
        <v>0</v>
      </c>
      <c r="AI143">
        <f>IF(B143&lt;&gt;"", COUNTIFS($B$2:B143, B143), "")</f>
        <v>8</v>
      </c>
      <c r="AJ143">
        <f t="shared" si="44"/>
        <v>5</v>
      </c>
      <c r="AK143">
        <f t="shared" si="37"/>
        <v>5</v>
      </c>
      <c r="AL143">
        <f t="shared" si="45"/>
        <v>6</v>
      </c>
      <c r="AM143" t="str">
        <f t="shared" si="46"/>
        <v>June</v>
      </c>
      <c r="AN143">
        <f t="shared" si="47"/>
        <v>2023</v>
      </c>
      <c r="AO143" t="str">
        <f t="shared" si="48"/>
        <v>&gt;3</v>
      </c>
      <c r="AP143" t="str">
        <f t="shared" si="49"/>
        <v>&gt;3</v>
      </c>
      <c r="AQ143" t="str">
        <f t="shared" si="50"/>
        <v>&lt;=3</v>
      </c>
    </row>
    <row r="144" spans="1:43" x14ac:dyDescent="0.3">
      <c r="A144" t="s">
        <v>33</v>
      </c>
      <c r="B144" t="s">
        <v>107</v>
      </c>
      <c r="C144" t="s">
        <v>231</v>
      </c>
      <c r="D144">
        <v>2383</v>
      </c>
      <c r="E144">
        <v>23120042</v>
      </c>
      <c r="F144" t="s">
        <v>255</v>
      </c>
      <c r="G144" t="s">
        <v>256</v>
      </c>
      <c r="H144">
        <v>5000</v>
      </c>
      <c r="I144">
        <v>33.799999999999997</v>
      </c>
      <c r="J144">
        <v>169000</v>
      </c>
      <c r="K144" s="7" t="str">
        <f>IFERROR(IF(B144&lt;&gt;"", TEXT(VLOOKUP(B144, 'Expected Date'!A:B, 2, FALSE) + DATE(RIGHT(C144,2),MID(C144,4,2),LEFT(C144,2)), "dd/mm/yy"), ""), "")</f>
        <v>19/06/23</v>
      </c>
      <c r="L144" t="s">
        <v>38</v>
      </c>
      <c r="M144" t="s">
        <v>39</v>
      </c>
      <c r="N144" t="s">
        <v>109</v>
      </c>
      <c r="O144" t="s">
        <v>257</v>
      </c>
      <c r="P144">
        <v>23190504</v>
      </c>
      <c r="Q144" t="s">
        <v>255</v>
      </c>
      <c r="R144" t="s">
        <v>256</v>
      </c>
      <c r="S144">
        <v>2842</v>
      </c>
      <c r="T144">
        <v>33.799999999999997</v>
      </c>
      <c r="U144">
        <v>96059.6</v>
      </c>
      <c r="V144" t="str">
        <f t="shared" si="51"/>
        <v>Hyderabad</v>
      </c>
      <c r="W144" t="str">
        <f>VLOOKUP(B144, Currency!A:B, 2, FALSE)</f>
        <v>INR</v>
      </c>
      <c r="X144" t="str">
        <f t="shared" si="52"/>
        <v>Accepted</v>
      </c>
      <c r="Y144">
        <f>IFERROR(VLOOKUP(N144, Payment_Terms!A:B, 2, FALSE), "Payment term not found!")</f>
        <v>0</v>
      </c>
      <c r="Z144" t="str">
        <f>IFERROR(VLOOKUP(R144, Item_Category!A:B, 2, FALSE), "Uncategorized")</f>
        <v>Bags</v>
      </c>
      <c r="AA144" s="5">
        <f t="shared" si="38"/>
        <v>0</v>
      </c>
      <c r="AB144">
        <f t="shared" si="39"/>
        <v>5</v>
      </c>
      <c r="AC144" s="10">
        <f t="shared" si="40"/>
        <v>8</v>
      </c>
      <c r="AD144">
        <f t="shared" si="41"/>
        <v>2</v>
      </c>
      <c r="AE144" s="10">
        <f t="shared" si="42"/>
        <v>18</v>
      </c>
      <c r="AF144" s="5">
        <f t="shared" si="35"/>
        <v>1</v>
      </c>
      <c r="AG144" s="5">
        <f t="shared" si="36"/>
        <v>1</v>
      </c>
      <c r="AH144" s="5">
        <f t="shared" si="43"/>
        <v>0</v>
      </c>
      <c r="AI144">
        <f>IF(B144&lt;&gt;"", COUNTIFS($B$2:B144, B144), "")</f>
        <v>9</v>
      </c>
      <c r="AJ144">
        <f t="shared" si="44"/>
        <v>5</v>
      </c>
      <c r="AK144">
        <f t="shared" si="37"/>
        <v>5</v>
      </c>
      <c r="AL144">
        <f t="shared" si="45"/>
        <v>6</v>
      </c>
      <c r="AM144" t="str">
        <f t="shared" si="46"/>
        <v>June</v>
      </c>
      <c r="AN144">
        <f t="shared" si="47"/>
        <v>2023</v>
      </c>
      <c r="AO144" t="str">
        <f t="shared" si="48"/>
        <v>&gt;3</v>
      </c>
      <c r="AP144" t="str">
        <f t="shared" si="49"/>
        <v>&gt;3</v>
      </c>
      <c r="AQ144" t="str">
        <f t="shared" si="50"/>
        <v>&lt;=3</v>
      </c>
    </row>
    <row r="145" spans="1:43" x14ac:dyDescent="0.3">
      <c r="A145" t="str">
        <f>A31</f>
        <v>Woodpulp</v>
      </c>
      <c r="B145" t="s">
        <v>96</v>
      </c>
      <c r="C145" t="s">
        <v>97</v>
      </c>
      <c r="D145">
        <v>1230</v>
      </c>
      <c r="E145">
        <v>23120002</v>
      </c>
      <c r="F145" t="s">
        <v>98</v>
      </c>
      <c r="G145" t="s">
        <v>99</v>
      </c>
      <c r="H145">
        <v>75</v>
      </c>
      <c r="I145">
        <v>820</v>
      </c>
      <c r="J145">
        <v>4987650</v>
      </c>
      <c r="K145" s="7" t="str">
        <f>IFERROR(IF(B145&lt;&gt;"", TEXT(VLOOKUP(B145, 'Expected Date'!A:B, 2, FALSE) + DATE(RIGHT(C145,2),MID(C145,4,2),LEFT(C145,2)), "dd/mm/yy"), ""), "")</f>
        <v>10/06/23</v>
      </c>
      <c r="L145" t="s">
        <v>38</v>
      </c>
      <c r="M145" t="str">
        <f>M47</f>
        <v>MT</v>
      </c>
      <c r="N145" t="s">
        <v>102</v>
      </c>
      <c r="O145" t="s">
        <v>227</v>
      </c>
      <c r="P145">
        <v>23190723</v>
      </c>
      <c r="Q145" t="s">
        <v>98</v>
      </c>
      <c r="R145" t="s">
        <v>99</v>
      </c>
      <c r="S145">
        <v>77.429000000000002</v>
      </c>
      <c r="T145">
        <v>820</v>
      </c>
      <c r="U145">
        <v>5155532.54</v>
      </c>
      <c r="V145" t="str">
        <f t="shared" si="51"/>
        <v>Hyderabad</v>
      </c>
      <c r="W145" t="str">
        <f>VLOOKUP(B145, Currency!A:B, 2, FALSE)</f>
        <v>USD</v>
      </c>
      <c r="X145" t="str">
        <f t="shared" si="52"/>
        <v>Accepted</v>
      </c>
      <c r="Y145">
        <f>IFERROR(VLOOKUP(N145, Payment_Terms!A:B, 2, FALSE), "Payment term not found!")</f>
        <v>60</v>
      </c>
      <c r="Z145" t="str">
        <f>IFERROR(VLOOKUP(R145, Item_Category!A:B, 2, FALSE), "Uncategorized")</f>
        <v>Wood pulp</v>
      </c>
      <c r="AA145" s="5">
        <f t="shared" si="38"/>
        <v>0</v>
      </c>
      <c r="AB145">
        <f t="shared" si="39"/>
        <v>5</v>
      </c>
      <c r="AC145" s="10">
        <f t="shared" si="40"/>
        <v>45</v>
      </c>
      <c r="AD145">
        <f t="shared" si="41"/>
        <v>1</v>
      </c>
      <c r="AE145" s="10">
        <f t="shared" si="42"/>
        <v>105</v>
      </c>
      <c r="AF145" s="5">
        <f t="shared" si="35"/>
        <v>1</v>
      </c>
      <c r="AG145" s="5">
        <f t="shared" si="36"/>
        <v>1</v>
      </c>
      <c r="AH145" s="5">
        <f t="shared" si="43"/>
        <v>0</v>
      </c>
      <c r="AI145">
        <f>IF(B145&lt;&gt;"", COUNTIFS($B$2:B145, B145), "")</f>
        <v>2</v>
      </c>
      <c r="AJ145">
        <f t="shared" si="44"/>
        <v>5</v>
      </c>
      <c r="AK145">
        <f t="shared" si="37"/>
        <v>4</v>
      </c>
      <c r="AL145">
        <f t="shared" si="45"/>
        <v>4</v>
      </c>
      <c r="AM145" t="str">
        <f t="shared" si="46"/>
        <v>April</v>
      </c>
      <c r="AN145">
        <f t="shared" si="47"/>
        <v>2023</v>
      </c>
      <c r="AO145" t="str">
        <f t="shared" si="48"/>
        <v>&gt;3</v>
      </c>
      <c r="AP145" t="str">
        <f t="shared" si="49"/>
        <v>&gt;3</v>
      </c>
      <c r="AQ145" t="str">
        <f t="shared" si="50"/>
        <v>&lt;=3</v>
      </c>
    </row>
    <row r="146" spans="1:43" x14ac:dyDescent="0.3">
      <c r="A146" t="s">
        <v>111</v>
      </c>
      <c r="B146" t="s">
        <v>258</v>
      </c>
      <c r="C146" t="s">
        <v>41</v>
      </c>
      <c r="D146">
        <v>1619</v>
      </c>
      <c r="E146">
        <v>23120013</v>
      </c>
      <c r="F146" t="s">
        <v>259</v>
      </c>
      <c r="G146" t="s">
        <v>260</v>
      </c>
      <c r="H146">
        <v>6850</v>
      </c>
      <c r="I146">
        <v>105</v>
      </c>
      <c r="J146">
        <v>719250</v>
      </c>
      <c r="K146" s="7" t="str">
        <f>IFERROR(IF(B146&lt;&gt;"", TEXT(VLOOKUP(B146, 'Expected Date'!A:B, 2, FALSE) + DATE(RIGHT(C146,2),MID(C146,4,2),LEFT(C146,2)), "dd/mm/yy"), ""), "")</f>
        <v>09/05/23</v>
      </c>
      <c r="L146" t="s">
        <v>38</v>
      </c>
      <c r="M146" t="s">
        <v>48</v>
      </c>
      <c r="N146" t="s">
        <v>261</v>
      </c>
      <c r="O146" t="s">
        <v>41</v>
      </c>
      <c r="P146">
        <v>23190115</v>
      </c>
      <c r="Q146" t="s">
        <v>259</v>
      </c>
      <c r="R146" t="s">
        <v>260</v>
      </c>
      <c r="S146">
        <v>3850</v>
      </c>
      <c r="T146">
        <v>105</v>
      </c>
      <c r="U146">
        <v>404250</v>
      </c>
      <c r="V146" t="str">
        <f t="shared" si="51"/>
        <v>Hyderabad</v>
      </c>
      <c r="W146" t="str">
        <f>VLOOKUP(B146, Currency!A:B, 2, FALSE)</f>
        <v>INR</v>
      </c>
      <c r="X146" t="str">
        <f t="shared" si="52"/>
        <v>Accepted</v>
      </c>
      <c r="Y146">
        <f>IFERROR(VLOOKUP(N146, Payment_Terms!A:B, 2, FALSE), "Payment term not found!")</f>
        <v>30</v>
      </c>
      <c r="Z146" t="str">
        <f>IFERROR(VLOOKUP(R146, Item_Category!A:B, 2, FALSE), "Uncategorized")</f>
        <v>SSG - Maize</v>
      </c>
      <c r="AA146" s="5">
        <f t="shared" si="38"/>
        <v>0</v>
      </c>
      <c r="AB146">
        <f t="shared" si="39"/>
        <v>5</v>
      </c>
      <c r="AC146" s="10">
        <f t="shared" si="40"/>
        <v>-10</v>
      </c>
      <c r="AD146">
        <f t="shared" si="41"/>
        <v>5</v>
      </c>
      <c r="AE146" s="10">
        <f t="shared" si="42"/>
        <v>0</v>
      </c>
      <c r="AF146" s="5">
        <f t="shared" si="35"/>
        <v>1</v>
      </c>
      <c r="AG146" s="5">
        <f t="shared" si="36"/>
        <v>1</v>
      </c>
      <c r="AH146" s="5">
        <f t="shared" si="43"/>
        <v>0</v>
      </c>
      <c r="AI146">
        <f>IF(B146&lt;&gt;"", COUNTIFS($B$2:B146, B146), "")</f>
        <v>1</v>
      </c>
      <c r="AJ146">
        <f t="shared" si="44"/>
        <v>5</v>
      </c>
      <c r="AK146">
        <f t="shared" si="37"/>
        <v>5</v>
      </c>
      <c r="AL146">
        <f t="shared" si="45"/>
        <v>4</v>
      </c>
      <c r="AM146" t="str">
        <f t="shared" si="46"/>
        <v>April</v>
      </c>
      <c r="AN146">
        <f t="shared" si="47"/>
        <v>2023</v>
      </c>
      <c r="AO146" t="str">
        <f t="shared" si="48"/>
        <v>&gt;3</v>
      </c>
      <c r="AP146" t="str">
        <f t="shared" si="49"/>
        <v>&gt;3</v>
      </c>
      <c r="AQ146" t="str">
        <f t="shared" si="50"/>
        <v>&gt;3</v>
      </c>
    </row>
    <row r="147" spans="1:43" x14ac:dyDescent="0.3">
      <c r="A147" t="s">
        <v>111</v>
      </c>
      <c r="B147" t="s">
        <v>258</v>
      </c>
      <c r="C147" t="s">
        <v>41</v>
      </c>
      <c r="D147">
        <v>1619</v>
      </c>
      <c r="E147">
        <v>23120013</v>
      </c>
      <c r="F147" t="s">
        <v>259</v>
      </c>
      <c r="G147" t="s">
        <v>260</v>
      </c>
      <c r="H147">
        <v>6850</v>
      </c>
      <c r="I147">
        <v>105</v>
      </c>
      <c r="J147">
        <v>719250</v>
      </c>
      <c r="K147" s="7" t="str">
        <f>IFERROR(IF(B147&lt;&gt;"", TEXT(VLOOKUP(B147, 'Expected Date'!A:B, 2, FALSE) + DATE(RIGHT(C147,2),MID(C147,4,2),LEFT(C147,2)), "dd/mm/yy"), ""), "")</f>
        <v>09/05/23</v>
      </c>
      <c r="L147" t="s">
        <v>38</v>
      </c>
      <c r="M147" t="s">
        <v>48</v>
      </c>
      <c r="N147" t="s">
        <v>261</v>
      </c>
      <c r="O147" t="s">
        <v>41</v>
      </c>
      <c r="P147">
        <v>23190116</v>
      </c>
      <c r="Q147" t="s">
        <v>259</v>
      </c>
      <c r="R147" t="s">
        <v>260</v>
      </c>
      <c r="S147">
        <v>3000</v>
      </c>
      <c r="T147">
        <v>105</v>
      </c>
      <c r="U147">
        <v>315000</v>
      </c>
      <c r="V147" t="str">
        <f t="shared" si="51"/>
        <v>Hyderabad</v>
      </c>
      <c r="W147" t="str">
        <f>VLOOKUP(B147, Currency!A:B, 2, FALSE)</f>
        <v>INR</v>
      </c>
      <c r="X147" t="str">
        <f t="shared" si="52"/>
        <v>Accepted</v>
      </c>
      <c r="Y147">
        <f>IFERROR(VLOOKUP(N147, Payment_Terms!A:B, 2, FALSE), "Payment term not found!")</f>
        <v>30</v>
      </c>
      <c r="Z147" t="str">
        <f>IFERROR(VLOOKUP(R147, Item_Category!A:B, 2, FALSE), "Uncategorized")</f>
        <v>SSG - Maize</v>
      </c>
      <c r="AA147" s="5">
        <f t="shared" si="38"/>
        <v>0</v>
      </c>
      <c r="AB147">
        <f t="shared" si="39"/>
        <v>5</v>
      </c>
      <c r="AC147" s="10">
        <f t="shared" si="40"/>
        <v>-10</v>
      </c>
      <c r="AD147">
        <f t="shared" si="41"/>
        <v>5</v>
      </c>
      <c r="AE147" s="10">
        <f t="shared" si="42"/>
        <v>0</v>
      </c>
      <c r="AF147" s="5">
        <f t="shared" si="35"/>
        <v>1</v>
      </c>
      <c r="AG147" s="5">
        <f t="shared" si="36"/>
        <v>1</v>
      </c>
      <c r="AH147" s="5">
        <f t="shared" si="43"/>
        <v>0</v>
      </c>
      <c r="AI147">
        <f>IF(B147&lt;&gt;"", COUNTIFS($B$2:B147, B147), "")</f>
        <v>2</v>
      </c>
      <c r="AJ147">
        <f t="shared" si="44"/>
        <v>5</v>
      </c>
      <c r="AK147">
        <f t="shared" si="37"/>
        <v>5</v>
      </c>
      <c r="AL147">
        <f t="shared" si="45"/>
        <v>4</v>
      </c>
      <c r="AM147" t="str">
        <f t="shared" si="46"/>
        <v>April</v>
      </c>
      <c r="AN147">
        <f t="shared" si="47"/>
        <v>2023</v>
      </c>
      <c r="AO147" t="str">
        <f t="shared" si="48"/>
        <v>&gt;3</v>
      </c>
      <c r="AP147" t="str">
        <f t="shared" si="49"/>
        <v>&gt;3</v>
      </c>
      <c r="AQ147" t="str">
        <f t="shared" si="50"/>
        <v>&gt;3</v>
      </c>
    </row>
    <row r="148" spans="1:43" x14ac:dyDescent="0.3">
      <c r="A148" t="s">
        <v>33</v>
      </c>
      <c r="B148" t="s">
        <v>44</v>
      </c>
      <c r="C148" t="s">
        <v>65</v>
      </c>
      <c r="D148">
        <v>1391</v>
      </c>
      <c r="E148">
        <v>23110051</v>
      </c>
      <c r="F148" t="s">
        <v>46</v>
      </c>
      <c r="G148" t="s">
        <v>47</v>
      </c>
      <c r="H148">
        <v>600</v>
      </c>
      <c r="I148">
        <v>80</v>
      </c>
      <c r="J148">
        <v>48000</v>
      </c>
      <c r="K148" s="7" t="str">
        <f>IFERROR(IF(B148&lt;&gt;"", TEXT(VLOOKUP(B148, 'Expected Date'!A:B, 2, FALSE) + DATE(RIGHT(C148,2),MID(C148,4,2),LEFT(C148,2)), "dd/mm/yy"), ""), "")</f>
        <v>24/04/23</v>
      </c>
      <c r="L148" t="s">
        <v>38</v>
      </c>
      <c r="M148" t="s">
        <v>48</v>
      </c>
      <c r="N148" t="s">
        <v>49</v>
      </c>
      <c r="O148" t="s">
        <v>41</v>
      </c>
      <c r="P148">
        <v>23190118</v>
      </c>
      <c r="Q148" t="s">
        <v>46</v>
      </c>
      <c r="R148" t="s">
        <v>47</v>
      </c>
      <c r="S148">
        <v>300</v>
      </c>
      <c r="T148">
        <v>80</v>
      </c>
      <c r="U148">
        <v>24000</v>
      </c>
      <c r="V148" t="str">
        <f t="shared" si="51"/>
        <v>Hyderabad</v>
      </c>
      <c r="W148" t="str">
        <f>VLOOKUP(B148, Currency!A:B, 2, FALSE)</f>
        <v>INR</v>
      </c>
      <c r="X148" t="str">
        <f t="shared" si="52"/>
        <v>Accepted</v>
      </c>
      <c r="Y148">
        <f>IFERROR(VLOOKUP(N148, Payment_Terms!A:B, 2, FALSE), "Payment term not found!")</f>
        <v>30</v>
      </c>
      <c r="Z148" t="str">
        <f>IFERROR(VLOOKUP(R148, Item_Category!A:B, 2, FALSE), "Uncategorized")</f>
        <v>Gas</v>
      </c>
      <c r="AA148" s="5">
        <f t="shared" si="38"/>
        <v>0</v>
      </c>
      <c r="AB148">
        <f t="shared" si="39"/>
        <v>5</v>
      </c>
      <c r="AC148" s="10">
        <f t="shared" si="40"/>
        <v>5</v>
      </c>
      <c r="AD148">
        <f t="shared" si="41"/>
        <v>3</v>
      </c>
      <c r="AE148" s="10">
        <f t="shared" si="42"/>
        <v>10</v>
      </c>
      <c r="AF148" s="5">
        <f t="shared" si="35"/>
        <v>1</v>
      </c>
      <c r="AG148" s="5">
        <f t="shared" si="36"/>
        <v>1</v>
      </c>
      <c r="AH148" s="5">
        <f t="shared" si="43"/>
        <v>0</v>
      </c>
      <c r="AI148">
        <f>IF(B148&lt;&gt;"", COUNTIFS($B$2:B148, B148), "")</f>
        <v>4</v>
      </c>
      <c r="AJ148">
        <f t="shared" si="44"/>
        <v>5</v>
      </c>
      <c r="AK148">
        <f t="shared" si="37"/>
        <v>5</v>
      </c>
      <c r="AL148">
        <f t="shared" si="45"/>
        <v>4</v>
      </c>
      <c r="AM148" t="str">
        <f t="shared" si="46"/>
        <v>April</v>
      </c>
      <c r="AN148">
        <f t="shared" si="47"/>
        <v>2023</v>
      </c>
      <c r="AO148" t="str">
        <f t="shared" si="48"/>
        <v>&gt;3</v>
      </c>
      <c r="AP148" t="str">
        <f t="shared" si="49"/>
        <v>&gt;3</v>
      </c>
      <c r="AQ148" t="str">
        <f t="shared" si="50"/>
        <v>&lt;=3</v>
      </c>
    </row>
    <row r="149" spans="1:43" x14ac:dyDescent="0.3">
      <c r="A149" t="str">
        <f>A137</f>
        <v>Woodpulp</v>
      </c>
      <c r="B149" t="s">
        <v>140</v>
      </c>
      <c r="C149" t="s">
        <v>35</v>
      </c>
      <c r="D149">
        <v>1556</v>
      </c>
      <c r="E149">
        <v>23120011</v>
      </c>
      <c r="F149" t="s">
        <v>142</v>
      </c>
      <c r="G149" t="s">
        <v>360</v>
      </c>
      <c r="H149">
        <v>100</v>
      </c>
      <c r="I149">
        <v>830</v>
      </c>
      <c r="J149">
        <v>6756200</v>
      </c>
      <c r="K149" s="7" t="str">
        <f>IFERROR(IF(B149&lt;&gt;"", TEXT(VLOOKUP(B149, 'Expected Date'!A:B, 2, FALSE) + DATE(RIGHT(C149,2),MID(C149,4,2),LEFT(C149,2)), "dd/mm/yy"), ""), "")</f>
        <v>11/06/23</v>
      </c>
      <c r="L149" t="s">
        <v>68</v>
      </c>
      <c r="M149" t="str">
        <f>M47</f>
        <v>MT</v>
      </c>
      <c r="N149" t="s">
        <v>144</v>
      </c>
      <c r="O149" t="s">
        <v>41</v>
      </c>
      <c r="P149">
        <v>23190123</v>
      </c>
      <c r="Q149" t="s">
        <v>142</v>
      </c>
      <c r="R149" t="s">
        <v>360</v>
      </c>
      <c r="S149">
        <v>99.366</v>
      </c>
      <c r="T149">
        <v>830</v>
      </c>
      <c r="U149">
        <v>6713365.6900000004</v>
      </c>
      <c r="V149" t="str">
        <f t="shared" si="51"/>
        <v>Hyderabad</v>
      </c>
      <c r="W149" t="str">
        <f>VLOOKUP(B149, Currency!A:B, 2, FALSE)</f>
        <v>USD</v>
      </c>
      <c r="X149" t="str">
        <f t="shared" si="52"/>
        <v>Accepted</v>
      </c>
      <c r="Y149">
        <f>IFERROR(VLOOKUP(N149, Payment_Terms!A:B, 2, FALSE), "Payment term not found!")</f>
        <v>30</v>
      </c>
      <c r="Z149" t="str">
        <f>IFERROR(VLOOKUP(R149, Item_Category!A:B, 2, FALSE), "Uncategorized")</f>
        <v>Wood pulp</v>
      </c>
      <c r="AA149" s="5">
        <f t="shared" si="38"/>
        <v>6.3400000000000036E-3</v>
      </c>
      <c r="AB149">
        <f t="shared" si="39"/>
        <v>4</v>
      </c>
      <c r="AC149" s="10">
        <f t="shared" si="40"/>
        <v>-43</v>
      </c>
      <c r="AD149">
        <f t="shared" si="41"/>
        <v>5</v>
      </c>
      <c r="AE149" s="10">
        <f t="shared" si="42"/>
        <v>2</v>
      </c>
      <c r="AF149" s="5">
        <f t="shared" si="35"/>
        <v>1</v>
      </c>
      <c r="AG149" s="5">
        <f t="shared" si="36"/>
        <v>1</v>
      </c>
      <c r="AH149" s="5">
        <f t="shared" si="43"/>
        <v>0</v>
      </c>
      <c r="AI149">
        <f>IF(B149&lt;&gt;"", COUNTIFS($B$2:B149, B149), "")</f>
        <v>10</v>
      </c>
      <c r="AJ149">
        <f t="shared" si="44"/>
        <v>5</v>
      </c>
      <c r="AK149">
        <f t="shared" si="37"/>
        <v>5</v>
      </c>
      <c r="AL149">
        <f t="shared" si="45"/>
        <v>4</v>
      </c>
      <c r="AM149" t="str">
        <f t="shared" si="46"/>
        <v>April</v>
      </c>
      <c r="AN149">
        <f t="shared" si="47"/>
        <v>2023</v>
      </c>
      <c r="AO149" t="str">
        <f t="shared" si="48"/>
        <v>&gt;3</v>
      </c>
      <c r="AP149" t="str">
        <f t="shared" si="49"/>
        <v>&gt;3</v>
      </c>
      <c r="AQ149" t="str">
        <f t="shared" si="50"/>
        <v>&gt;3</v>
      </c>
    </row>
    <row r="150" spans="1:43" x14ac:dyDescent="0.3">
      <c r="A150" t="s">
        <v>33</v>
      </c>
      <c r="B150" t="s">
        <v>51</v>
      </c>
      <c r="C150" t="s">
        <v>35</v>
      </c>
      <c r="D150">
        <v>1549</v>
      </c>
      <c r="E150">
        <v>23120010</v>
      </c>
      <c r="F150" t="s">
        <v>214</v>
      </c>
      <c r="G150" t="s">
        <v>215</v>
      </c>
      <c r="H150">
        <v>30</v>
      </c>
      <c r="I150">
        <v>6519.3</v>
      </c>
      <c r="J150">
        <v>195579</v>
      </c>
      <c r="K150" s="7" t="str">
        <f>IFERROR(IF(B150&lt;&gt;"", TEXT(VLOOKUP(B150, 'Expected Date'!A:B, 2, FALSE) + DATE(RIGHT(C150,2),MID(C150,4,2),LEFT(C150,2)), "dd/mm/yy"), ""), "")</f>
        <v>17/05/23</v>
      </c>
      <c r="L150" t="s">
        <v>38</v>
      </c>
      <c r="M150" t="s">
        <v>48</v>
      </c>
      <c r="N150" t="s">
        <v>55</v>
      </c>
      <c r="O150" t="s">
        <v>41</v>
      </c>
      <c r="P150">
        <v>23190136</v>
      </c>
      <c r="Q150" t="s">
        <v>214</v>
      </c>
      <c r="R150" t="s">
        <v>215</v>
      </c>
      <c r="S150">
        <v>30</v>
      </c>
      <c r="T150">
        <v>6519.3</v>
      </c>
      <c r="U150">
        <v>195579</v>
      </c>
      <c r="V150" t="str">
        <f t="shared" si="51"/>
        <v>Hyderabad</v>
      </c>
      <c r="W150" t="str">
        <f>VLOOKUP(B150, Currency!A:B, 2, FALSE)</f>
        <v>INR</v>
      </c>
      <c r="X150" t="str">
        <f t="shared" si="52"/>
        <v>Accepted</v>
      </c>
      <c r="Y150">
        <f>IFERROR(VLOOKUP(N150, Payment_Terms!A:B, 2, FALSE), "Payment term not found!")</f>
        <v>0</v>
      </c>
      <c r="Z150" t="str">
        <f>IFERROR(VLOOKUP(R150, Item_Category!A:B, 2, FALSE), "Uncategorized")</f>
        <v>Coal materials</v>
      </c>
      <c r="AA150" s="5">
        <f t="shared" si="38"/>
        <v>0</v>
      </c>
      <c r="AB150">
        <f t="shared" si="39"/>
        <v>5</v>
      </c>
      <c r="AC150" s="10">
        <f t="shared" si="40"/>
        <v>-18</v>
      </c>
      <c r="AD150">
        <f t="shared" si="41"/>
        <v>5</v>
      </c>
      <c r="AE150" s="10">
        <f t="shared" si="42"/>
        <v>2</v>
      </c>
      <c r="AF150" s="5">
        <f t="shared" si="35"/>
        <v>1</v>
      </c>
      <c r="AG150" s="5">
        <f t="shared" si="36"/>
        <v>1</v>
      </c>
      <c r="AH150" s="5">
        <f t="shared" si="43"/>
        <v>0</v>
      </c>
      <c r="AI150">
        <f>IF(B150&lt;&gt;"", COUNTIFS($B$2:B150, B150), "")</f>
        <v>54</v>
      </c>
      <c r="AJ150">
        <f t="shared" si="44"/>
        <v>5</v>
      </c>
      <c r="AK150">
        <f t="shared" si="37"/>
        <v>5</v>
      </c>
      <c r="AL150">
        <f t="shared" si="45"/>
        <v>4</v>
      </c>
      <c r="AM150" t="str">
        <f t="shared" si="46"/>
        <v>April</v>
      </c>
      <c r="AN150">
        <f t="shared" si="47"/>
        <v>2023</v>
      </c>
      <c r="AO150" t="str">
        <f t="shared" si="48"/>
        <v>&gt;3</v>
      </c>
      <c r="AP150" t="str">
        <f t="shared" si="49"/>
        <v>&gt;3</v>
      </c>
      <c r="AQ150" t="str">
        <f t="shared" si="50"/>
        <v>&gt;3</v>
      </c>
    </row>
    <row r="151" spans="1:43" x14ac:dyDescent="0.3">
      <c r="A151" t="s">
        <v>33</v>
      </c>
      <c r="B151" t="s">
        <v>147</v>
      </c>
      <c r="C151" t="s">
        <v>262</v>
      </c>
      <c r="D151">
        <v>1662</v>
      </c>
      <c r="E151">
        <v>23120015</v>
      </c>
      <c r="F151" t="s">
        <v>148</v>
      </c>
      <c r="G151" t="s">
        <v>149</v>
      </c>
      <c r="H151">
        <v>595</v>
      </c>
      <c r="I151">
        <v>210</v>
      </c>
      <c r="J151">
        <v>124950</v>
      </c>
      <c r="K151" s="7" t="str">
        <f>IFERROR(IF(B151&lt;&gt;"", TEXT(VLOOKUP(B151, 'Expected Date'!A:B, 2, FALSE) + DATE(RIGHT(C151,2),MID(C151,4,2),LEFT(C151,2)), "dd/mm/yy"), ""), "")</f>
        <v>12/05/23</v>
      </c>
      <c r="L151" t="s">
        <v>38</v>
      </c>
      <c r="M151" t="s">
        <v>39</v>
      </c>
      <c r="N151" t="s">
        <v>49</v>
      </c>
      <c r="O151" t="s">
        <v>41</v>
      </c>
      <c r="P151">
        <v>23190137</v>
      </c>
      <c r="Q151" t="s">
        <v>148</v>
      </c>
      <c r="R151" t="s">
        <v>149</v>
      </c>
      <c r="S151">
        <v>595</v>
      </c>
      <c r="T151">
        <v>210</v>
      </c>
      <c r="U151">
        <v>124950</v>
      </c>
      <c r="V151" t="str">
        <f t="shared" si="51"/>
        <v>Hyderabad</v>
      </c>
      <c r="W151" t="str">
        <f>VLOOKUP(B151, Currency!A:B, 2, FALSE)</f>
        <v>INR</v>
      </c>
      <c r="X151" t="str">
        <f t="shared" si="52"/>
        <v>Accepted</v>
      </c>
      <c r="Y151">
        <f>IFERROR(VLOOKUP(N151, Payment_Terms!A:B, 2, FALSE), "Payment term not found!")</f>
        <v>30</v>
      </c>
      <c r="Z151" t="str">
        <f>IFERROR(VLOOKUP(R151, Item_Category!A:B, 2, FALSE), "Uncategorized")</f>
        <v>Fibre drum</v>
      </c>
      <c r="AA151" s="5">
        <f t="shared" si="38"/>
        <v>0</v>
      </c>
      <c r="AB151">
        <f t="shared" si="39"/>
        <v>5</v>
      </c>
      <c r="AC151" s="10">
        <f t="shared" si="40"/>
        <v>-13</v>
      </c>
      <c r="AD151">
        <f t="shared" si="41"/>
        <v>5</v>
      </c>
      <c r="AE151" s="10">
        <f t="shared" si="42"/>
        <v>3</v>
      </c>
      <c r="AF151" s="5">
        <f t="shared" si="35"/>
        <v>1</v>
      </c>
      <c r="AG151" s="5">
        <f t="shared" si="36"/>
        <v>1</v>
      </c>
      <c r="AH151" s="5">
        <f t="shared" si="43"/>
        <v>0</v>
      </c>
      <c r="AI151">
        <f>IF(B151&lt;&gt;"", COUNTIFS($B$2:B151, B151), "")</f>
        <v>4</v>
      </c>
      <c r="AJ151">
        <f t="shared" si="44"/>
        <v>5</v>
      </c>
      <c r="AK151">
        <f t="shared" si="37"/>
        <v>5</v>
      </c>
      <c r="AL151">
        <f t="shared" si="45"/>
        <v>5</v>
      </c>
      <c r="AM151" t="str">
        <f t="shared" si="46"/>
        <v>May</v>
      </c>
      <c r="AN151">
        <f t="shared" si="47"/>
        <v>2023</v>
      </c>
      <c r="AO151" t="str">
        <f t="shared" si="48"/>
        <v>&gt;3</v>
      </c>
      <c r="AP151" t="str">
        <f t="shared" si="49"/>
        <v>&gt;3</v>
      </c>
      <c r="AQ151" t="str">
        <f t="shared" si="50"/>
        <v>&gt;3</v>
      </c>
    </row>
    <row r="152" spans="1:43" x14ac:dyDescent="0.3">
      <c r="A152" t="s">
        <v>33</v>
      </c>
      <c r="B152" t="s">
        <v>44</v>
      </c>
      <c r="C152" t="s">
        <v>202</v>
      </c>
      <c r="D152">
        <v>3635</v>
      </c>
      <c r="E152">
        <v>23120098</v>
      </c>
      <c r="F152" t="s">
        <v>46</v>
      </c>
      <c r="G152" t="s">
        <v>47</v>
      </c>
      <c r="H152">
        <v>600</v>
      </c>
      <c r="I152">
        <v>65</v>
      </c>
      <c r="J152">
        <v>39000</v>
      </c>
      <c r="K152" s="7" t="str">
        <f>IFERROR(IF(B152&lt;&gt;"", TEXT(VLOOKUP(B152, 'Expected Date'!A:B, 2, FALSE) + DATE(RIGHT(C152,2),MID(C152,4,2),LEFT(C152,2)), "dd/mm/yy"), ""), "")</f>
        <v>14/08/23</v>
      </c>
      <c r="L152" t="s">
        <v>38</v>
      </c>
      <c r="M152" t="s">
        <v>48</v>
      </c>
      <c r="N152" t="s">
        <v>49</v>
      </c>
      <c r="O152" t="s">
        <v>192</v>
      </c>
      <c r="P152">
        <v>23190838</v>
      </c>
      <c r="Q152" t="s">
        <v>46</v>
      </c>
      <c r="R152" t="s">
        <v>47</v>
      </c>
      <c r="S152">
        <v>300</v>
      </c>
      <c r="T152">
        <v>65</v>
      </c>
      <c r="U152">
        <v>19500</v>
      </c>
      <c r="V152" t="str">
        <f t="shared" si="51"/>
        <v>Hyderabad</v>
      </c>
      <c r="W152" t="str">
        <f>VLOOKUP(B152, Currency!A:B, 2, FALSE)</f>
        <v>INR</v>
      </c>
      <c r="X152" t="str">
        <f t="shared" si="52"/>
        <v>Accepted</v>
      </c>
      <c r="Y152">
        <f>IFERROR(VLOOKUP(N152, Payment_Terms!A:B, 2, FALSE), "Payment term not found!")</f>
        <v>30</v>
      </c>
      <c r="Z152" t="str">
        <f>IFERROR(VLOOKUP(R152, Item_Category!A:B, 2, FALSE), "Uncategorized")</f>
        <v>Gas</v>
      </c>
      <c r="AA152" s="5">
        <f t="shared" si="38"/>
        <v>0</v>
      </c>
      <c r="AB152">
        <f t="shared" si="39"/>
        <v>5</v>
      </c>
      <c r="AC152" s="10">
        <f t="shared" si="40"/>
        <v>0</v>
      </c>
      <c r="AD152">
        <f t="shared" si="41"/>
        <v>5</v>
      </c>
      <c r="AE152" s="10">
        <f t="shared" si="42"/>
        <v>5</v>
      </c>
      <c r="AF152" s="5">
        <f t="shared" si="35"/>
        <v>1</v>
      </c>
      <c r="AG152" s="5">
        <f t="shared" si="36"/>
        <v>1</v>
      </c>
      <c r="AH152" s="5">
        <f t="shared" si="43"/>
        <v>0</v>
      </c>
      <c r="AI152">
        <f>IF(B152&lt;&gt;"", COUNTIFS($B$2:B152, B152), "")</f>
        <v>5</v>
      </c>
      <c r="AJ152">
        <f t="shared" si="44"/>
        <v>5</v>
      </c>
      <c r="AK152">
        <f t="shared" si="37"/>
        <v>5</v>
      </c>
      <c r="AL152">
        <f t="shared" si="45"/>
        <v>8</v>
      </c>
      <c r="AM152" t="str">
        <f t="shared" si="46"/>
        <v>August</v>
      </c>
      <c r="AN152">
        <f t="shared" si="47"/>
        <v>2023</v>
      </c>
      <c r="AO152" t="str">
        <f t="shared" si="48"/>
        <v>&gt;3</v>
      </c>
      <c r="AP152" t="str">
        <f t="shared" si="49"/>
        <v>&gt;3</v>
      </c>
      <c r="AQ152" t="str">
        <f t="shared" si="50"/>
        <v>&gt;3</v>
      </c>
    </row>
    <row r="153" spans="1:43" x14ac:dyDescent="0.3">
      <c r="A153" t="s">
        <v>33</v>
      </c>
      <c r="B153" t="s">
        <v>200</v>
      </c>
      <c r="C153" t="s">
        <v>226</v>
      </c>
      <c r="D153">
        <v>4295</v>
      </c>
      <c r="E153">
        <v>23120119</v>
      </c>
      <c r="F153" t="s">
        <v>186</v>
      </c>
      <c r="G153" t="s">
        <v>187</v>
      </c>
      <c r="H153">
        <v>2000</v>
      </c>
      <c r="I153">
        <v>124</v>
      </c>
      <c r="J153">
        <v>248000</v>
      </c>
      <c r="K153" s="7" t="str">
        <f>IFERROR(IF(B153&lt;&gt;"", TEXT(VLOOKUP(B153, 'Expected Date'!A:B, 2, FALSE) + DATE(RIGHT(C153,2),MID(C153,4,2),LEFT(C153,2)), "dd/mm/yy"), ""), "")</f>
        <v>21/09/23</v>
      </c>
      <c r="L153" t="s">
        <v>68</v>
      </c>
      <c r="M153" t="s">
        <v>48</v>
      </c>
      <c r="N153" t="s">
        <v>188</v>
      </c>
      <c r="O153" t="s">
        <v>263</v>
      </c>
      <c r="P153">
        <v>23191309</v>
      </c>
      <c r="Q153" t="s">
        <v>186</v>
      </c>
      <c r="R153" t="s">
        <v>187</v>
      </c>
      <c r="S153">
        <v>1000</v>
      </c>
      <c r="T153">
        <v>124</v>
      </c>
      <c r="U153">
        <v>124000</v>
      </c>
      <c r="V153" t="str">
        <f t="shared" si="51"/>
        <v>Hyderabad</v>
      </c>
      <c r="W153" t="str">
        <f>VLOOKUP(B153, Currency!A:B, 2, FALSE)</f>
        <v>INR</v>
      </c>
      <c r="X153" t="str">
        <f t="shared" si="52"/>
        <v>Accepted</v>
      </c>
      <c r="Y153">
        <f>IFERROR(VLOOKUP(N153, Payment_Terms!A:B, 2, FALSE), "Payment term not found!")</f>
        <v>30</v>
      </c>
      <c r="Z153" t="str">
        <f>IFERROR(VLOOKUP(R153, Item_Category!A:B, 2, FALSE), "Uncategorized")</f>
        <v>Liner</v>
      </c>
      <c r="AA153" s="5">
        <f t="shared" si="38"/>
        <v>0.5</v>
      </c>
      <c r="AB153">
        <f t="shared" si="39"/>
        <v>1</v>
      </c>
      <c r="AC153" s="10">
        <f t="shared" si="40"/>
        <v>18</v>
      </c>
      <c r="AD153">
        <f t="shared" si="41"/>
        <v>1</v>
      </c>
      <c r="AE153" s="10">
        <f t="shared" si="42"/>
        <v>28</v>
      </c>
      <c r="AF153" s="5">
        <f t="shared" si="35"/>
        <v>1</v>
      </c>
      <c r="AG153" s="5">
        <f t="shared" si="36"/>
        <v>1</v>
      </c>
      <c r="AH153" s="5">
        <f t="shared" si="43"/>
        <v>0</v>
      </c>
      <c r="AI153">
        <f>IF(B153&lt;&gt;"", COUNTIFS($B$2:B153, B153), "")</f>
        <v>3</v>
      </c>
      <c r="AJ153">
        <f t="shared" si="44"/>
        <v>5</v>
      </c>
      <c r="AK153">
        <f t="shared" si="37"/>
        <v>3</v>
      </c>
      <c r="AL153">
        <f t="shared" si="45"/>
        <v>9</v>
      </c>
      <c r="AM153" t="str">
        <f t="shared" si="46"/>
        <v>September</v>
      </c>
      <c r="AN153">
        <f t="shared" si="47"/>
        <v>2023</v>
      </c>
      <c r="AO153" t="str">
        <f t="shared" si="48"/>
        <v>&gt;3</v>
      </c>
      <c r="AP153" t="str">
        <f t="shared" si="49"/>
        <v>&lt;=3</v>
      </c>
      <c r="AQ153" t="str">
        <f t="shared" si="50"/>
        <v>&lt;=3</v>
      </c>
    </row>
    <row r="154" spans="1:43" x14ac:dyDescent="0.3">
      <c r="A154" t="str">
        <f>A149</f>
        <v>Woodpulp</v>
      </c>
      <c r="B154" t="s">
        <v>140</v>
      </c>
      <c r="C154" t="s">
        <v>35</v>
      </c>
      <c r="D154">
        <v>1557</v>
      </c>
      <c r="E154">
        <v>23120012</v>
      </c>
      <c r="F154" t="s">
        <v>142</v>
      </c>
      <c r="G154" t="s">
        <v>360</v>
      </c>
      <c r="H154">
        <v>100</v>
      </c>
      <c r="I154">
        <v>830</v>
      </c>
      <c r="J154">
        <v>6756200</v>
      </c>
      <c r="K154" s="7" t="str">
        <f>IFERROR(IF(B154&lt;&gt;"", TEXT(VLOOKUP(B154, 'Expected Date'!A:B, 2, FALSE) + DATE(RIGHT(C154,2),MID(C154,4,2),LEFT(C154,2)), "dd/mm/yy"), ""), "")</f>
        <v>11/06/23</v>
      </c>
      <c r="L154" t="s">
        <v>68</v>
      </c>
      <c r="M154" t="str">
        <f>M47</f>
        <v>MT</v>
      </c>
      <c r="N154" t="s">
        <v>144</v>
      </c>
      <c r="O154" t="s">
        <v>41</v>
      </c>
      <c r="P154">
        <v>23190124</v>
      </c>
      <c r="Q154" t="s">
        <v>142</v>
      </c>
      <c r="R154" t="s">
        <v>360</v>
      </c>
      <c r="S154">
        <v>97.1</v>
      </c>
      <c r="T154">
        <v>830</v>
      </c>
      <c r="U154">
        <v>6560270.2000000002</v>
      </c>
      <c r="V154" t="str">
        <f t="shared" si="51"/>
        <v>Hyderabad</v>
      </c>
      <c r="W154" t="str">
        <f>VLOOKUP(B154, Currency!A:B, 2, FALSE)</f>
        <v>USD</v>
      </c>
      <c r="X154" t="str">
        <f t="shared" si="52"/>
        <v>Accepted</v>
      </c>
      <c r="Y154">
        <f>IFERROR(VLOOKUP(N154, Payment_Terms!A:B, 2, FALSE), "Payment term not found!")</f>
        <v>30</v>
      </c>
      <c r="Z154" t="str">
        <f>IFERROR(VLOOKUP(R154, Item_Category!A:B, 2, FALSE), "Uncategorized")</f>
        <v>Wood pulp</v>
      </c>
      <c r="AA154" s="5">
        <f t="shared" si="38"/>
        <v>2.9000000000000057E-2</v>
      </c>
      <c r="AB154">
        <f t="shared" si="39"/>
        <v>3</v>
      </c>
      <c r="AC154" s="10">
        <f t="shared" si="40"/>
        <v>-43</v>
      </c>
      <c r="AD154">
        <f t="shared" si="41"/>
        <v>5</v>
      </c>
      <c r="AE154" s="10">
        <f t="shared" si="42"/>
        <v>2</v>
      </c>
      <c r="AF154" s="5">
        <f t="shared" si="35"/>
        <v>1</v>
      </c>
      <c r="AG154" s="5">
        <f t="shared" si="36"/>
        <v>1</v>
      </c>
      <c r="AH154" s="5">
        <f t="shared" si="43"/>
        <v>0</v>
      </c>
      <c r="AI154">
        <f>IF(B154&lt;&gt;"", COUNTIFS($B$2:B154, B154), "")</f>
        <v>11</v>
      </c>
      <c r="AJ154">
        <f t="shared" si="44"/>
        <v>5</v>
      </c>
      <c r="AK154">
        <f t="shared" si="37"/>
        <v>5</v>
      </c>
      <c r="AL154">
        <f t="shared" si="45"/>
        <v>4</v>
      </c>
      <c r="AM154" t="str">
        <f t="shared" si="46"/>
        <v>April</v>
      </c>
      <c r="AN154">
        <f t="shared" si="47"/>
        <v>2023</v>
      </c>
      <c r="AO154" t="str">
        <f t="shared" si="48"/>
        <v>&gt;3</v>
      </c>
      <c r="AP154" t="str">
        <f t="shared" si="49"/>
        <v>&lt;=3</v>
      </c>
      <c r="AQ154" t="str">
        <f t="shared" si="50"/>
        <v>&gt;3</v>
      </c>
    </row>
    <row r="155" spans="1:43" x14ac:dyDescent="0.3">
      <c r="A155" t="s">
        <v>33</v>
      </c>
      <c r="B155" t="s">
        <v>73</v>
      </c>
      <c r="C155" t="s">
        <v>198</v>
      </c>
      <c r="D155">
        <v>3461</v>
      </c>
      <c r="E155">
        <v>23120095</v>
      </c>
      <c r="F155" t="s">
        <v>75</v>
      </c>
      <c r="G155" t="s">
        <v>76</v>
      </c>
      <c r="H155">
        <v>1600</v>
      </c>
      <c r="I155">
        <v>900</v>
      </c>
      <c r="J155">
        <v>1440000</v>
      </c>
      <c r="K155" s="7" t="str">
        <f>IFERROR(IF(B155&lt;&gt;"", TEXT(VLOOKUP(B155, 'Expected Date'!A:B, 2, FALSE) + DATE(RIGHT(C155,2),MID(C155,4,2),LEFT(C155,2)), "dd/mm/yy"), ""), "")</f>
        <v>20/08/23</v>
      </c>
      <c r="L155" t="s">
        <v>38</v>
      </c>
      <c r="M155" t="s">
        <v>39</v>
      </c>
      <c r="N155" t="s">
        <v>77</v>
      </c>
      <c r="O155" t="s">
        <v>263</v>
      </c>
      <c r="P155">
        <v>23191308</v>
      </c>
      <c r="Q155" t="s">
        <v>75</v>
      </c>
      <c r="R155" t="s">
        <v>76</v>
      </c>
      <c r="S155">
        <v>400</v>
      </c>
      <c r="T155">
        <v>900</v>
      </c>
      <c r="U155">
        <v>360000</v>
      </c>
      <c r="V155" t="str">
        <f t="shared" si="51"/>
        <v>Hyderabad</v>
      </c>
      <c r="W155" t="str">
        <f>VLOOKUP(B155, Currency!A:B, 2, FALSE)</f>
        <v>INR</v>
      </c>
      <c r="X155" t="str">
        <f t="shared" si="52"/>
        <v>Accepted</v>
      </c>
      <c r="Y155">
        <f>IFERROR(VLOOKUP(N155, Payment_Terms!A:B, 2, FALSE), "Payment term not found!")</f>
        <v>0</v>
      </c>
      <c r="Z155" t="str">
        <f>IFERROR(VLOOKUP(R155, Item_Category!A:B, 2, FALSE), "Uncategorized")</f>
        <v>Pallets</v>
      </c>
      <c r="AA155" s="5">
        <f t="shared" si="38"/>
        <v>0</v>
      </c>
      <c r="AB155">
        <f t="shared" si="39"/>
        <v>5</v>
      </c>
      <c r="AC155" s="10">
        <f t="shared" si="40"/>
        <v>50</v>
      </c>
      <c r="AD155">
        <f t="shared" si="41"/>
        <v>1</v>
      </c>
      <c r="AE155" s="10">
        <f t="shared" si="42"/>
        <v>70</v>
      </c>
      <c r="AF155" s="5">
        <f t="shared" si="35"/>
        <v>1</v>
      </c>
      <c r="AG155" s="5">
        <f t="shared" si="36"/>
        <v>1</v>
      </c>
      <c r="AH155" s="5">
        <f t="shared" si="43"/>
        <v>0</v>
      </c>
      <c r="AI155">
        <f>IF(B155&lt;&gt;"", COUNTIFS($B$2:B155, B155), "")</f>
        <v>8</v>
      </c>
      <c r="AJ155">
        <f t="shared" si="44"/>
        <v>5</v>
      </c>
      <c r="AK155">
        <f t="shared" si="37"/>
        <v>4</v>
      </c>
      <c r="AL155">
        <f t="shared" si="45"/>
        <v>7</v>
      </c>
      <c r="AM155" t="str">
        <f t="shared" si="46"/>
        <v>July</v>
      </c>
      <c r="AN155">
        <f t="shared" si="47"/>
        <v>2023</v>
      </c>
      <c r="AO155" t="str">
        <f t="shared" si="48"/>
        <v>&gt;3</v>
      </c>
      <c r="AP155" t="str">
        <f t="shared" si="49"/>
        <v>&gt;3</v>
      </c>
      <c r="AQ155" t="str">
        <f t="shared" si="50"/>
        <v>&lt;=3</v>
      </c>
    </row>
    <row r="156" spans="1:43" x14ac:dyDescent="0.3">
      <c r="A156" t="s">
        <v>33</v>
      </c>
      <c r="B156" t="s">
        <v>73</v>
      </c>
      <c r="C156" t="s">
        <v>198</v>
      </c>
      <c r="D156">
        <v>3461</v>
      </c>
      <c r="E156">
        <v>23120095</v>
      </c>
      <c r="F156" t="s">
        <v>75</v>
      </c>
      <c r="G156" t="s">
        <v>76</v>
      </c>
      <c r="H156">
        <v>1600</v>
      </c>
      <c r="I156">
        <v>900</v>
      </c>
      <c r="J156">
        <v>1440000</v>
      </c>
      <c r="K156" s="7" t="str">
        <f>IFERROR(IF(B156&lt;&gt;"", TEXT(VLOOKUP(B156, 'Expected Date'!A:B, 2, FALSE) + DATE(RIGHT(C156,2),MID(C156,4,2),LEFT(C156,2)), "dd/mm/yy"), ""), "")</f>
        <v>20/08/23</v>
      </c>
      <c r="L156" t="s">
        <v>38</v>
      </c>
      <c r="M156" t="s">
        <v>39</v>
      </c>
      <c r="N156" t="s">
        <v>77</v>
      </c>
      <c r="O156" t="s">
        <v>253</v>
      </c>
      <c r="P156">
        <v>23191311</v>
      </c>
      <c r="Q156" t="s">
        <v>75</v>
      </c>
      <c r="R156" t="s">
        <v>76</v>
      </c>
      <c r="S156">
        <v>400</v>
      </c>
      <c r="T156">
        <v>900</v>
      </c>
      <c r="U156">
        <v>360000</v>
      </c>
      <c r="V156" t="str">
        <f t="shared" si="51"/>
        <v>Hyderabad</v>
      </c>
      <c r="W156" t="str">
        <f>VLOOKUP(B156, Currency!A:B, 2, FALSE)</f>
        <v>INR</v>
      </c>
      <c r="X156" t="str">
        <f t="shared" si="52"/>
        <v>Accepted</v>
      </c>
      <c r="Y156">
        <f>IFERROR(VLOOKUP(N156, Payment_Terms!A:B, 2, FALSE), "Payment term not found!")</f>
        <v>0</v>
      </c>
      <c r="Z156" t="str">
        <f>IFERROR(VLOOKUP(R156, Item_Category!A:B, 2, FALSE), "Uncategorized")</f>
        <v>Pallets</v>
      </c>
      <c r="AA156" s="5">
        <f t="shared" si="38"/>
        <v>0</v>
      </c>
      <c r="AB156">
        <f t="shared" si="39"/>
        <v>5</v>
      </c>
      <c r="AC156" s="10">
        <f t="shared" si="40"/>
        <v>51</v>
      </c>
      <c r="AD156">
        <f t="shared" si="41"/>
        <v>1</v>
      </c>
      <c r="AE156" s="10">
        <f t="shared" si="42"/>
        <v>71</v>
      </c>
      <c r="AF156" s="5">
        <f t="shared" si="35"/>
        <v>1</v>
      </c>
      <c r="AG156" s="5">
        <f t="shared" si="36"/>
        <v>1</v>
      </c>
      <c r="AH156" s="5">
        <f t="shared" si="43"/>
        <v>0</v>
      </c>
      <c r="AI156">
        <f>IF(B156&lt;&gt;"", COUNTIFS($B$2:B156, B156), "")</f>
        <v>9</v>
      </c>
      <c r="AJ156">
        <f t="shared" si="44"/>
        <v>5</v>
      </c>
      <c r="AK156">
        <f t="shared" si="37"/>
        <v>4</v>
      </c>
      <c r="AL156">
        <f t="shared" si="45"/>
        <v>7</v>
      </c>
      <c r="AM156" t="str">
        <f t="shared" si="46"/>
        <v>July</v>
      </c>
      <c r="AN156">
        <f t="shared" si="47"/>
        <v>2023</v>
      </c>
      <c r="AO156" t="str">
        <f t="shared" si="48"/>
        <v>&gt;3</v>
      </c>
      <c r="AP156" t="str">
        <f t="shared" si="49"/>
        <v>&gt;3</v>
      </c>
      <c r="AQ156" t="str">
        <f t="shared" si="50"/>
        <v>&lt;=3</v>
      </c>
    </row>
    <row r="157" spans="1:43" x14ac:dyDescent="0.3">
      <c r="A157" t="s">
        <v>33</v>
      </c>
      <c r="B157" t="s">
        <v>64</v>
      </c>
      <c r="C157" t="s">
        <v>228</v>
      </c>
      <c r="D157">
        <v>4548</v>
      </c>
      <c r="E157">
        <v>23120125</v>
      </c>
      <c r="F157" t="s">
        <v>170</v>
      </c>
      <c r="G157" t="s">
        <v>171</v>
      </c>
      <c r="H157">
        <v>4000</v>
      </c>
      <c r="I157">
        <v>22.25</v>
      </c>
      <c r="J157">
        <v>89000</v>
      </c>
      <c r="K157" s="7" t="str">
        <f>IFERROR(IF(B157&lt;&gt;"", TEXT(VLOOKUP(B157, 'Expected Date'!A:B, 2, FALSE) + DATE(RIGHT(C157,2),MID(C157,4,2),LEFT(C157,2)), "dd/mm/yy"), ""), "")</f>
        <v>02/10/23</v>
      </c>
      <c r="L157" t="s">
        <v>38</v>
      </c>
      <c r="M157" t="s">
        <v>39</v>
      </c>
      <c r="N157" t="s">
        <v>69</v>
      </c>
      <c r="O157" t="s">
        <v>254</v>
      </c>
      <c r="P157">
        <v>23191316</v>
      </c>
      <c r="Q157" t="s">
        <v>170</v>
      </c>
      <c r="R157" t="s">
        <v>171</v>
      </c>
      <c r="S157">
        <v>4000</v>
      </c>
      <c r="T157">
        <v>22.25</v>
      </c>
      <c r="U157">
        <v>89000</v>
      </c>
      <c r="V157" t="str">
        <f t="shared" si="51"/>
        <v>Hyderabad</v>
      </c>
      <c r="W157" t="str">
        <f>VLOOKUP(B157, Currency!A:B, 2, FALSE)</f>
        <v>INR</v>
      </c>
      <c r="X157" t="str">
        <f t="shared" si="52"/>
        <v>Accepted</v>
      </c>
      <c r="Y157">
        <f>IFERROR(VLOOKUP(N157, Payment_Terms!A:B, 2, FALSE), "Payment term not found!")</f>
        <v>30</v>
      </c>
      <c r="Z157" t="str">
        <f>IFERROR(VLOOKUP(R157, Item_Category!A:B, 2, FALSE), "Uncategorized")</f>
        <v>Bags</v>
      </c>
      <c r="AA157" s="5">
        <f t="shared" si="38"/>
        <v>0</v>
      </c>
      <c r="AB157">
        <f t="shared" si="39"/>
        <v>5</v>
      </c>
      <c r="AC157" s="10">
        <f t="shared" si="40"/>
        <v>12</v>
      </c>
      <c r="AD157">
        <f t="shared" si="41"/>
        <v>1</v>
      </c>
      <c r="AE157" s="10">
        <f t="shared" si="42"/>
        <v>22</v>
      </c>
      <c r="AF157" s="5">
        <f t="shared" si="35"/>
        <v>1</v>
      </c>
      <c r="AG157" s="5">
        <f t="shared" si="36"/>
        <v>1</v>
      </c>
      <c r="AH157" s="5">
        <f t="shared" si="43"/>
        <v>0</v>
      </c>
      <c r="AI157">
        <f>IF(B157&lt;&gt;"", COUNTIFS($B$2:B157, B157), "")</f>
        <v>17</v>
      </c>
      <c r="AJ157">
        <f t="shared" si="44"/>
        <v>5</v>
      </c>
      <c r="AK157">
        <f t="shared" si="37"/>
        <v>4</v>
      </c>
      <c r="AL157">
        <f t="shared" si="45"/>
        <v>9</v>
      </c>
      <c r="AM157" t="str">
        <f t="shared" si="46"/>
        <v>September</v>
      </c>
      <c r="AN157">
        <f t="shared" si="47"/>
        <v>2023</v>
      </c>
      <c r="AO157" t="str">
        <f t="shared" si="48"/>
        <v>&gt;3</v>
      </c>
      <c r="AP157" t="str">
        <f t="shared" si="49"/>
        <v>&gt;3</v>
      </c>
      <c r="AQ157" t="str">
        <f t="shared" si="50"/>
        <v>&lt;=3</v>
      </c>
    </row>
    <row r="158" spans="1:43" x14ac:dyDescent="0.3">
      <c r="A158" t="s">
        <v>33</v>
      </c>
      <c r="B158" t="s">
        <v>73</v>
      </c>
      <c r="C158" t="s">
        <v>97</v>
      </c>
      <c r="D158">
        <v>1219</v>
      </c>
      <c r="E158">
        <v>23120001</v>
      </c>
      <c r="F158" t="s">
        <v>75</v>
      </c>
      <c r="G158" t="s">
        <v>76</v>
      </c>
      <c r="H158">
        <v>1200</v>
      </c>
      <c r="I158">
        <v>1000</v>
      </c>
      <c r="J158">
        <v>1200000</v>
      </c>
      <c r="K158" s="7" t="str">
        <f>IFERROR(IF(B158&lt;&gt;"", TEXT(VLOOKUP(B158, 'Expected Date'!A:B, 2, FALSE) + DATE(RIGHT(C158,2),MID(C158,4,2),LEFT(C158,2)), "dd/mm/yy"), ""), "")</f>
        <v>01/05/23</v>
      </c>
      <c r="L158" t="s">
        <v>38</v>
      </c>
      <c r="M158" t="s">
        <v>39</v>
      </c>
      <c r="N158" t="s">
        <v>77</v>
      </c>
      <c r="O158" t="s">
        <v>80</v>
      </c>
      <c r="P158">
        <v>23190040</v>
      </c>
      <c r="Q158" t="s">
        <v>75</v>
      </c>
      <c r="R158" t="s">
        <v>76</v>
      </c>
      <c r="S158">
        <v>400</v>
      </c>
      <c r="T158">
        <v>1000</v>
      </c>
      <c r="U158">
        <v>400000</v>
      </c>
      <c r="V158" t="str">
        <f t="shared" si="51"/>
        <v>Hyderabad</v>
      </c>
      <c r="W158" t="str">
        <f>VLOOKUP(B158, Currency!A:B, 2, FALSE)</f>
        <v>INR</v>
      </c>
      <c r="X158" t="str">
        <f t="shared" si="52"/>
        <v>Accepted</v>
      </c>
      <c r="Y158">
        <f>IFERROR(VLOOKUP(N158, Payment_Terms!A:B, 2, FALSE), "Payment term not found!")</f>
        <v>0</v>
      </c>
      <c r="Z158" t="str">
        <f>IFERROR(VLOOKUP(R158, Item_Category!A:B, 2, FALSE), "Uncategorized")</f>
        <v>Pallets</v>
      </c>
      <c r="AA158" s="5">
        <f t="shared" si="38"/>
        <v>0</v>
      </c>
      <c r="AB158">
        <f t="shared" si="39"/>
        <v>5</v>
      </c>
      <c r="AC158" s="10">
        <f t="shared" si="40"/>
        <v>-17</v>
      </c>
      <c r="AD158">
        <f t="shared" si="41"/>
        <v>5</v>
      </c>
      <c r="AE158" s="10">
        <f t="shared" si="42"/>
        <v>3</v>
      </c>
      <c r="AF158" s="5">
        <f t="shared" si="35"/>
        <v>1</v>
      </c>
      <c r="AG158" s="5">
        <f t="shared" si="36"/>
        <v>1</v>
      </c>
      <c r="AH158" s="5">
        <f t="shared" si="43"/>
        <v>0</v>
      </c>
      <c r="AI158">
        <f>IF(B158&lt;&gt;"", COUNTIFS($B$2:B158, B158), "")</f>
        <v>10</v>
      </c>
      <c r="AJ158">
        <f t="shared" si="44"/>
        <v>5</v>
      </c>
      <c r="AK158">
        <f t="shared" si="37"/>
        <v>5</v>
      </c>
      <c r="AL158">
        <f t="shared" si="45"/>
        <v>4</v>
      </c>
      <c r="AM158" t="str">
        <f t="shared" si="46"/>
        <v>April</v>
      </c>
      <c r="AN158">
        <f t="shared" si="47"/>
        <v>2023</v>
      </c>
      <c r="AO158" t="str">
        <f t="shared" si="48"/>
        <v>&gt;3</v>
      </c>
      <c r="AP158" t="str">
        <f t="shared" si="49"/>
        <v>&gt;3</v>
      </c>
      <c r="AQ158" t="str">
        <f t="shared" si="50"/>
        <v>&gt;3</v>
      </c>
    </row>
    <row r="159" spans="1:43" x14ac:dyDescent="0.3">
      <c r="A159" t="s">
        <v>111</v>
      </c>
      <c r="B159" t="s">
        <v>264</v>
      </c>
      <c r="C159" t="s">
        <v>265</v>
      </c>
      <c r="D159">
        <v>1202</v>
      </c>
      <c r="E159">
        <v>23110011</v>
      </c>
      <c r="F159" t="s">
        <v>266</v>
      </c>
      <c r="G159" t="s">
        <v>267</v>
      </c>
      <c r="H159">
        <v>12000</v>
      </c>
      <c r="I159">
        <v>133</v>
      </c>
      <c r="J159">
        <v>1596000</v>
      </c>
      <c r="K159" s="7" t="str">
        <f>IFERROR(IF(B159&lt;&gt;"", TEXT(VLOOKUP(B159, 'Expected Date'!A:B, 2, FALSE) + DATE(RIGHT(C159,2),MID(C159,4,2),LEFT(C159,2)), "dd/mm/yy"), ""), "")</f>
        <v>20/04/23</v>
      </c>
      <c r="L159" t="s">
        <v>38</v>
      </c>
      <c r="M159" t="s">
        <v>48</v>
      </c>
      <c r="N159" t="s">
        <v>268</v>
      </c>
      <c r="O159" t="s">
        <v>65</v>
      </c>
      <c r="P159">
        <v>23190058</v>
      </c>
      <c r="Q159" t="s">
        <v>266</v>
      </c>
      <c r="R159" t="s">
        <v>267</v>
      </c>
      <c r="S159">
        <v>12000</v>
      </c>
      <c r="T159">
        <v>133</v>
      </c>
      <c r="U159">
        <v>1596000</v>
      </c>
      <c r="V159" t="str">
        <f t="shared" si="51"/>
        <v>Hyderabad</v>
      </c>
      <c r="W159" t="str">
        <f>VLOOKUP(B159, Currency!A:B, 2, FALSE)</f>
        <v>INR</v>
      </c>
      <c r="X159" t="str">
        <f t="shared" si="52"/>
        <v>Accepted</v>
      </c>
      <c r="Y159">
        <f>IFERROR(VLOOKUP(N159, Payment_Terms!A:B, 2, FALSE), "Payment term not found!")</f>
        <v>0</v>
      </c>
      <c r="Z159" t="str">
        <f>IFERROR(VLOOKUP(R159, Item_Category!A:B, 2, FALSE), "Uncategorized")</f>
        <v>Magnesium stearate</v>
      </c>
      <c r="AA159" s="5">
        <f t="shared" si="38"/>
        <v>0</v>
      </c>
      <c r="AB159">
        <f t="shared" si="39"/>
        <v>5</v>
      </c>
      <c r="AC159" s="10">
        <f t="shared" si="40"/>
        <v>-1</v>
      </c>
      <c r="AD159">
        <f t="shared" si="41"/>
        <v>5</v>
      </c>
      <c r="AE159" s="10">
        <f t="shared" si="42"/>
        <v>9</v>
      </c>
      <c r="AF159" s="5">
        <f t="shared" si="35"/>
        <v>1</v>
      </c>
      <c r="AG159" s="5">
        <f t="shared" si="36"/>
        <v>1</v>
      </c>
      <c r="AH159" s="5">
        <f t="shared" si="43"/>
        <v>0</v>
      </c>
      <c r="AI159">
        <f>IF(B159&lt;&gt;"", COUNTIFS($B$2:B159, B159), "")</f>
        <v>1</v>
      </c>
      <c r="AJ159">
        <f t="shared" si="44"/>
        <v>5</v>
      </c>
      <c r="AK159">
        <f t="shared" si="37"/>
        <v>5</v>
      </c>
      <c r="AL159">
        <f t="shared" si="45"/>
        <v>4</v>
      </c>
      <c r="AM159" t="str">
        <f t="shared" si="46"/>
        <v>April</v>
      </c>
      <c r="AN159">
        <f t="shared" si="47"/>
        <v>2023</v>
      </c>
      <c r="AO159" t="str">
        <f t="shared" si="48"/>
        <v>&gt;3</v>
      </c>
      <c r="AP159" t="str">
        <f t="shared" si="49"/>
        <v>&gt;3</v>
      </c>
      <c r="AQ159" t="str">
        <f t="shared" si="50"/>
        <v>&gt;3</v>
      </c>
    </row>
    <row r="160" spans="1:43" x14ac:dyDescent="0.3">
      <c r="A160" t="str">
        <f>A154</f>
        <v>Woodpulp</v>
      </c>
      <c r="B160" t="s">
        <v>140</v>
      </c>
      <c r="C160" t="s">
        <v>141</v>
      </c>
      <c r="D160">
        <v>1711</v>
      </c>
      <c r="E160">
        <v>23120018</v>
      </c>
      <c r="F160" t="s">
        <v>142</v>
      </c>
      <c r="G160" t="s">
        <v>360</v>
      </c>
      <c r="H160">
        <v>100</v>
      </c>
      <c r="I160">
        <v>830</v>
      </c>
      <c r="J160">
        <v>6756200</v>
      </c>
      <c r="K160" s="7" t="str">
        <f>IFERROR(IF(B160&lt;&gt;"", TEXT(VLOOKUP(B160, 'Expected Date'!A:B, 2, FALSE) + DATE(RIGHT(C160,2),MID(C160,4,2),LEFT(C160,2)), "dd/mm/yy"), ""), "")</f>
        <v>22/06/23</v>
      </c>
      <c r="L160" t="s">
        <v>68</v>
      </c>
      <c r="M160" t="str">
        <f>M47</f>
        <v>MT</v>
      </c>
      <c r="N160" t="s">
        <v>144</v>
      </c>
      <c r="O160" t="s">
        <v>146</v>
      </c>
      <c r="P160">
        <v>23190177</v>
      </c>
      <c r="Q160" t="s">
        <v>142</v>
      </c>
      <c r="R160" t="s">
        <v>360</v>
      </c>
      <c r="S160">
        <v>99.369</v>
      </c>
      <c r="T160">
        <v>830</v>
      </c>
      <c r="U160">
        <v>6668206.4299999997</v>
      </c>
      <c r="V160" t="str">
        <f t="shared" si="51"/>
        <v>Hyderabad</v>
      </c>
      <c r="W160" t="str">
        <f>VLOOKUP(B160, Currency!A:B, 2, FALSE)</f>
        <v>USD</v>
      </c>
      <c r="X160" t="str">
        <f t="shared" si="52"/>
        <v>Accepted</v>
      </c>
      <c r="Y160">
        <f>IFERROR(VLOOKUP(N160, Payment_Terms!A:B, 2, FALSE), "Payment term not found!")</f>
        <v>30</v>
      </c>
      <c r="Z160" t="str">
        <f>IFERROR(VLOOKUP(R160, Item_Category!A:B, 2, FALSE), "Uncategorized")</f>
        <v>Wood pulp</v>
      </c>
      <c r="AA160" s="5">
        <f t="shared" si="38"/>
        <v>6.3100000000000022E-3</v>
      </c>
      <c r="AB160">
        <f t="shared" si="39"/>
        <v>4</v>
      </c>
      <c r="AC160" s="10">
        <f t="shared" si="40"/>
        <v>-44</v>
      </c>
      <c r="AD160">
        <f t="shared" si="41"/>
        <v>5</v>
      </c>
      <c r="AE160" s="10">
        <f t="shared" si="42"/>
        <v>1</v>
      </c>
      <c r="AF160" s="5">
        <f t="shared" si="35"/>
        <v>1</v>
      </c>
      <c r="AG160" s="5">
        <f t="shared" si="36"/>
        <v>1</v>
      </c>
      <c r="AH160" s="5">
        <f t="shared" si="43"/>
        <v>0</v>
      </c>
      <c r="AI160">
        <f>IF(B160&lt;&gt;"", COUNTIFS($B$2:B160, B160), "")</f>
        <v>12</v>
      </c>
      <c r="AJ160">
        <f t="shared" si="44"/>
        <v>5</v>
      </c>
      <c r="AK160">
        <f t="shared" si="37"/>
        <v>5</v>
      </c>
      <c r="AL160">
        <f t="shared" si="45"/>
        <v>5</v>
      </c>
      <c r="AM160" t="str">
        <f t="shared" si="46"/>
        <v>May</v>
      </c>
      <c r="AN160">
        <f t="shared" si="47"/>
        <v>2023</v>
      </c>
      <c r="AO160" t="str">
        <f t="shared" si="48"/>
        <v>&gt;3</v>
      </c>
      <c r="AP160" t="str">
        <f t="shared" si="49"/>
        <v>&gt;3</v>
      </c>
      <c r="AQ160" t="str">
        <f t="shared" si="50"/>
        <v>&gt;3</v>
      </c>
    </row>
    <row r="161" spans="1:43" x14ac:dyDescent="0.3">
      <c r="A161" t="s">
        <v>33</v>
      </c>
      <c r="B161" t="s">
        <v>73</v>
      </c>
      <c r="C161" t="s">
        <v>80</v>
      </c>
      <c r="D161">
        <v>1278</v>
      </c>
      <c r="E161">
        <v>23110026</v>
      </c>
      <c r="F161" t="s">
        <v>75</v>
      </c>
      <c r="G161" t="s">
        <v>76</v>
      </c>
      <c r="H161">
        <v>60</v>
      </c>
      <c r="I161">
        <v>3800</v>
      </c>
      <c r="J161">
        <v>228000</v>
      </c>
      <c r="K161" s="7" t="str">
        <f>IFERROR(IF(B161&lt;&gt;"", TEXT(VLOOKUP(B161, 'Expected Date'!A:B, 2, FALSE) + DATE(RIGHT(C161,2),MID(C161,4,2),LEFT(C161,2)), "dd/mm/yy"), ""), "")</f>
        <v>04/05/23</v>
      </c>
      <c r="L161" t="s">
        <v>38</v>
      </c>
      <c r="M161" t="s">
        <v>39</v>
      </c>
      <c r="N161" t="s">
        <v>77</v>
      </c>
      <c r="O161" t="s">
        <v>141</v>
      </c>
      <c r="P161">
        <v>23190180</v>
      </c>
      <c r="Q161" t="s">
        <v>75</v>
      </c>
      <c r="R161" t="s">
        <v>76</v>
      </c>
      <c r="S161">
        <v>60</v>
      </c>
      <c r="T161">
        <v>3800</v>
      </c>
      <c r="U161">
        <v>228000</v>
      </c>
      <c r="V161" t="str">
        <f t="shared" si="51"/>
        <v>Hyderabad</v>
      </c>
      <c r="W161" t="str">
        <f>VLOOKUP(B161, Currency!A:B, 2, FALSE)</f>
        <v>INR</v>
      </c>
      <c r="X161" t="str">
        <f t="shared" si="52"/>
        <v>Accepted</v>
      </c>
      <c r="Y161">
        <f>IFERROR(VLOOKUP(N161, Payment_Terms!A:B, 2, FALSE), "Payment term not found!")</f>
        <v>0</v>
      </c>
      <c r="Z161" t="str">
        <f>IFERROR(VLOOKUP(R161, Item_Category!A:B, 2, FALSE), "Uncategorized")</f>
        <v>Pallets</v>
      </c>
      <c r="AA161" s="5">
        <f t="shared" si="38"/>
        <v>0</v>
      </c>
      <c r="AB161">
        <f t="shared" si="39"/>
        <v>5</v>
      </c>
      <c r="AC161" s="10">
        <f t="shared" si="40"/>
        <v>4</v>
      </c>
      <c r="AD161">
        <f t="shared" si="41"/>
        <v>4</v>
      </c>
      <c r="AE161" s="10">
        <f t="shared" si="42"/>
        <v>24</v>
      </c>
      <c r="AF161" s="5">
        <f t="shared" si="35"/>
        <v>1</v>
      </c>
      <c r="AG161" s="5">
        <f t="shared" si="36"/>
        <v>1</v>
      </c>
      <c r="AH161" s="5">
        <f t="shared" si="43"/>
        <v>0</v>
      </c>
      <c r="AI161">
        <f>IF(B161&lt;&gt;"", COUNTIFS($B$2:B161, B161), "")</f>
        <v>11</v>
      </c>
      <c r="AJ161">
        <f t="shared" si="44"/>
        <v>5</v>
      </c>
      <c r="AK161">
        <f t="shared" si="37"/>
        <v>5</v>
      </c>
      <c r="AL161">
        <f t="shared" si="45"/>
        <v>4</v>
      </c>
      <c r="AM161" t="str">
        <f t="shared" si="46"/>
        <v>April</v>
      </c>
      <c r="AN161">
        <f t="shared" si="47"/>
        <v>2023</v>
      </c>
      <c r="AO161" t="str">
        <f t="shared" si="48"/>
        <v>&gt;3</v>
      </c>
      <c r="AP161" t="str">
        <f t="shared" si="49"/>
        <v>&gt;3</v>
      </c>
      <c r="AQ161" t="str">
        <f t="shared" si="50"/>
        <v>&gt;3</v>
      </c>
    </row>
    <row r="162" spans="1:43" x14ac:dyDescent="0.3">
      <c r="A162" t="str">
        <f>A160</f>
        <v>Woodpulp</v>
      </c>
      <c r="B162" t="s">
        <v>140</v>
      </c>
      <c r="C162" t="s">
        <v>71</v>
      </c>
      <c r="D162">
        <v>2722</v>
      </c>
      <c r="E162">
        <v>23120071</v>
      </c>
      <c r="F162" t="s">
        <v>142</v>
      </c>
      <c r="G162" t="s">
        <v>360</v>
      </c>
      <c r="H162">
        <v>125</v>
      </c>
      <c r="I162">
        <v>830</v>
      </c>
      <c r="J162">
        <v>8476375</v>
      </c>
      <c r="K162" s="7" t="str">
        <f>IFERROR(IF(B162&lt;&gt;"", TEXT(VLOOKUP(B162, 'Expected Date'!A:B, 2, FALSE) + DATE(RIGHT(C162,2),MID(C162,4,2),LEFT(C162,2)), "dd/mm/yy"), ""), "")</f>
        <v>06/08/23</v>
      </c>
      <c r="L162" t="s">
        <v>68</v>
      </c>
      <c r="M162" t="str">
        <f>M47</f>
        <v>MT</v>
      </c>
      <c r="N162" t="s">
        <v>190</v>
      </c>
      <c r="O162" t="s">
        <v>270</v>
      </c>
      <c r="P162">
        <v>23191115</v>
      </c>
      <c r="Q162" t="s">
        <v>142</v>
      </c>
      <c r="R162" t="s">
        <v>360</v>
      </c>
      <c r="S162">
        <v>122.923</v>
      </c>
      <c r="T162">
        <v>830</v>
      </c>
      <c r="U162">
        <v>8386544.5999999996</v>
      </c>
      <c r="V162" t="str">
        <f t="shared" si="51"/>
        <v>Hyderabad</v>
      </c>
      <c r="W162" t="str">
        <f>VLOOKUP(B162, Currency!A:B, 2, FALSE)</f>
        <v>USD</v>
      </c>
      <c r="X162" t="str">
        <f t="shared" si="52"/>
        <v>Accepted</v>
      </c>
      <c r="Y162">
        <f>IFERROR(VLOOKUP(N162, Payment_Terms!A:B, 2, FALSE), "Payment term not found!")</f>
        <v>0</v>
      </c>
      <c r="Z162" t="str">
        <f>IFERROR(VLOOKUP(R162, Item_Category!A:B, 2, FALSE), "Uncategorized")</f>
        <v>Wood pulp</v>
      </c>
      <c r="AA162" s="5">
        <f t="shared" si="38"/>
        <v>1.6615999999999985E-2</v>
      </c>
      <c r="AB162">
        <f t="shared" si="39"/>
        <v>4</v>
      </c>
      <c r="AC162" s="10">
        <f t="shared" si="40"/>
        <v>41</v>
      </c>
      <c r="AD162">
        <f t="shared" si="41"/>
        <v>1</v>
      </c>
      <c r="AE162" s="10">
        <f t="shared" si="42"/>
        <v>86</v>
      </c>
      <c r="AF162" s="5">
        <f t="shared" si="35"/>
        <v>1</v>
      </c>
      <c r="AG162" s="5">
        <f t="shared" si="36"/>
        <v>1</v>
      </c>
      <c r="AH162" s="5">
        <f t="shared" si="43"/>
        <v>0</v>
      </c>
      <c r="AI162">
        <f>IF(B162&lt;&gt;"", COUNTIFS($B$2:B162, B162), "")</f>
        <v>13</v>
      </c>
      <c r="AJ162">
        <f t="shared" si="44"/>
        <v>5</v>
      </c>
      <c r="AK162">
        <f t="shared" si="37"/>
        <v>4</v>
      </c>
      <c r="AL162">
        <f t="shared" si="45"/>
        <v>6</v>
      </c>
      <c r="AM162" t="str">
        <f t="shared" si="46"/>
        <v>June</v>
      </c>
      <c r="AN162">
        <f t="shared" si="47"/>
        <v>2023</v>
      </c>
      <c r="AO162" t="str">
        <f t="shared" si="48"/>
        <v>&gt;3</v>
      </c>
      <c r="AP162" t="str">
        <f t="shared" si="49"/>
        <v>&gt;3</v>
      </c>
      <c r="AQ162" t="str">
        <f t="shared" si="50"/>
        <v>&lt;=3</v>
      </c>
    </row>
    <row r="163" spans="1:43" x14ac:dyDescent="0.3">
      <c r="A163" t="s">
        <v>33</v>
      </c>
      <c r="B163" t="s">
        <v>147</v>
      </c>
      <c r="C163" t="s">
        <v>179</v>
      </c>
      <c r="D163">
        <v>2112</v>
      </c>
      <c r="E163">
        <v>23120033</v>
      </c>
      <c r="F163" t="s">
        <v>148</v>
      </c>
      <c r="G163" t="s">
        <v>149</v>
      </c>
      <c r="H163">
        <v>1500</v>
      </c>
      <c r="I163">
        <v>225</v>
      </c>
      <c r="J163">
        <v>337500</v>
      </c>
      <c r="K163" s="7" t="str">
        <f>IFERROR(IF(B163&lt;&gt;"", TEXT(VLOOKUP(B163, 'Expected Date'!A:B, 2, FALSE) + DATE(RIGHT(C163,2),MID(C163,4,2),LEFT(C163,2)), "dd/mm/yy"), ""), "")</f>
        <v>02/06/23</v>
      </c>
      <c r="L163" t="s">
        <v>38</v>
      </c>
      <c r="M163" t="s">
        <v>39</v>
      </c>
      <c r="N163" t="s">
        <v>49</v>
      </c>
      <c r="O163" t="s">
        <v>271</v>
      </c>
      <c r="P163">
        <v>23190411</v>
      </c>
      <c r="Q163" t="s">
        <v>148</v>
      </c>
      <c r="R163" t="s">
        <v>149</v>
      </c>
      <c r="S163">
        <v>504</v>
      </c>
      <c r="T163">
        <v>225</v>
      </c>
      <c r="U163">
        <v>113400</v>
      </c>
      <c r="V163" t="str">
        <f t="shared" si="51"/>
        <v>Hyderabad</v>
      </c>
      <c r="W163" t="str">
        <f>VLOOKUP(B163, Currency!A:B, 2, FALSE)</f>
        <v>INR</v>
      </c>
      <c r="X163" t="str">
        <f t="shared" si="52"/>
        <v>Accepted</v>
      </c>
      <c r="Y163">
        <f>IFERROR(VLOOKUP(N163, Payment_Terms!A:B, 2, FALSE), "Payment term not found!")</f>
        <v>30</v>
      </c>
      <c r="Z163" t="str">
        <f>IFERROR(VLOOKUP(R163, Item_Category!A:B, 2, FALSE), "Uncategorized")</f>
        <v>Fibre drum</v>
      </c>
      <c r="AA163" s="5">
        <f t="shared" si="38"/>
        <v>0</v>
      </c>
      <c r="AB163">
        <f t="shared" si="39"/>
        <v>5</v>
      </c>
      <c r="AC163" s="10">
        <f t="shared" si="40"/>
        <v>9</v>
      </c>
      <c r="AD163">
        <f t="shared" si="41"/>
        <v>2</v>
      </c>
      <c r="AE163" s="10">
        <f t="shared" si="42"/>
        <v>19</v>
      </c>
      <c r="AF163" s="5">
        <f t="shared" si="35"/>
        <v>1</v>
      </c>
      <c r="AG163" s="5">
        <f t="shared" si="36"/>
        <v>1</v>
      </c>
      <c r="AH163" s="5">
        <f t="shared" si="43"/>
        <v>0</v>
      </c>
      <c r="AI163">
        <f>IF(B163&lt;&gt;"", COUNTIFS($B$2:B163, B163), "")</f>
        <v>5</v>
      </c>
      <c r="AJ163">
        <f t="shared" si="44"/>
        <v>5</v>
      </c>
      <c r="AK163">
        <f t="shared" si="37"/>
        <v>5</v>
      </c>
      <c r="AL163">
        <f t="shared" si="45"/>
        <v>5</v>
      </c>
      <c r="AM163" t="str">
        <f t="shared" si="46"/>
        <v>May</v>
      </c>
      <c r="AN163">
        <f t="shared" si="47"/>
        <v>2023</v>
      </c>
      <c r="AO163" t="str">
        <f t="shared" si="48"/>
        <v>&gt;3</v>
      </c>
      <c r="AP163" t="str">
        <f t="shared" si="49"/>
        <v>&gt;3</v>
      </c>
      <c r="AQ163" t="str">
        <f t="shared" si="50"/>
        <v>&lt;=3</v>
      </c>
    </row>
    <row r="164" spans="1:43" x14ac:dyDescent="0.3">
      <c r="A164" t="s">
        <v>33</v>
      </c>
      <c r="B164" t="s">
        <v>147</v>
      </c>
      <c r="C164" t="s">
        <v>179</v>
      </c>
      <c r="D164">
        <v>2112</v>
      </c>
      <c r="E164">
        <v>23120033</v>
      </c>
      <c r="F164" t="s">
        <v>148</v>
      </c>
      <c r="G164" t="s">
        <v>149</v>
      </c>
      <c r="H164">
        <v>1500</v>
      </c>
      <c r="I164">
        <v>225</v>
      </c>
      <c r="J164">
        <v>337500</v>
      </c>
      <c r="K164" s="7" t="str">
        <f>IFERROR(IF(B164&lt;&gt;"", TEXT(VLOOKUP(B164, 'Expected Date'!A:B, 2, FALSE) + DATE(RIGHT(C164,2),MID(C164,4,2),LEFT(C164,2)), "dd/mm/yy"), ""), "")</f>
        <v>02/06/23</v>
      </c>
      <c r="L164" t="s">
        <v>38</v>
      </c>
      <c r="M164" t="s">
        <v>39</v>
      </c>
      <c r="N164" t="s">
        <v>49</v>
      </c>
      <c r="O164" t="s">
        <v>195</v>
      </c>
      <c r="P164">
        <v>23190434</v>
      </c>
      <c r="Q164" t="s">
        <v>148</v>
      </c>
      <c r="R164" t="s">
        <v>149</v>
      </c>
      <c r="S164">
        <v>498</v>
      </c>
      <c r="T164">
        <v>225</v>
      </c>
      <c r="U164">
        <v>112050</v>
      </c>
      <c r="V164" t="str">
        <f t="shared" si="51"/>
        <v>Hyderabad</v>
      </c>
      <c r="W164" t="str">
        <f>VLOOKUP(B164, Currency!A:B, 2, FALSE)</f>
        <v>INR</v>
      </c>
      <c r="X164" t="str">
        <f t="shared" si="52"/>
        <v>Accepted</v>
      </c>
      <c r="Y164">
        <f>IFERROR(VLOOKUP(N164, Payment_Terms!A:B, 2, FALSE), "Payment term not found!")</f>
        <v>30</v>
      </c>
      <c r="Z164" t="str">
        <f>IFERROR(VLOOKUP(R164, Item_Category!A:B, 2, FALSE), "Uncategorized")</f>
        <v>Fibre drum</v>
      </c>
      <c r="AA164" s="5">
        <f t="shared" si="38"/>
        <v>0</v>
      </c>
      <c r="AB164">
        <f t="shared" si="39"/>
        <v>5</v>
      </c>
      <c r="AC164" s="10">
        <f t="shared" si="40"/>
        <v>13</v>
      </c>
      <c r="AD164">
        <f t="shared" si="41"/>
        <v>1</v>
      </c>
      <c r="AE164" s="10">
        <f t="shared" si="42"/>
        <v>23</v>
      </c>
      <c r="AF164" s="5">
        <f t="shared" si="35"/>
        <v>1</v>
      </c>
      <c r="AG164" s="5">
        <f t="shared" si="36"/>
        <v>1</v>
      </c>
      <c r="AH164" s="5">
        <f t="shared" si="43"/>
        <v>0</v>
      </c>
      <c r="AI164">
        <f>IF(B164&lt;&gt;"", COUNTIFS($B$2:B164, B164), "")</f>
        <v>6</v>
      </c>
      <c r="AJ164">
        <f t="shared" si="44"/>
        <v>5</v>
      </c>
      <c r="AK164">
        <f t="shared" si="37"/>
        <v>4</v>
      </c>
      <c r="AL164">
        <f t="shared" si="45"/>
        <v>5</v>
      </c>
      <c r="AM164" t="str">
        <f t="shared" si="46"/>
        <v>May</v>
      </c>
      <c r="AN164">
        <f t="shared" si="47"/>
        <v>2023</v>
      </c>
      <c r="AO164" t="str">
        <f t="shared" si="48"/>
        <v>&gt;3</v>
      </c>
      <c r="AP164" t="str">
        <f t="shared" si="49"/>
        <v>&gt;3</v>
      </c>
      <c r="AQ164" t="str">
        <f t="shared" si="50"/>
        <v>&lt;=3</v>
      </c>
    </row>
    <row r="165" spans="1:43" x14ac:dyDescent="0.3">
      <c r="A165" t="s">
        <v>33</v>
      </c>
      <c r="B165" t="s">
        <v>107</v>
      </c>
      <c r="C165" t="s">
        <v>117</v>
      </c>
      <c r="D165">
        <v>2899</v>
      </c>
      <c r="E165">
        <v>23120083</v>
      </c>
      <c r="F165" t="s">
        <v>118</v>
      </c>
      <c r="G165" t="s">
        <v>119</v>
      </c>
      <c r="H165">
        <v>6000</v>
      </c>
      <c r="I165">
        <v>33.25</v>
      </c>
      <c r="J165">
        <v>199500</v>
      </c>
      <c r="K165" s="7" t="str">
        <f>IFERROR(IF(B165&lt;&gt;"", TEXT(VLOOKUP(B165, 'Expected Date'!A:B, 2, FALSE) + DATE(RIGHT(C165,2),MID(C165,4,2),LEFT(C165,2)), "dd/mm/yy"), ""), "")</f>
        <v>17/07/23</v>
      </c>
      <c r="L165" t="s">
        <v>38</v>
      </c>
      <c r="M165" t="s">
        <v>39</v>
      </c>
      <c r="N165" t="s">
        <v>109</v>
      </c>
      <c r="O165" t="s">
        <v>181</v>
      </c>
      <c r="P165">
        <v>23191104</v>
      </c>
      <c r="Q165" t="s">
        <v>118</v>
      </c>
      <c r="R165" t="s">
        <v>119</v>
      </c>
      <c r="S165">
        <v>2100</v>
      </c>
      <c r="T165">
        <v>33.25</v>
      </c>
      <c r="U165">
        <v>69825</v>
      </c>
      <c r="V165" t="str">
        <f t="shared" si="51"/>
        <v>Hyderabad</v>
      </c>
      <c r="W165" t="str">
        <f>VLOOKUP(B165, Currency!A:B, 2, FALSE)</f>
        <v>INR</v>
      </c>
      <c r="X165" t="str">
        <f t="shared" si="52"/>
        <v>Accepted</v>
      </c>
      <c r="Y165">
        <f>IFERROR(VLOOKUP(N165, Payment_Terms!A:B, 2, FALSE), "Payment term not found!")</f>
        <v>0</v>
      </c>
      <c r="Z165" t="str">
        <f>IFERROR(VLOOKUP(R165, Item_Category!A:B, 2, FALSE), "Uncategorized")</f>
        <v>Bags</v>
      </c>
      <c r="AA165" s="5">
        <f t="shared" si="38"/>
        <v>0</v>
      </c>
      <c r="AB165">
        <f t="shared" si="39"/>
        <v>5</v>
      </c>
      <c r="AC165" s="10">
        <f t="shared" si="40"/>
        <v>66</v>
      </c>
      <c r="AD165">
        <f t="shared" si="41"/>
        <v>1</v>
      </c>
      <c r="AE165" s="10">
        <f t="shared" si="42"/>
        <v>76</v>
      </c>
      <c r="AF165" s="5">
        <f t="shared" si="35"/>
        <v>1</v>
      </c>
      <c r="AG165" s="5">
        <f t="shared" si="36"/>
        <v>1</v>
      </c>
      <c r="AH165" s="5">
        <f t="shared" si="43"/>
        <v>0</v>
      </c>
      <c r="AI165">
        <f>IF(B165&lt;&gt;"", COUNTIFS($B$2:B165, B165), "")</f>
        <v>10</v>
      </c>
      <c r="AJ165">
        <f t="shared" si="44"/>
        <v>5</v>
      </c>
      <c r="AK165">
        <f t="shared" si="37"/>
        <v>4</v>
      </c>
      <c r="AL165">
        <f t="shared" si="45"/>
        <v>7</v>
      </c>
      <c r="AM165" t="str">
        <f t="shared" si="46"/>
        <v>July</v>
      </c>
      <c r="AN165">
        <f t="shared" si="47"/>
        <v>2023</v>
      </c>
      <c r="AO165" t="str">
        <f t="shared" si="48"/>
        <v>&gt;3</v>
      </c>
      <c r="AP165" t="str">
        <f t="shared" si="49"/>
        <v>&gt;3</v>
      </c>
      <c r="AQ165" t="str">
        <f t="shared" si="50"/>
        <v>&lt;=3</v>
      </c>
    </row>
    <row r="166" spans="1:43" x14ac:dyDescent="0.3">
      <c r="A166" t="s">
        <v>33</v>
      </c>
      <c r="B166" t="s">
        <v>73</v>
      </c>
      <c r="C166" t="s">
        <v>228</v>
      </c>
      <c r="D166">
        <v>4551</v>
      </c>
      <c r="E166">
        <v>23110457</v>
      </c>
      <c r="F166" t="s">
        <v>75</v>
      </c>
      <c r="G166" t="s">
        <v>76</v>
      </c>
      <c r="H166">
        <v>60</v>
      </c>
      <c r="I166">
        <v>3800</v>
      </c>
      <c r="J166">
        <v>228000</v>
      </c>
      <c r="K166" s="7" t="str">
        <f>IFERROR(IF(B166&lt;&gt;"", TEXT(VLOOKUP(B166, 'Expected Date'!A:B, 2, FALSE) + DATE(RIGHT(C166,2),MID(C166,4,2),LEFT(C166,2)), "dd/mm/yy"), ""), "")</f>
        <v>12/10/23</v>
      </c>
      <c r="L166" t="s">
        <v>38</v>
      </c>
      <c r="M166" t="s">
        <v>39</v>
      </c>
      <c r="N166" t="s">
        <v>273</v>
      </c>
      <c r="O166" t="s">
        <v>254</v>
      </c>
      <c r="P166">
        <v>23191317</v>
      </c>
      <c r="Q166" t="s">
        <v>75</v>
      </c>
      <c r="R166" t="s">
        <v>76</v>
      </c>
      <c r="S166">
        <v>60</v>
      </c>
      <c r="T166">
        <v>3800</v>
      </c>
      <c r="U166">
        <v>228000</v>
      </c>
      <c r="V166" t="str">
        <f t="shared" si="51"/>
        <v>Hyderabad</v>
      </c>
      <c r="W166" t="str">
        <f>VLOOKUP(B166, Currency!A:B, 2, FALSE)</f>
        <v>INR</v>
      </c>
      <c r="X166" t="str">
        <f t="shared" si="52"/>
        <v>Accepted</v>
      </c>
      <c r="Y166">
        <f>IFERROR(VLOOKUP(N166, Payment_Terms!A:B, 2, FALSE), "Payment term not found!")</f>
        <v>0</v>
      </c>
      <c r="Z166" t="str">
        <f>IFERROR(VLOOKUP(R166, Item_Category!A:B, 2, FALSE), "Uncategorized")</f>
        <v>Pallets</v>
      </c>
      <c r="AA166" s="5">
        <f t="shared" si="38"/>
        <v>0</v>
      </c>
      <c r="AB166">
        <f t="shared" si="39"/>
        <v>5</v>
      </c>
      <c r="AC166" s="10">
        <f t="shared" si="40"/>
        <v>2</v>
      </c>
      <c r="AD166">
        <f t="shared" si="41"/>
        <v>5</v>
      </c>
      <c r="AE166" s="10">
        <f t="shared" si="42"/>
        <v>22</v>
      </c>
      <c r="AF166" s="5">
        <f t="shared" si="35"/>
        <v>1</v>
      </c>
      <c r="AG166" s="5">
        <f t="shared" si="36"/>
        <v>1</v>
      </c>
      <c r="AH166" s="5">
        <f t="shared" si="43"/>
        <v>0</v>
      </c>
      <c r="AI166">
        <f>IF(B166&lt;&gt;"", COUNTIFS($B$2:B166, B166), "")</f>
        <v>12</v>
      </c>
      <c r="AJ166">
        <f t="shared" si="44"/>
        <v>5</v>
      </c>
      <c r="AK166">
        <f t="shared" si="37"/>
        <v>5</v>
      </c>
      <c r="AL166">
        <f t="shared" si="45"/>
        <v>9</v>
      </c>
      <c r="AM166" t="str">
        <f t="shared" si="46"/>
        <v>September</v>
      </c>
      <c r="AN166">
        <f t="shared" si="47"/>
        <v>2023</v>
      </c>
      <c r="AO166" t="str">
        <f t="shared" si="48"/>
        <v>&gt;3</v>
      </c>
      <c r="AP166" t="str">
        <f t="shared" si="49"/>
        <v>&gt;3</v>
      </c>
      <c r="AQ166" t="str">
        <f t="shared" si="50"/>
        <v>&gt;3</v>
      </c>
    </row>
    <row r="167" spans="1:43" x14ac:dyDescent="0.3">
      <c r="A167" t="s">
        <v>33</v>
      </c>
      <c r="B167" t="s">
        <v>274</v>
      </c>
      <c r="C167" t="s">
        <v>249</v>
      </c>
      <c r="D167">
        <v>2549</v>
      </c>
      <c r="E167">
        <v>23120049</v>
      </c>
      <c r="F167" t="s">
        <v>250</v>
      </c>
      <c r="G167" t="s">
        <v>251</v>
      </c>
      <c r="H167">
        <v>800</v>
      </c>
      <c r="I167">
        <v>390</v>
      </c>
      <c r="J167">
        <v>312000</v>
      </c>
      <c r="K167" s="7" t="str">
        <f>IFERROR(IF(B167&lt;&gt;"", TEXT(VLOOKUP(B167, 'Expected Date'!A:B, 2, FALSE) + DATE(RIGHT(C167,2),MID(C167,4,2),LEFT(C167,2)), "dd/mm/yy"), ""), "")</f>
        <v>01/07/23</v>
      </c>
      <c r="L167" t="s">
        <v>38</v>
      </c>
      <c r="M167" t="s">
        <v>39</v>
      </c>
      <c r="N167" t="s">
        <v>109</v>
      </c>
      <c r="O167" t="s">
        <v>60</v>
      </c>
      <c r="P167">
        <v>23190501</v>
      </c>
      <c r="Q167" t="s">
        <v>250</v>
      </c>
      <c r="R167" t="s">
        <v>251</v>
      </c>
      <c r="S167">
        <v>400</v>
      </c>
      <c r="T167">
        <v>390</v>
      </c>
      <c r="U167">
        <v>156000</v>
      </c>
      <c r="V167" t="str">
        <f t="shared" si="51"/>
        <v>Hyderabad</v>
      </c>
      <c r="W167" t="str">
        <f>VLOOKUP(B167, Currency!A:B, 2, FALSE)</f>
        <v>INR</v>
      </c>
      <c r="X167" t="str">
        <f t="shared" si="52"/>
        <v>Accepted</v>
      </c>
      <c r="Y167">
        <f>IFERROR(VLOOKUP(N167, Payment_Terms!A:B, 2, FALSE), "Payment term not found!")</f>
        <v>0</v>
      </c>
      <c r="Z167" t="str">
        <f>IFERROR(VLOOKUP(R167, Item_Category!A:B, 2, FALSE), "Uncategorized")</f>
        <v>HDPE</v>
      </c>
      <c r="AA167" s="5">
        <f t="shared" si="38"/>
        <v>0</v>
      </c>
      <c r="AB167">
        <f t="shared" si="39"/>
        <v>5</v>
      </c>
      <c r="AC167" s="10">
        <f t="shared" si="40"/>
        <v>-5</v>
      </c>
      <c r="AD167">
        <f t="shared" si="41"/>
        <v>5</v>
      </c>
      <c r="AE167" s="10">
        <f t="shared" si="42"/>
        <v>5</v>
      </c>
      <c r="AF167" s="5">
        <f t="shared" si="35"/>
        <v>1</v>
      </c>
      <c r="AG167" s="5">
        <f t="shared" si="36"/>
        <v>1</v>
      </c>
      <c r="AH167" s="5">
        <f t="shared" si="43"/>
        <v>0</v>
      </c>
      <c r="AI167">
        <f>IF(B167&lt;&gt;"", COUNTIFS($B$2:B167, B167), "")</f>
        <v>1</v>
      </c>
      <c r="AJ167">
        <f t="shared" si="44"/>
        <v>5</v>
      </c>
      <c r="AK167">
        <f t="shared" si="37"/>
        <v>5</v>
      </c>
      <c r="AL167">
        <f t="shared" si="45"/>
        <v>6</v>
      </c>
      <c r="AM167" t="str">
        <f t="shared" si="46"/>
        <v>June</v>
      </c>
      <c r="AN167">
        <f t="shared" si="47"/>
        <v>2023</v>
      </c>
      <c r="AO167" t="str">
        <f t="shared" si="48"/>
        <v>&gt;3</v>
      </c>
      <c r="AP167" t="str">
        <f t="shared" si="49"/>
        <v>&gt;3</v>
      </c>
      <c r="AQ167" t="str">
        <f t="shared" si="50"/>
        <v>&gt;3</v>
      </c>
    </row>
    <row r="168" spans="1:43" x14ac:dyDescent="0.3">
      <c r="A168" t="s">
        <v>33</v>
      </c>
      <c r="B168" t="s">
        <v>73</v>
      </c>
      <c r="C168" t="s">
        <v>108</v>
      </c>
      <c r="D168">
        <v>1808</v>
      </c>
      <c r="E168">
        <v>23120022</v>
      </c>
      <c r="F168" t="s">
        <v>75</v>
      </c>
      <c r="G168" t="s">
        <v>76</v>
      </c>
      <c r="H168">
        <v>1600</v>
      </c>
      <c r="I168">
        <v>900</v>
      </c>
      <c r="J168">
        <v>1440000</v>
      </c>
      <c r="K168" s="7" t="str">
        <f>IFERROR(IF(B168&lt;&gt;"", TEXT(VLOOKUP(B168, 'Expected Date'!A:B, 2, FALSE) + DATE(RIGHT(C168,2),MID(C168,4,2),LEFT(C168,2)), "dd/mm/yy"), ""), "")</f>
        <v>30/05/23</v>
      </c>
      <c r="L168" t="s">
        <v>38</v>
      </c>
      <c r="M168" t="s">
        <v>39</v>
      </c>
      <c r="N168" t="s">
        <v>77</v>
      </c>
      <c r="O168" t="s">
        <v>139</v>
      </c>
      <c r="P168">
        <v>23190507</v>
      </c>
      <c r="Q168" t="s">
        <v>75</v>
      </c>
      <c r="R168" t="s">
        <v>76</v>
      </c>
      <c r="S168">
        <v>400</v>
      </c>
      <c r="T168">
        <v>900</v>
      </c>
      <c r="U168">
        <v>360000</v>
      </c>
      <c r="V168" t="str">
        <f t="shared" si="51"/>
        <v>Hyderabad</v>
      </c>
      <c r="W168" t="str">
        <f>VLOOKUP(B168, Currency!A:B, 2, FALSE)</f>
        <v>INR</v>
      </c>
      <c r="X168" t="str">
        <f t="shared" si="52"/>
        <v>Accepted</v>
      </c>
      <c r="Y168">
        <f>IFERROR(VLOOKUP(N168, Payment_Terms!A:B, 2, FALSE), "Payment term not found!")</f>
        <v>0</v>
      </c>
      <c r="Z168" t="str">
        <f>IFERROR(VLOOKUP(R168, Item_Category!A:B, 2, FALSE), "Uncategorized")</f>
        <v>Pallets</v>
      </c>
      <c r="AA168" s="5">
        <f t="shared" si="38"/>
        <v>0</v>
      </c>
      <c r="AB168">
        <f t="shared" si="39"/>
        <v>5</v>
      </c>
      <c r="AC168" s="10">
        <f t="shared" si="40"/>
        <v>29</v>
      </c>
      <c r="AD168">
        <f t="shared" si="41"/>
        <v>1</v>
      </c>
      <c r="AE168" s="10">
        <f t="shared" si="42"/>
        <v>49</v>
      </c>
      <c r="AF168" s="5">
        <f t="shared" si="35"/>
        <v>1</v>
      </c>
      <c r="AG168" s="5">
        <f t="shared" si="36"/>
        <v>1</v>
      </c>
      <c r="AH168" s="5">
        <f t="shared" si="43"/>
        <v>0</v>
      </c>
      <c r="AI168">
        <f>IF(B168&lt;&gt;"", COUNTIFS($B$2:B168, B168), "")</f>
        <v>13</v>
      </c>
      <c r="AJ168">
        <f t="shared" si="44"/>
        <v>5</v>
      </c>
      <c r="AK168">
        <f t="shared" si="37"/>
        <v>4</v>
      </c>
      <c r="AL168">
        <f t="shared" si="45"/>
        <v>5</v>
      </c>
      <c r="AM168" t="str">
        <f t="shared" si="46"/>
        <v>May</v>
      </c>
      <c r="AN168">
        <f t="shared" si="47"/>
        <v>2023</v>
      </c>
      <c r="AO168" t="str">
        <f t="shared" si="48"/>
        <v>&gt;3</v>
      </c>
      <c r="AP168" t="str">
        <f t="shared" si="49"/>
        <v>&gt;3</v>
      </c>
      <c r="AQ168" t="str">
        <f t="shared" si="50"/>
        <v>&lt;=3</v>
      </c>
    </row>
    <row r="169" spans="1:43" x14ac:dyDescent="0.3">
      <c r="A169" t="s">
        <v>33</v>
      </c>
      <c r="B169" t="s">
        <v>274</v>
      </c>
      <c r="C169" t="s">
        <v>249</v>
      </c>
      <c r="D169">
        <v>2549</v>
      </c>
      <c r="E169">
        <v>23120049</v>
      </c>
      <c r="F169" t="s">
        <v>250</v>
      </c>
      <c r="G169" t="s">
        <v>251</v>
      </c>
      <c r="H169">
        <v>800</v>
      </c>
      <c r="I169">
        <v>390</v>
      </c>
      <c r="J169">
        <v>312000</v>
      </c>
      <c r="K169" s="7" t="str">
        <f>IFERROR(IF(B169&lt;&gt;"", TEXT(VLOOKUP(B169, 'Expected Date'!A:B, 2, FALSE) + DATE(RIGHT(C169,2),MID(C169,4,2),LEFT(C169,2)), "dd/mm/yy"), ""), "")</f>
        <v>01/07/23</v>
      </c>
      <c r="L169" t="s">
        <v>38</v>
      </c>
      <c r="M169" t="s">
        <v>39</v>
      </c>
      <c r="N169" t="s">
        <v>109</v>
      </c>
      <c r="O169" t="s">
        <v>139</v>
      </c>
      <c r="P169">
        <v>23190509</v>
      </c>
      <c r="Q169" t="s">
        <v>250</v>
      </c>
      <c r="R169" t="s">
        <v>251</v>
      </c>
      <c r="S169">
        <v>400</v>
      </c>
      <c r="T169">
        <v>390</v>
      </c>
      <c r="U169">
        <v>156000</v>
      </c>
      <c r="V169" t="str">
        <f t="shared" si="51"/>
        <v>Hyderabad</v>
      </c>
      <c r="W169" t="str">
        <f>VLOOKUP(B169, Currency!A:B, 2, FALSE)</f>
        <v>INR</v>
      </c>
      <c r="X169" t="str">
        <f t="shared" si="52"/>
        <v>Accepted</v>
      </c>
      <c r="Y169">
        <f>IFERROR(VLOOKUP(N169, Payment_Terms!A:B, 2, FALSE), "Payment term not found!")</f>
        <v>0</v>
      </c>
      <c r="Z169" t="str">
        <f>IFERROR(VLOOKUP(R169, Item_Category!A:B, 2, FALSE), "Uncategorized")</f>
        <v>HDPE</v>
      </c>
      <c r="AA169" s="5">
        <f t="shared" si="38"/>
        <v>0</v>
      </c>
      <c r="AB169">
        <f t="shared" si="39"/>
        <v>5</v>
      </c>
      <c r="AC169" s="10">
        <f t="shared" si="40"/>
        <v>-3</v>
      </c>
      <c r="AD169">
        <f t="shared" si="41"/>
        <v>5</v>
      </c>
      <c r="AE169" s="10">
        <f t="shared" si="42"/>
        <v>7</v>
      </c>
      <c r="AF169" s="5">
        <f t="shared" si="35"/>
        <v>1</v>
      </c>
      <c r="AG169" s="5">
        <f t="shared" si="36"/>
        <v>1</v>
      </c>
      <c r="AH169" s="5">
        <f t="shared" si="43"/>
        <v>0</v>
      </c>
      <c r="AI169">
        <f>IF(B169&lt;&gt;"", COUNTIFS($B$2:B169, B169), "")</f>
        <v>2</v>
      </c>
      <c r="AJ169">
        <f t="shared" si="44"/>
        <v>5</v>
      </c>
      <c r="AK169">
        <f t="shared" si="37"/>
        <v>5</v>
      </c>
      <c r="AL169">
        <f t="shared" si="45"/>
        <v>6</v>
      </c>
      <c r="AM169" t="str">
        <f t="shared" si="46"/>
        <v>June</v>
      </c>
      <c r="AN169">
        <f t="shared" si="47"/>
        <v>2023</v>
      </c>
      <c r="AO169" t="str">
        <f t="shared" si="48"/>
        <v>&gt;3</v>
      </c>
      <c r="AP169" t="str">
        <f t="shared" si="49"/>
        <v>&gt;3</v>
      </c>
      <c r="AQ169" t="str">
        <f t="shared" si="50"/>
        <v>&gt;3</v>
      </c>
    </row>
    <row r="170" spans="1:43" x14ac:dyDescent="0.3">
      <c r="A170" t="s">
        <v>33</v>
      </c>
      <c r="B170" t="s">
        <v>44</v>
      </c>
      <c r="C170" t="s">
        <v>225</v>
      </c>
      <c r="D170">
        <v>1842</v>
      </c>
      <c r="E170">
        <v>23120027</v>
      </c>
      <c r="F170" t="s">
        <v>46</v>
      </c>
      <c r="G170" t="s">
        <v>47</v>
      </c>
      <c r="H170">
        <v>600</v>
      </c>
      <c r="I170">
        <v>80</v>
      </c>
      <c r="J170">
        <v>48000</v>
      </c>
      <c r="K170" s="7" t="str">
        <f>IFERROR(IF(B170&lt;&gt;"", TEXT(VLOOKUP(B170, 'Expected Date'!A:B, 2, FALSE) + DATE(RIGHT(C170,2),MID(C170,4,2),LEFT(C170,2)), "dd/mm/yy"), ""), "")</f>
        <v>16/05/23</v>
      </c>
      <c r="L170" t="s">
        <v>38</v>
      </c>
      <c r="M170" t="s">
        <v>48</v>
      </c>
      <c r="N170" t="s">
        <v>49</v>
      </c>
      <c r="O170" t="s">
        <v>174</v>
      </c>
      <c r="P170">
        <v>23190250</v>
      </c>
      <c r="Q170" t="s">
        <v>46</v>
      </c>
      <c r="R170" t="s">
        <v>47</v>
      </c>
      <c r="S170">
        <v>500</v>
      </c>
      <c r="T170">
        <v>80</v>
      </c>
      <c r="U170">
        <v>40000</v>
      </c>
      <c r="V170" t="str">
        <f t="shared" si="51"/>
        <v>Hyderabad</v>
      </c>
      <c r="W170" t="str">
        <f>VLOOKUP(B170, Currency!A:B, 2, FALSE)</f>
        <v>INR</v>
      </c>
      <c r="X170" t="str">
        <f t="shared" si="52"/>
        <v>Accepted</v>
      </c>
      <c r="Y170">
        <f>IFERROR(VLOOKUP(N170, Payment_Terms!A:B, 2, FALSE), "Payment term not found!")</f>
        <v>30</v>
      </c>
      <c r="Z170" t="str">
        <f>IFERROR(VLOOKUP(R170, Item_Category!A:B, 2, FALSE), "Uncategorized")</f>
        <v>Gas</v>
      </c>
      <c r="AA170" s="5">
        <f t="shared" si="38"/>
        <v>0</v>
      </c>
      <c r="AB170">
        <f t="shared" si="39"/>
        <v>5</v>
      </c>
      <c r="AC170" s="10">
        <f t="shared" si="40"/>
        <v>0</v>
      </c>
      <c r="AD170">
        <f t="shared" si="41"/>
        <v>5</v>
      </c>
      <c r="AE170" s="10">
        <f t="shared" si="42"/>
        <v>5</v>
      </c>
      <c r="AF170" s="5">
        <f t="shared" si="35"/>
        <v>1</v>
      </c>
      <c r="AG170" s="5">
        <f t="shared" si="36"/>
        <v>1</v>
      </c>
      <c r="AH170" s="5">
        <f t="shared" si="43"/>
        <v>0</v>
      </c>
      <c r="AI170">
        <f>IF(B170&lt;&gt;"", COUNTIFS($B$2:B170, B170), "")</f>
        <v>6</v>
      </c>
      <c r="AJ170">
        <f t="shared" si="44"/>
        <v>5</v>
      </c>
      <c r="AK170">
        <f t="shared" si="37"/>
        <v>5</v>
      </c>
      <c r="AL170">
        <f t="shared" si="45"/>
        <v>5</v>
      </c>
      <c r="AM170" t="str">
        <f t="shared" si="46"/>
        <v>May</v>
      </c>
      <c r="AN170">
        <f t="shared" si="47"/>
        <v>2023</v>
      </c>
      <c r="AO170" t="str">
        <f t="shared" si="48"/>
        <v>&gt;3</v>
      </c>
      <c r="AP170" t="str">
        <f t="shared" si="49"/>
        <v>&gt;3</v>
      </c>
      <c r="AQ170" t="str">
        <f t="shared" si="50"/>
        <v>&gt;3</v>
      </c>
    </row>
    <row r="171" spans="1:43" x14ac:dyDescent="0.3">
      <c r="A171" t="s">
        <v>33</v>
      </c>
      <c r="B171" t="s">
        <v>44</v>
      </c>
      <c r="C171" t="s">
        <v>65</v>
      </c>
      <c r="D171">
        <v>1391</v>
      </c>
      <c r="E171">
        <v>23110051</v>
      </c>
      <c r="F171" t="s">
        <v>46</v>
      </c>
      <c r="G171" t="s">
        <v>47</v>
      </c>
      <c r="H171">
        <v>600</v>
      </c>
      <c r="I171">
        <v>80</v>
      </c>
      <c r="J171">
        <v>48000</v>
      </c>
      <c r="K171" s="7" t="str">
        <f>IFERROR(IF(B171&lt;&gt;"", TEXT(VLOOKUP(B171, 'Expected Date'!A:B, 2, FALSE) + DATE(RIGHT(C171,2),MID(C171,4,2),LEFT(C171,2)), "dd/mm/yy"), ""), "")</f>
        <v>24/04/23</v>
      </c>
      <c r="L171" t="s">
        <v>38</v>
      </c>
      <c r="M171" t="s">
        <v>48</v>
      </c>
      <c r="N171" t="s">
        <v>49</v>
      </c>
      <c r="O171" t="s">
        <v>275</v>
      </c>
      <c r="P171">
        <v>23190414</v>
      </c>
      <c r="Q171" t="s">
        <v>46</v>
      </c>
      <c r="R171" t="s">
        <v>47</v>
      </c>
      <c r="S171">
        <v>300</v>
      </c>
      <c r="T171">
        <v>80</v>
      </c>
      <c r="U171">
        <v>24000</v>
      </c>
      <c r="V171" t="str">
        <f t="shared" si="51"/>
        <v>Hyderabad</v>
      </c>
      <c r="W171" t="str">
        <f>VLOOKUP(B171, Currency!A:B, 2, FALSE)</f>
        <v>INR</v>
      </c>
      <c r="X171" t="str">
        <f t="shared" si="52"/>
        <v>Accepted</v>
      </c>
      <c r="Y171">
        <f>IFERROR(VLOOKUP(N171, Payment_Terms!A:B, 2, FALSE), "Payment term not found!")</f>
        <v>30</v>
      </c>
      <c r="Z171" t="str">
        <f>IFERROR(VLOOKUP(R171, Item_Category!A:B, 2, FALSE), "Uncategorized")</f>
        <v>Gas</v>
      </c>
      <c r="AA171" s="5">
        <f t="shared" si="38"/>
        <v>0</v>
      </c>
      <c r="AB171">
        <f t="shared" si="39"/>
        <v>5</v>
      </c>
      <c r="AC171" s="10">
        <f t="shared" si="40"/>
        <v>49</v>
      </c>
      <c r="AD171">
        <f t="shared" si="41"/>
        <v>1</v>
      </c>
      <c r="AE171" s="10">
        <f t="shared" si="42"/>
        <v>54</v>
      </c>
      <c r="AF171" s="5">
        <f t="shared" si="35"/>
        <v>1</v>
      </c>
      <c r="AG171" s="5">
        <f t="shared" si="36"/>
        <v>1</v>
      </c>
      <c r="AH171" s="5">
        <f t="shared" si="43"/>
        <v>0</v>
      </c>
      <c r="AI171">
        <f>IF(B171&lt;&gt;"", COUNTIFS($B$2:B171, B171), "")</f>
        <v>7</v>
      </c>
      <c r="AJ171">
        <f t="shared" si="44"/>
        <v>5</v>
      </c>
      <c r="AK171">
        <f t="shared" si="37"/>
        <v>4</v>
      </c>
      <c r="AL171">
        <f t="shared" si="45"/>
        <v>4</v>
      </c>
      <c r="AM171" t="str">
        <f t="shared" si="46"/>
        <v>April</v>
      </c>
      <c r="AN171">
        <f t="shared" si="47"/>
        <v>2023</v>
      </c>
      <c r="AO171" t="str">
        <f t="shared" si="48"/>
        <v>&gt;3</v>
      </c>
      <c r="AP171" t="str">
        <f t="shared" si="49"/>
        <v>&gt;3</v>
      </c>
      <c r="AQ171" t="str">
        <f t="shared" si="50"/>
        <v>&lt;=3</v>
      </c>
    </row>
    <row r="172" spans="1:43" x14ac:dyDescent="0.3">
      <c r="A172" t="s">
        <v>33</v>
      </c>
      <c r="B172" t="s">
        <v>44</v>
      </c>
      <c r="C172" t="s">
        <v>225</v>
      </c>
      <c r="D172">
        <v>1842</v>
      </c>
      <c r="E172">
        <v>23120027</v>
      </c>
      <c r="F172" t="s">
        <v>46</v>
      </c>
      <c r="G172" t="s">
        <v>47</v>
      </c>
      <c r="H172">
        <v>600</v>
      </c>
      <c r="I172">
        <v>80</v>
      </c>
      <c r="J172">
        <v>48000</v>
      </c>
      <c r="K172" s="7" t="str">
        <f>IFERROR(IF(B172&lt;&gt;"", TEXT(VLOOKUP(B172, 'Expected Date'!A:B, 2, FALSE) + DATE(RIGHT(C172,2),MID(C172,4,2),LEFT(C172,2)), "dd/mm/yy"), ""), "")</f>
        <v>16/05/23</v>
      </c>
      <c r="L172" t="s">
        <v>38</v>
      </c>
      <c r="M172" t="s">
        <v>48</v>
      </c>
      <c r="N172" t="s">
        <v>49</v>
      </c>
      <c r="O172" t="s">
        <v>275</v>
      </c>
      <c r="P172">
        <v>23190414</v>
      </c>
      <c r="Q172" t="s">
        <v>46</v>
      </c>
      <c r="R172" t="s">
        <v>47</v>
      </c>
      <c r="S172">
        <v>100</v>
      </c>
      <c r="T172">
        <v>80</v>
      </c>
      <c r="U172">
        <v>8000</v>
      </c>
      <c r="V172" t="str">
        <f t="shared" si="51"/>
        <v>Hyderabad</v>
      </c>
      <c r="W172" t="str">
        <f>VLOOKUP(B172, Currency!A:B, 2, FALSE)</f>
        <v>INR</v>
      </c>
      <c r="X172" t="str">
        <f t="shared" si="52"/>
        <v>Accepted</v>
      </c>
      <c r="Y172">
        <f>IFERROR(VLOOKUP(N172, Payment_Terms!A:B, 2, FALSE), "Payment term not found!")</f>
        <v>30</v>
      </c>
      <c r="Z172" t="str">
        <f>IFERROR(VLOOKUP(R172, Item_Category!A:B, 2, FALSE), "Uncategorized")</f>
        <v>Gas</v>
      </c>
      <c r="AA172" s="5">
        <f t="shared" si="38"/>
        <v>0</v>
      </c>
      <c r="AB172">
        <f t="shared" si="39"/>
        <v>5</v>
      </c>
      <c r="AC172" s="10">
        <f t="shared" si="40"/>
        <v>27</v>
      </c>
      <c r="AD172">
        <f t="shared" si="41"/>
        <v>1</v>
      </c>
      <c r="AE172" s="10">
        <f t="shared" si="42"/>
        <v>32</v>
      </c>
      <c r="AF172" s="5">
        <f t="shared" si="35"/>
        <v>1</v>
      </c>
      <c r="AG172" s="5">
        <f t="shared" si="36"/>
        <v>1</v>
      </c>
      <c r="AH172" s="5">
        <f t="shared" si="43"/>
        <v>0</v>
      </c>
      <c r="AI172">
        <f>IF(B172&lt;&gt;"", COUNTIFS($B$2:B172, B172), "")</f>
        <v>8</v>
      </c>
      <c r="AJ172">
        <f t="shared" si="44"/>
        <v>5</v>
      </c>
      <c r="AK172">
        <f t="shared" si="37"/>
        <v>4</v>
      </c>
      <c r="AL172">
        <f t="shared" si="45"/>
        <v>5</v>
      </c>
      <c r="AM172" t="str">
        <f t="shared" si="46"/>
        <v>May</v>
      </c>
      <c r="AN172">
        <f t="shared" si="47"/>
        <v>2023</v>
      </c>
      <c r="AO172" t="str">
        <f t="shared" si="48"/>
        <v>&gt;3</v>
      </c>
      <c r="AP172" t="str">
        <f t="shared" si="49"/>
        <v>&gt;3</v>
      </c>
      <c r="AQ172" t="str">
        <f t="shared" si="50"/>
        <v>&lt;=3</v>
      </c>
    </row>
    <row r="173" spans="1:43" x14ac:dyDescent="0.3">
      <c r="A173" t="s">
        <v>33</v>
      </c>
      <c r="B173" t="s">
        <v>64</v>
      </c>
      <c r="C173" t="s">
        <v>105</v>
      </c>
      <c r="D173">
        <v>4033</v>
      </c>
      <c r="E173">
        <v>23120111</v>
      </c>
      <c r="F173" t="s">
        <v>232</v>
      </c>
      <c r="G173" t="s">
        <v>233</v>
      </c>
      <c r="H173">
        <v>2000</v>
      </c>
      <c r="I173">
        <v>22.5</v>
      </c>
      <c r="J173">
        <v>45000</v>
      </c>
      <c r="K173" s="7" t="str">
        <f>IFERROR(IF(B173&lt;&gt;"", TEXT(VLOOKUP(B173, 'Expected Date'!A:B, 2, FALSE) + DATE(RIGHT(C173,2),MID(C173,4,2),LEFT(C173,2)), "dd/mm/yy"), ""), "")</f>
        <v>04/09/23</v>
      </c>
      <c r="L173" t="s">
        <v>38</v>
      </c>
      <c r="M173" t="s">
        <v>39</v>
      </c>
      <c r="N173" t="s">
        <v>69</v>
      </c>
      <c r="O173" t="s">
        <v>206</v>
      </c>
      <c r="P173">
        <v>23191059</v>
      </c>
      <c r="Q173" t="s">
        <v>232</v>
      </c>
      <c r="R173" t="s">
        <v>233</v>
      </c>
      <c r="S173">
        <v>2000</v>
      </c>
      <c r="T173">
        <v>22.5</v>
      </c>
      <c r="U173">
        <v>45000</v>
      </c>
      <c r="V173" t="str">
        <f t="shared" si="51"/>
        <v>Hyderabad</v>
      </c>
      <c r="W173" t="str">
        <f>VLOOKUP(B173, Currency!A:B, 2, FALSE)</f>
        <v>INR</v>
      </c>
      <c r="X173" t="str">
        <f t="shared" si="52"/>
        <v>Accepted</v>
      </c>
      <c r="Y173">
        <f>IFERROR(VLOOKUP(N173, Payment_Terms!A:B, 2, FALSE), "Payment term not found!")</f>
        <v>30</v>
      </c>
      <c r="Z173" t="str">
        <f>IFERROR(VLOOKUP(R173, Item_Category!A:B, 2, FALSE), "Uncategorized")</f>
        <v>Bags</v>
      </c>
      <c r="AA173" s="5">
        <f t="shared" si="38"/>
        <v>0</v>
      </c>
      <c r="AB173">
        <f t="shared" si="39"/>
        <v>5</v>
      </c>
      <c r="AC173" s="10">
        <f t="shared" si="40"/>
        <v>9</v>
      </c>
      <c r="AD173">
        <f t="shared" si="41"/>
        <v>2</v>
      </c>
      <c r="AE173" s="10">
        <f t="shared" si="42"/>
        <v>19</v>
      </c>
      <c r="AF173" s="5">
        <f t="shared" si="35"/>
        <v>1</v>
      </c>
      <c r="AG173" s="5">
        <f t="shared" si="36"/>
        <v>1</v>
      </c>
      <c r="AH173" s="5">
        <f t="shared" si="43"/>
        <v>0</v>
      </c>
      <c r="AI173">
        <f>IF(B173&lt;&gt;"", COUNTIFS($B$2:B173, B173), "")</f>
        <v>18</v>
      </c>
      <c r="AJ173">
        <f t="shared" si="44"/>
        <v>5</v>
      </c>
      <c r="AK173">
        <f t="shared" si="37"/>
        <v>5</v>
      </c>
      <c r="AL173">
        <f t="shared" si="45"/>
        <v>8</v>
      </c>
      <c r="AM173" t="str">
        <f t="shared" si="46"/>
        <v>August</v>
      </c>
      <c r="AN173">
        <f t="shared" si="47"/>
        <v>2023</v>
      </c>
      <c r="AO173" t="str">
        <f t="shared" si="48"/>
        <v>&gt;3</v>
      </c>
      <c r="AP173" t="str">
        <f t="shared" si="49"/>
        <v>&gt;3</v>
      </c>
      <c r="AQ173" t="str">
        <f t="shared" si="50"/>
        <v>&lt;=3</v>
      </c>
    </row>
    <row r="174" spans="1:43" x14ac:dyDescent="0.3">
      <c r="A174" t="s">
        <v>33</v>
      </c>
      <c r="B174" t="s">
        <v>64</v>
      </c>
      <c r="C174" t="s">
        <v>231</v>
      </c>
      <c r="D174">
        <v>2384</v>
      </c>
      <c r="E174">
        <v>23120043</v>
      </c>
      <c r="F174" t="s">
        <v>125</v>
      </c>
      <c r="G174" t="s">
        <v>126</v>
      </c>
      <c r="H174">
        <v>3000</v>
      </c>
      <c r="I174">
        <v>22.5</v>
      </c>
      <c r="J174">
        <v>67500</v>
      </c>
      <c r="K174" s="7" t="str">
        <f>IFERROR(IF(B174&lt;&gt;"", TEXT(VLOOKUP(B174, 'Expected Date'!A:B, 2, FALSE) + DATE(RIGHT(C174,2),MID(C174,4,2),LEFT(C174,2)), "dd/mm/yy"), ""), "")</f>
        <v>19/06/23</v>
      </c>
      <c r="L174" t="s">
        <v>38</v>
      </c>
      <c r="M174" t="s">
        <v>39</v>
      </c>
      <c r="N174" t="s">
        <v>69</v>
      </c>
      <c r="O174" t="s">
        <v>162</v>
      </c>
      <c r="P174">
        <v>23190516</v>
      </c>
      <c r="Q174" t="s">
        <v>125</v>
      </c>
      <c r="R174" t="s">
        <v>126</v>
      </c>
      <c r="S174">
        <v>3200</v>
      </c>
      <c r="T174">
        <v>22.5</v>
      </c>
      <c r="U174">
        <v>72000</v>
      </c>
      <c r="V174" t="str">
        <f t="shared" si="51"/>
        <v>Hyderabad</v>
      </c>
      <c r="W174" t="str">
        <f>VLOOKUP(B174, Currency!A:B, 2, FALSE)</f>
        <v>INR</v>
      </c>
      <c r="X174" t="str">
        <f t="shared" si="52"/>
        <v>Accepted</v>
      </c>
      <c r="Y174">
        <f>IFERROR(VLOOKUP(N174, Payment_Terms!A:B, 2, FALSE), "Payment term not found!")</f>
        <v>30</v>
      </c>
      <c r="Z174" t="str">
        <f>IFERROR(VLOOKUP(R174, Item_Category!A:B, 2, FALSE), "Uncategorized")</f>
        <v>Bags</v>
      </c>
      <c r="AA174" s="5">
        <f t="shared" si="38"/>
        <v>0</v>
      </c>
      <c r="AB174">
        <f t="shared" si="39"/>
        <v>5</v>
      </c>
      <c r="AC174" s="10">
        <f t="shared" si="40"/>
        <v>10</v>
      </c>
      <c r="AD174">
        <f t="shared" si="41"/>
        <v>2</v>
      </c>
      <c r="AE174" s="10">
        <f t="shared" si="42"/>
        <v>20</v>
      </c>
      <c r="AF174" s="5">
        <f t="shared" si="35"/>
        <v>1</v>
      </c>
      <c r="AG174" s="5">
        <f t="shared" si="36"/>
        <v>1</v>
      </c>
      <c r="AH174" s="5">
        <f t="shared" si="43"/>
        <v>0</v>
      </c>
      <c r="AI174">
        <f>IF(B174&lt;&gt;"", COUNTIFS($B$2:B174, B174), "")</f>
        <v>19</v>
      </c>
      <c r="AJ174">
        <f t="shared" si="44"/>
        <v>5</v>
      </c>
      <c r="AK174">
        <f t="shared" si="37"/>
        <v>5</v>
      </c>
      <c r="AL174">
        <f t="shared" si="45"/>
        <v>6</v>
      </c>
      <c r="AM174" t="str">
        <f t="shared" si="46"/>
        <v>June</v>
      </c>
      <c r="AN174">
        <f t="shared" si="47"/>
        <v>2023</v>
      </c>
      <c r="AO174" t="str">
        <f t="shared" si="48"/>
        <v>&gt;3</v>
      </c>
      <c r="AP174" t="str">
        <f t="shared" si="49"/>
        <v>&gt;3</v>
      </c>
      <c r="AQ174" t="str">
        <f t="shared" si="50"/>
        <v>&lt;=3</v>
      </c>
    </row>
    <row r="175" spans="1:43" x14ac:dyDescent="0.3">
      <c r="A175" t="s">
        <v>33</v>
      </c>
      <c r="B175" t="s">
        <v>276</v>
      </c>
      <c r="C175" t="s">
        <v>270</v>
      </c>
      <c r="D175">
        <v>4423</v>
      </c>
      <c r="E175">
        <v>23120123</v>
      </c>
      <c r="F175" t="s">
        <v>277</v>
      </c>
      <c r="G175" t="s">
        <v>278</v>
      </c>
      <c r="H175">
        <v>2000</v>
      </c>
      <c r="I175">
        <v>340</v>
      </c>
      <c r="J175">
        <v>680000</v>
      </c>
      <c r="K175" s="7" t="str">
        <f>IFERROR(IF(B175&lt;&gt;"", TEXT(VLOOKUP(B175, 'Expected Date'!A:B, 2, FALSE) + DATE(RIGHT(C175,2),MID(C175,4,2),LEFT(C175,2)), "dd/mm/yy"), ""), "")</f>
        <v>01/10/23</v>
      </c>
      <c r="L175" t="s">
        <v>38</v>
      </c>
      <c r="M175" t="s">
        <v>48</v>
      </c>
      <c r="N175" t="s">
        <v>49</v>
      </c>
      <c r="O175" t="s">
        <v>279</v>
      </c>
      <c r="P175">
        <v>23191128</v>
      </c>
      <c r="Q175" t="s">
        <v>277</v>
      </c>
      <c r="R175" t="s">
        <v>278</v>
      </c>
      <c r="S175">
        <v>2000</v>
      </c>
      <c r="T175">
        <v>340</v>
      </c>
      <c r="U175">
        <v>680000</v>
      </c>
      <c r="V175" t="str">
        <f t="shared" si="51"/>
        <v>Hyderabad</v>
      </c>
      <c r="W175" t="str">
        <f>VLOOKUP(B175, Currency!A:B, 2, FALSE)</f>
        <v>INR</v>
      </c>
      <c r="X175" t="str">
        <f t="shared" si="52"/>
        <v>Accepted</v>
      </c>
      <c r="Y175">
        <f>IFERROR(VLOOKUP(N175, Payment_Terms!A:B, 2, FALSE), "Payment term not found!")</f>
        <v>30</v>
      </c>
      <c r="Z175" t="str">
        <f>IFERROR(VLOOKUP(R175, Item_Category!A:B, 2, FALSE), "Uncategorized")</f>
        <v>CMC</v>
      </c>
      <c r="AA175" s="5">
        <f t="shared" si="38"/>
        <v>0</v>
      </c>
      <c r="AB175">
        <f t="shared" si="39"/>
        <v>5</v>
      </c>
      <c r="AC175" s="10">
        <f t="shared" si="40"/>
        <v>-12</v>
      </c>
      <c r="AD175">
        <f t="shared" si="41"/>
        <v>5</v>
      </c>
      <c r="AE175" s="10">
        <f t="shared" si="42"/>
        <v>3</v>
      </c>
      <c r="AF175" s="5">
        <f t="shared" si="35"/>
        <v>1</v>
      </c>
      <c r="AG175" s="5">
        <f t="shared" si="36"/>
        <v>1</v>
      </c>
      <c r="AH175" s="5">
        <f t="shared" si="43"/>
        <v>0</v>
      </c>
      <c r="AI175">
        <f>IF(B175&lt;&gt;"", COUNTIFS($B$2:B175, B175), "")</f>
        <v>1</v>
      </c>
      <c r="AJ175">
        <f t="shared" si="44"/>
        <v>5</v>
      </c>
      <c r="AK175">
        <f t="shared" si="37"/>
        <v>5</v>
      </c>
      <c r="AL175">
        <f t="shared" si="45"/>
        <v>9</v>
      </c>
      <c r="AM175" t="str">
        <f t="shared" si="46"/>
        <v>September</v>
      </c>
      <c r="AN175">
        <f t="shared" si="47"/>
        <v>2023</v>
      </c>
      <c r="AO175" t="str">
        <f t="shared" si="48"/>
        <v>&gt;3</v>
      </c>
      <c r="AP175" t="str">
        <f t="shared" si="49"/>
        <v>&gt;3</v>
      </c>
      <c r="AQ175" t="str">
        <f t="shared" si="50"/>
        <v>&gt;3</v>
      </c>
    </row>
    <row r="176" spans="1:43" x14ac:dyDescent="0.3">
      <c r="A176" t="s">
        <v>33</v>
      </c>
      <c r="B176" t="s">
        <v>280</v>
      </c>
      <c r="C176" t="s">
        <v>281</v>
      </c>
      <c r="D176">
        <v>4178</v>
      </c>
      <c r="E176">
        <v>23110397</v>
      </c>
      <c r="F176" t="s">
        <v>282</v>
      </c>
      <c r="G176" t="s">
        <v>283</v>
      </c>
      <c r="H176">
        <v>32</v>
      </c>
      <c r="I176">
        <v>631.5</v>
      </c>
      <c r="J176">
        <v>20208</v>
      </c>
      <c r="K176" s="7" t="str">
        <f>IFERROR(IF(B176&lt;&gt;"", TEXT(VLOOKUP(B176, 'Expected Date'!A:B, 2, FALSE) + DATE(RIGHT(C176,2),MID(C176,4,2),LEFT(C176,2)), "dd/mm/yy"), ""), "")</f>
        <v>15/09/23</v>
      </c>
      <c r="L176" t="s">
        <v>38</v>
      </c>
      <c r="M176" t="s">
        <v>285</v>
      </c>
      <c r="N176" t="s">
        <v>109</v>
      </c>
      <c r="O176" t="s">
        <v>286</v>
      </c>
      <c r="P176">
        <v>23191010</v>
      </c>
      <c r="Q176" t="s">
        <v>282</v>
      </c>
      <c r="R176" t="s">
        <v>283</v>
      </c>
      <c r="S176">
        <v>32</v>
      </c>
      <c r="T176">
        <v>631.5</v>
      </c>
      <c r="U176">
        <v>20208</v>
      </c>
      <c r="V176" t="str">
        <f t="shared" si="51"/>
        <v>Hyderabad</v>
      </c>
      <c r="W176" t="str">
        <f>VLOOKUP(B176, Currency!A:B, 2, FALSE)</f>
        <v>INR</v>
      </c>
      <c r="X176" t="str">
        <f t="shared" si="52"/>
        <v>Accepted</v>
      </c>
      <c r="Y176">
        <f>IFERROR(VLOOKUP(N176, Payment_Terms!A:B, 2, FALSE), "Payment term not found!")</f>
        <v>0</v>
      </c>
      <c r="Z176" t="str">
        <f>IFERROR(VLOOKUP(R176, Item_Category!A:B, 2, FALSE), "Uncategorized")</f>
        <v>R O water</v>
      </c>
      <c r="AA176" s="5">
        <f t="shared" si="38"/>
        <v>0</v>
      </c>
      <c r="AB176">
        <f t="shared" si="39"/>
        <v>5</v>
      </c>
      <c r="AC176" s="10">
        <f t="shared" si="40"/>
        <v>-15</v>
      </c>
      <c r="AD176">
        <f t="shared" si="41"/>
        <v>5</v>
      </c>
      <c r="AE176" s="10">
        <f t="shared" si="42"/>
        <v>5</v>
      </c>
      <c r="AF176" s="5">
        <f t="shared" si="35"/>
        <v>1</v>
      </c>
      <c r="AG176" s="5">
        <f t="shared" si="36"/>
        <v>1</v>
      </c>
      <c r="AH176" s="5">
        <f t="shared" si="43"/>
        <v>0</v>
      </c>
      <c r="AI176">
        <f>IF(B176&lt;&gt;"", COUNTIFS($B$2:B176, B176), "")</f>
        <v>1</v>
      </c>
      <c r="AJ176">
        <f t="shared" si="44"/>
        <v>5</v>
      </c>
      <c r="AK176">
        <f t="shared" si="37"/>
        <v>5</v>
      </c>
      <c r="AL176">
        <f t="shared" si="45"/>
        <v>9</v>
      </c>
      <c r="AM176" t="str">
        <f t="shared" si="46"/>
        <v>September</v>
      </c>
      <c r="AN176">
        <f t="shared" si="47"/>
        <v>2023</v>
      </c>
      <c r="AO176" t="str">
        <f t="shared" si="48"/>
        <v>&gt;3</v>
      </c>
      <c r="AP176" t="str">
        <f t="shared" si="49"/>
        <v>&gt;3</v>
      </c>
      <c r="AQ176" t="str">
        <f t="shared" si="50"/>
        <v>&gt;3</v>
      </c>
    </row>
    <row r="177" spans="1:43" x14ac:dyDescent="0.3">
      <c r="A177" t="s">
        <v>33</v>
      </c>
      <c r="B177" t="s">
        <v>287</v>
      </c>
      <c r="C177" t="s">
        <v>281</v>
      </c>
      <c r="D177">
        <v>4180</v>
      </c>
      <c r="E177">
        <v>23110399</v>
      </c>
      <c r="F177" t="s">
        <v>282</v>
      </c>
      <c r="G177" t="s">
        <v>283</v>
      </c>
      <c r="H177">
        <v>928</v>
      </c>
      <c r="I177">
        <v>443.875</v>
      </c>
      <c r="J177">
        <v>411916</v>
      </c>
      <c r="K177" s="7" t="str">
        <f>IFERROR(IF(B177&lt;&gt;"", TEXT(VLOOKUP(B177, 'Expected Date'!A:B, 2, FALSE) + DATE(RIGHT(C177,2),MID(C177,4,2),LEFT(C177,2)), "dd/mm/yy"), ""), "")</f>
        <v>15/09/23</v>
      </c>
      <c r="L177" t="s">
        <v>38</v>
      </c>
      <c r="M177" t="s">
        <v>285</v>
      </c>
      <c r="N177" t="s">
        <v>77</v>
      </c>
      <c r="O177" t="s">
        <v>286</v>
      </c>
      <c r="P177">
        <v>23191013</v>
      </c>
      <c r="Q177" t="s">
        <v>282</v>
      </c>
      <c r="R177" t="s">
        <v>283</v>
      </c>
      <c r="S177">
        <v>928</v>
      </c>
      <c r="T177">
        <v>443.875</v>
      </c>
      <c r="U177">
        <v>411916</v>
      </c>
      <c r="V177" t="str">
        <f t="shared" si="51"/>
        <v>Hyderabad</v>
      </c>
      <c r="W177" t="str">
        <f>VLOOKUP(B177, Currency!A:B, 2, FALSE)</f>
        <v>INR</v>
      </c>
      <c r="X177" t="str">
        <f t="shared" si="52"/>
        <v>Accepted</v>
      </c>
      <c r="Y177">
        <f>IFERROR(VLOOKUP(N177, Payment_Terms!A:B, 2, FALSE), "Payment term not found!")</f>
        <v>0</v>
      </c>
      <c r="Z177" t="str">
        <f>IFERROR(VLOOKUP(R177, Item_Category!A:B, 2, FALSE), "Uncategorized")</f>
        <v>R O water</v>
      </c>
      <c r="AA177" s="5">
        <f t="shared" si="38"/>
        <v>0</v>
      </c>
      <c r="AB177">
        <f t="shared" si="39"/>
        <v>5</v>
      </c>
      <c r="AC177" s="10">
        <f t="shared" si="40"/>
        <v>-15</v>
      </c>
      <c r="AD177">
        <f t="shared" si="41"/>
        <v>5</v>
      </c>
      <c r="AE177" s="10">
        <f t="shared" si="42"/>
        <v>5</v>
      </c>
      <c r="AF177" s="5">
        <f t="shared" si="35"/>
        <v>1</v>
      </c>
      <c r="AG177" s="5">
        <f t="shared" si="36"/>
        <v>1</v>
      </c>
      <c r="AH177" s="5">
        <f t="shared" si="43"/>
        <v>0</v>
      </c>
      <c r="AI177">
        <f>IF(B177&lt;&gt;"", COUNTIFS($B$2:B177, B177), "")</f>
        <v>1</v>
      </c>
      <c r="AJ177">
        <f t="shared" si="44"/>
        <v>5</v>
      </c>
      <c r="AK177">
        <f t="shared" si="37"/>
        <v>5</v>
      </c>
      <c r="AL177">
        <f t="shared" si="45"/>
        <v>9</v>
      </c>
      <c r="AM177" t="str">
        <f t="shared" si="46"/>
        <v>September</v>
      </c>
      <c r="AN177">
        <f t="shared" si="47"/>
        <v>2023</v>
      </c>
      <c r="AO177" t="str">
        <f t="shared" si="48"/>
        <v>&gt;3</v>
      </c>
      <c r="AP177" t="str">
        <f t="shared" si="49"/>
        <v>&gt;3</v>
      </c>
      <c r="AQ177" t="str">
        <f t="shared" si="50"/>
        <v>&gt;3</v>
      </c>
    </row>
    <row r="178" spans="1:43" x14ac:dyDescent="0.3">
      <c r="A178" t="s">
        <v>33</v>
      </c>
      <c r="B178" t="s">
        <v>107</v>
      </c>
      <c r="C178" t="s">
        <v>231</v>
      </c>
      <c r="D178">
        <v>2383</v>
      </c>
      <c r="E178">
        <v>23120042</v>
      </c>
      <c r="F178" t="s">
        <v>92</v>
      </c>
      <c r="G178" t="s">
        <v>93</v>
      </c>
      <c r="H178">
        <v>6000</v>
      </c>
      <c r="I178">
        <v>33.799999999999997</v>
      </c>
      <c r="J178">
        <v>202800</v>
      </c>
      <c r="K178" s="7" t="str">
        <f>IFERROR(IF(B178&lt;&gt;"", TEXT(VLOOKUP(B178, 'Expected Date'!A:B, 2, FALSE) + DATE(RIGHT(C178,2),MID(C178,4,2),LEFT(C178,2)), "dd/mm/yy"), ""), "")</f>
        <v>19/06/23</v>
      </c>
      <c r="L178" t="s">
        <v>38</v>
      </c>
      <c r="M178" t="s">
        <v>39</v>
      </c>
      <c r="N178" t="s">
        <v>109</v>
      </c>
      <c r="O178" t="s">
        <v>257</v>
      </c>
      <c r="P178">
        <v>23190503</v>
      </c>
      <c r="Q178" t="s">
        <v>92</v>
      </c>
      <c r="R178" t="s">
        <v>93</v>
      </c>
      <c r="S178">
        <v>6167</v>
      </c>
      <c r="T178">
        <v>33.799999999999997</v>
      </c>
      <c r="U178">
        <v>208444.6</v>
      </c>
      <c r="V178" t="str">
        <f t="shared" si="51"/>
        <v>Hyderabad</v>
      </c>
      <c r="W178" t="str">
        <f>VLOOKUP(B178, Currency!A:B, 2, FALSE)</f>
        <v>INR</v>
      </c>
      <c r="X178" t="str">
        <f t="shared" si="52"/>
        <v>Accepted</v>
      </c>
      <c r="Y178">
        <f>IFERROR(VLOOKUP(N178, Payment_Terms!A:B, 2, FALSE), "Payment term not found!")</f>
        <v>0</v>
      </c>
      <c r="Z178" t="str">
        <f>IFERROR(VLOOKUP(R178, Item_Category!A:B, 2, FALSE), "Uncategorized")</f>
        <v>Bags</v>
      </c>
      <c r="AA178" s="5">
        <f t="shared" si="38"/>
        <v>0</v>
      </c>
      <c r="AB178">
        <f t="shared" si="39"/>
        <v>5</v>
      </c>
      <c r="AC178" s="10">
        <f t="shared" si="40"/>
        <v>8</v>
      </c>
      <c r="AD178">
        <f t="shared" si="41"/>
        <v>2</v>
      </c>
      <c r="AE178" s="10">
        <f t="shared" si="42"/>
        <v>18</v>
      </c>
      <c r="AF178" s="5">
        <f t="shared" si="35"/>
        <v>1</v>
      </c>
      <c r="AG178" s="5">
        <f t="shared" si="36"/>
        <v>1</v>
      </c>
      <c r="AH178" s="5">
        <f t="shared" si="43"/>
        <v>0</v>
      </c>
      <c r="AI178">
        <f>IF(B178&lt;&gt;"", COUNTIFS($B$2:B178, B178), "")</f>
        <v>11</v>
      </c>
      <c r="AJ178">
        <f t="shared" si="44"/>
        <v>5</v>
      </c>
      <c r="AK178">
        <f t="shared" si="37"/>
        <v>5</v>
      </c>
      <c r="AL178">
        <f t="shared" si="45"/>
        <v>6</v>
      </c>
      <c r="AM178" t="str">
        <f t="shared" si="46"/>
        <v>June</v>
      </c>
      <c r="AN178">
        <f t="shared" si="47"/>
        <v>2023</v>
      </c>
      <c r="AO178" t="str">
        <f t="shared" si="48"/>
        <v>&gt;3</v>
      </c>
      <c r="AP178" t="str">
        <f t="shared" si="49"/>
        <v>&gt;3</v>
      </c>
      <c r="AQ178" t="str">
        <f t="shared" si="50"/>
        <v>&lt;=3</v>
      </c>
    </row>
    <row r="179" spans="1:43" x14ac:dyDescent="0.3">
      <c r="A179" t="s">
        <v>33</v>
      </c>
      <c r="B179" t="s">
        <v>248</v>
      </c>
      <c r="C179" t="s">
        <v>249</v>
      </c>
      <c r="D179">
        <v>2550</v>
      </c>
      <c r="E179">
        <v>23120050</v>
      </c>
      <c r="F179" t="s">
        <v>250</v>
      </c>
      <c r="G179" t="s">
        <v>251</v>
      </c>
      <c r="H179">
        <v>800</v>
      </c>
      <c r="I179">
        <v>390</v>
      </c>
      <c r="J179">
        <v>312000</v>
      </c>
      <c r="K179" s="7" t="str">
        <f>IFERROR(IF(B179&lt;&gt;"", TEXT(VLOOKUP(B179, 'Expected Date'!A:B, 2, FALSE) + DATE(RIGHT(C179,2),MID(C179,4,2),LEFT(C179,2)), "dd/mm/yy"), ""), "")</f>
        <v>01/07/23</v>
      </c>
      <c r="L179" t="s">
        <v>38</v>
      </c>
      <c r="M179" t="s">
        <v>39</v>
      </c>
      <c r="N179" t="s">
        <v>109</v>
      </c>
      <c r="O179" t="s">
        <v>139</v>
      </c>
      <c r="P179">
        <v>23190508</v>
      </c>
      <c r="Q179" t="s">
        <v>250</v>
      </c>
      <c r="R179" t="s">
        <v>251</v>
      </c>
      <c r="S179">
        <v>400</v>
      </c>
      <c r="T179">
        <v>390</v>
      </c>
      <c r="U179">
        <v>156000</v>
      </c>
      <c r="V179" t="str">
        <f t="shared" si="51"/>
        <v>Hyderabad</v>
      </c>
      <c r="W179" t="str">
        <f>VLOOKUP(B179, Currency!A:B, 2, FALSE)</f>
        <v>INR</v>
      </c>
      <c r="X179" t="str">
        <f t="shared" si="52"/>
        <v>Accepted</v>
      </c>
      <c r="Y179">
        <f>IFERROR(VLOOKUP(N179, Payment_Terms!A:B, 2, FALSE), "Payment term not found!")</f>
        <v>0</v>
      </c>
      <c r="Z179" t="str">
        <f>IFERROR(VLOOKUP(R179, Item_Category!A:B, 2, FALSE), "Uncategorized")</f>
        <v>HDPE</v>
      </c>
      <c r="AA179" s="5">
        <f t="shared" si="38"/>
        <v>0</v>
      </c>
      <c r="AB179">
        <f t="shared" si="39"/>
        <v>5</v>
      </c>
      <c r="AC179" s="10">
        <f t="shared" si="40"/>
        <v>-3</v>
      </c>
      <c r="AD179">
        <f t="shared" si="41"/>
        <v>5</v>
      </c>
      <c r="AE179" s="10">
        <f t="shared" si="42"/>
        <v>7</v>
      </c>
      <c r="AF179" s="5">
        <f t="shared" si="35"/>
        <v>1</v>
      </c>
      <c r="AG179" s="5">
        <f t="shared" si="36"/>
        <v>1</v>
      </c>
      <c r="AH179" s="5">
        <f t="shared" si="43"/>
        <v>0</v>
      </c>
      <c r="AI179">
        <f>IF(B179&lt;&gt;"", COUNTIFS($B$2:B179, B179), "")</f>
        <v>2</v>
      </c>
      <c r="AJ179">
        <f t="shared" si="44"/>
        <v>5</v>
      </c>
      <c r="AK179">
        <f t="shared" si="37"/>
        <v>5</v>
      </c>
      <c r="AL179">
        <f t="shared" si="45"/>
        <v>6</v>
      </c>
      <c r="AM179" t="str">
        <f t="shared" si="46"/>
        <v>June</v>
      </c>
      <c r="AN179">
        <f t="shared" si="47"/>
        <v>2023</v>
      </c>
      <c r="AO179" t="str">
        <f t="shared" si="48"/>
        <v>&gt;3</v>
      </c>
      <c r="AP179" t="str">
        <f t="shared" si="49"/>
        <v>&gt;3</v>
      </c>
      <c r="AQ179" t="str">
        <f t="shared" si="50"/>
        <v>&gt;3</v>
      </c>
    </row>
    <row r="180" spans="1:43" x14ac:dyDescent="0.3">
      <c r="A180" t="str">
        <f>A145</f>
        <v>Woodpulp</v>
      </c>
      <c r="B180" t="s">
        <v>96</v>
      </c>
      <c r="C180" t="s">
        <v>97</v>
      </c>
      <c r="D180">
        <v>1232</v>
      </c>
      <c r="E180">
        <v>23120004</v>
      </c>
      <c r="F180" t="s">
        <v>98</v>
      </c>
      <c r="G180" t="s">
        <v>99</v>
      </c>
      <c r="H180">
        <v>75</v>
      </c>
      <c r="I180">
        <v>820</v>
      </c>
      <c r="J180">
        <v>4987650</v>
      </c>
      <c r="K180" s="7" t="str">
        <f>IFERROR(IF(B180&lt;&gt;"", TEXT(VLOOKUP(B180, 'Expected Date'!A:B, 2, FALSE) + DATE(RIGHT(C180,2),MID(C180,4,2),LEFT(C180,2)), "dd/mm/yy"), ""), "")</f>
        <v>10/06/23</v>
      </c>
      <c r="L180" t="s">
        <v>38</v>
      </c>
      <c r="M180" t="str">
        <f>M134</f>
        <v>MT</v>
      </c>
      <c r="N180" t="s">
        <v>102</v>
      </c>
      <c r="O180" t="s">
        <v>288</v>
      </c>
      <c r="P180">
        <v>23190920</v>
      </c>
      <c r="Q180" t="s">
        <v>98</v>
      </c>
      <c r="R180" t="s">
        <v>99</v>
      </c>
      <c r="S180">
        <v>79.021000000000001</v>
      </c>
      <c r="T180">
        <v>820</v>
      </c>
      <c r="U180">
        <v>5326331.4800000004</v>
      </c>
      <c r="V180" t="str">
        <f t="shared" si="51"/>
        <v>Hyderabad</v>
      </c>
      <c r="W180" t="str">
        <f>VLOOKUP(B180, Currency!A:B, 2, FALSE)</f>
        <v>USD</v>
      </c>
      <c r="X180" t="str">
        <f t="shared" si="52"/>
        <v>Accepted</v>
      </c>
      <c r="Y180">
        <f>IFERROR(VLOOKUP(N180, Payment_Terms!A:B, 2, FALSE), "Payment term not found!")</f>
        <v>60</v>
      </c>
      <c r="Z180" t="str">
        <f>IFERROR(VLOOKUP(R180, Item_Category!A:B, 2, FALSE), "Uncategorized")</f>
        <v>Wood pulp</v>
      </c>
      <c r="AA180" s="5">
        <f t="shared" si="38"/>
        <v>0</v>
      </c>
      <c r="AB180">
        <f t="shared" si="39"/>
        <v>5</v>
      </c>
      <c r="AC180" s="10">
        <f t="shared" si="40"/>
        <v>69</v>
      </c>
      <c r="AD180">
        <f t="shared" si="41"/>
        <v>1</v>
      </c>
      <c r="AE180" s="10">
        <f t="shared" si="42"/>
        <v>129</v>
      </c>
      <c r="AF180" s="5">
        <f t="shared" si="35"/>
        <v>1</v>
      </c>
      <c r="AG180" s="5">
        <f t="shared" si="36"/>
        <v>1</v>
      </c>
      <c r="AH180" s="5">
        <f t="shared" si="43"/>
        <v>0</v>
      </c>
      <c r="AI180">
        <f>IF(B180&lt;&gt;"", COUNTIFS($B$2:B180, B180), "")</f>
        <v>3</v>
      </c>
      <c r="AJ180">
        <f t="shared" si="44"/>
        <v>5</v>
      </c>
      <c r="AK180">
        <f t="shared" si="37"/>
        <v>4</v>
      </c>
      <c r="AL180">
        <f t="shared" si="45"/>
        <v>4</v>
      </c>
      <c r="AM180" t="str">
        <f t="shared" si="46"/>
        <v>April</v>
      </c>
      <c r="AN180">
        <f t="shared" si="47"/>
        <v>2023</v>
      </c>
      <c r="AO180" t="str">
        <f t="shared" si="48"/>
        <v>&gt;3</v>
      </c>
      <c r="AP180" t="str">
        <f t="shared" si="49"/>
        <v>&gt;3</v>
      </c>
      <c r="AQ180" t="str">
        <f t="shared" si="50"/>
        <v>&lt;=3</v>
      </c>
    </row>
    <row r="181" spans="1:43" x14ac:dyDescent="0.3">
      <c r="A181" t="s">
        <v>95</v>
      </c>
      <c r="B181" t="s">
        <v>289</v>
      </c>
      <c r="C181" t="s">
        <v>249</v>
      </c>
      <c r="D181">
        <v>2553</v>
      </c>
      <c r="E181">
        <v>23120052</v>
      </c>
      <c r="F181" t="s">
        <v>290</v>
      </c>
      <c r="G181" t="s">
        <v>291</v>
      </c>
      <c r="H181">
        <v>100</v>
      </c>
      <c r="I181">
        <v>47800</v>
      </c>
      <c r="J181">
        <v>4780000</v>
      </c>
      <c r="K181" s="7" t="str">
        <f>IFERROR(IF(B181&lt;&gt;"", TEXT(VLOOKUP(B181, 'Expected Date'!A:B, 2, FALSE) + DATE(RIGHT(C181,2),MID(C181,4,2),LEFT(C181,2)), "dd/mm/yy"), ""), "")</f>
        <v>21/07/23</v>
      </c>
      <c r="L181" t="s">
        <v>68</v>
      </c>
      <c r="M181" t="str">
        <f>M134</f>
        <v>MT</v>
      </c>
      <c r="N181" t="s">
        <v>292</v>
      </c>
      <c r="O181" t="s">
        <v>293</v>
      </c>
      <c r="P181">
        <v>23190932</v>
      </c>
      <c r="Q181" t="s">
        <v>290</v>
      </c>
      <c r="R181" t="s">
        <v>291</v>
      </c>
      <c r="S181">
        <v>20.187000000000001</v>
      </c>
      <c r="T181">
        <v>47800</v>
      </c>
      <c r="U181">
        <v>964938.6</v>
      </c>
      <c r="V181" t="str">
        <f t="shared" si="51"/>
        <v>Hyderabad</v>
      </c>
      <c r="W181" t="str">
        <f>VLOOKUP(B181, Currency!A:B, 2, FALSE)</f>
        <v>INR</v>
      </c>
      <c r="X181" t="str">
        <f t="shared" si="52"/>
        <v>Accepted</v>
      </c>
      <c r="Y181">
        <f>IFERROR(VLOOKUP(N181, Payment_Terms!A:B, 2, FALSE), "Payment term not found!")</f>
        <v>0</v>
      </c>
      <c r="Z181" t="str">
        <f>IFERROR(VLOOKUP(R181, Item_Category!A:B, 2, FALSE), "Uncategorized")</f>
        <v>Wood pulp</v>
      </c>
      <c r="AA181" s="5">
        <f t="shared" si="38"/>
        <v>0.19251999999999994</v>
      </c>
      <c r="AB181">
        <f t="shared" si="39"/>
        <v>1</v>
      </c>
      <c r="AC181" s="10">
        <f t="shared" si="40"/>
        <v>32</v>
      </c>
      <c r="AD181">
        <f t="shared" si="41"/>
        <v>1</v>
      </c>
      <c r="AE181" s="10">
        <f t="shared" si="42"/>
        <v>62</v>
      </c>
      <c r="AF181" s="5">
        <f t="shared" si="35"/>
        <v>1</v>
      </c>
      <c r="AG181" s="5">
        <f t="shared" si="36"/>
        <v>1</v>
      </c>
      <c r="AH181" s="5">
        <f t="shared" si="43"/>
        <v>0</v>
      </c>
      <c r="AI181">
        <f>IF(B181&lt;&gt;"", COUNTIFS($B$2:B181, B181), "")</f>
        <v>1</v>
      </c>
      <c r="AJ181">
        <f t="shared" si="44"/>
        <v>5</v>
      </c>
      <c r="AK181">
        <f t="shared" si="37"/>
        <v>3</v>
      </c>
      <c r="AL181">
        <f t="shared" si="45"/>
        <v>6</v>
      </c>
      <c r="AM181" t="str">
        <f t="shared" si="46"/>
        <v>June</v>
      </c>
      <c r="AN181">
        <f t="shared" si="47"/>
        <v>2023</v>
      </c>
      <c r="AO181" t="str">
        <f t="shared" si="48"/>
        <v>&gt;3</v>
      </c>
      <c r="AP181" t="str">
        <f t="shared" si="49"/>
        <v>&lt;=3</v>
      </c>
      <c r="AQ181" t="str">
        <f t="shared" si="50"/>
        <v>&lt;=3</v>
      </c>
    </row>
    <row r="182" spans="1:43" x14ac:dyDescent="0.3">
      <c r="A182" t="str">
        <f>A181</f>
        <v>Woodpulp</v>
      </c>
      <c r="B182" t="s">
        <v>289</v>
      </c>
      <c r="C182" t="s">
        <v>249</v>
      </c>
      <c r="D182">
        <v>2553</v>
      </c>
      <c r="E182">
        <v>23120052</v>
      </c>
      <c r="F182" t="s">
        <v>290</v>
      </c>
      <c r="G182" t="s">
        <v>291</v>
      </c>
      <c r="H182">
        <v>100</v>
      </c>
      <c r="I182">
        <v>47800</v>
      </c>
      <c r="J182">
        <v>4780000</v>
      </c>
      <c r="K182" s="7" t="str">
        <f>IFERROR(IF(B182&lt;&gt;"", TEXT(VLOOKUP(B182, 'Expected Date'!A:B, 2, FALSE) + DATE(RIGHT(C182,2),MID(C182,4,2),LEFT(C182,2)), "dd/mm/yy"), ""), "")</f>
        <v>21/07/23</v>
      </c>
      <c r="L182" t="s">
        <v>68</v>
      </c>
      <c r="M182" t="str">
        <f>M149</f>
        <v>MT</v>
      </c>
      <c r="N182" t="s">
        <v>292</v>
      </c>
      <c r="O182" t="s">
        <v>293</v>
      </c>
      <c r="P182">
        <v>23190933</v>
      </c>
      <c r="Q182" t="s">
        <v>290</v>
      </c>
      <c r="R182" t="s">
        <v>291</v>
      </c>
      <c r="S182">
        <v>20.187000000000001</v>
      </c>
      <c r="T182">
        <v>47800</v>
      </c>
      <c r="U182">
        <v>964938.6</v>
      </c>
      <c r="V182" t="str">
        <f t="shared" si="51"/>
        <v>Hyderabad</v>
      </c>
      <c r="W182" t="str">
        <f>VLOOKUP(B182, Currency!A:B, 2, FALSE)</f>
        <v>INR</v>
      </c>
      <c r="X182" t="str">
        <f t="shared" si="52"/>
        <v>Accepted</v>
      </c>
      <c r="Y182">
        <f>IFERROR(VLOOKUP(N182, Payment_Terms!A:B, 2, FALSE), "Payment term not found!")</f>
        <v>0</v>
      </c>
      <c r="Z182" t="str">
        <f>IFERROR(VLOOKUP(R182, Item_Category!A:B, 2, FALSE), "Uncategorized")</f>
        <v>Wood pulp</v>
      </c>
      <c r="AA182" s="5">
        <f t="shared" si="38"/>
        <v>0.19251999999999994</v>
      </c>
      <c r="AB182">
        <f t="shared" si="39"/>
        <v>1</v>
      </c>
      <c r="AC182" s="10">
        <f t="shared" si="40"/>
        <v>32</v>
      </c>
      <c r="AD182">
        <f t="shared" si="41"/>
        <v>1</v>
      </c>
      <c r="AE182" s="10">
        <f t="shared" si="42"/>
        <v>62</v>
      </c>
      <c r="AF182" s="5">
        <f t="shared" si="35"/>
        <v>1</v>
      </c>
      <c r="AG182" s="5">
        <f t="shared" si="36"/>
        <v>1</v>
      </c>
      <c r="AH182" s="5">
        <f t="shared" si="43"/>
        <v>0</v>
      </c>
      <c r="AI182">
        <f>IF(B182&lt;&gt;"", COUNTIFS($B$2:B182, B182), "")</f>
        <v>2</v>
      </c>
      <c r="AJ182">
        <f t="shared" si="44"/>
        <v>5</v>
      </c>
      <c r="AK182">
        <f t="shared" si="37"/>
        <v>3</v>
      </c>
      <c r="AL182">
        <f t="shared" si="45"/>
        <v>6</v>
      </c>
      <c r="AM182" t="str">
        <f t="shared" si="46"/>
        <v>June</v>
      </c>
      <c r="AN182">
        <f t="shared" si="47"/>
        <v>2023</v>
      </c>
      <c r="AO182" t="str">
        <f t="shared" si="48"/>
        <v>&gt;3</v>
      </c>
      <c r="AP182" t="str">
        <f t="shared" si="49"/>
        <v>&lt;=3</v>
      </c>
      <c r="AQ182" t="str">
        <f t="shared" si="50"/>
        <v>&lt;=3</v>
      </c>
    </row>
    <row r="183" spans="1:43" x14ac:dyDescent="0.3">
      <c r="A183" t="str">
        <f>A181</f>
        <v>Woodpulp</v>
      </c>
      <c r="B183" t="s">
        <v>289</v>
      </c>
      <c r="C183" t="s">
        <v>249</v>
      </c>
      <c r="D183">
        <v>2553</v>
      </c>
      <c r="E183">
        <v>23120052</v>
      </c>
      <c r="F183" t="s">
        <v>290</v>
      </c>
      <c r="G183" t="s">
        <v>291</v>
      </c>
      <c r="H183">
        <v>100</v>
      </c>
      <c r="I183">
        <v>47800</v>
      </c>
      <c r="J183">
        <v>4780000</v>
      </c>
      <c r="K183" s="7" t="str">
        <f>IFERROR(IF(B183&lt;&gt;"", TEXT(VLOOKUP(B183, 'Expected Date'!A:B, 2, FALSE) + DATE(RIGHT(C183,2),MID(C183,4,2),LEFT(C183,2)), "dd/mm/yy"), ""), "")</f>
        <v>21/07/23</v>
      </c>
      <c r="L183" t="s">
        <v>68</v>
      </c>
      <c r="M183" t="str">
        <f>M149</f>
        <v>MT</v>
      </c>
      <c r="N183" t="s">
        <v>292</v>
      </c>
      <c r="O183" t="s">
        <v>293</v>
      </c>
      <c r="P183">
        <v>23190934</v>
      </c>
      <c r="Q183" t="s">
        <v>290</v>
      </c>
      <c r="R183" t="s">
        <v>291</v>
      </c>
      <c r="S183">
        <v>20.187000000000001</v>
      </c>
      <c r="T183">
        <v>47800</v>
      </c>
      <c r="U183">
        <v>964938.6</v>
      </c>
      <c r="V183" t="str">
        <f t="shared" si="51"/>
        <v>Hyderabad</v>
      </c>
      <c r="W183" t="str">
        <f>VLOOKUP(B183, Currency!A:B, 2, FALSE)</f>
        <v>INR</v>
      </c>
      <c r="X183" t="str">
        <f t="shared" si="52"/>
        <v>Accepted</v>
      </c>
      <c r="Y183">
        <f>IFERROR(VLOOKUP(N183, Payment_Terms!A:B, 2, FALSE), "Payment term not found!")</f>
        <v>0</v>
      </c>
      <c r="Z183" t="str">
        <f>IFERROR(VLOOKUP(R183, Item_Category!A:B, 2, FALSE), "Uncategorized")</f>
        <v>Wood pulp</v>
      </c>
      <c r="AA183" s="5">
        <f t="shared" si="38"/>
        <v>0.19251999999999994</v>
      </c>
      <c r="AB183">
        <f t="shared" si="39"/>
        <v>1</v>
      </c>
      <c r="AC183" s="10">
        <f t="shared" si="40"/>
        <v>32</v>
      </c>
      <c r="AD183">
        <f t="shared" si="41"/>
        <v>1</v>
      </c>
      <c r="AE183" s="10">
        <f t="shared" si="42"/>
        <v>62</v>
      </c>
      <c r="AF183" s="5">
        <f t="shared" si="35"/>
        <v>1</v>
      </c>
      <c r="AG183" s="5">
        <f t="shared" si="36"/>
        <v>1</v>
      </c>
      <c r="AH183" s="5">
        <f t="shared" si="43"/>
        <v>0</v>
      </c>
      <c r="AI183">
        <f>IF(B183&lt;&gt;"", COUNTIFS($B$2:B183, B183), "")</f>
        <v>3</v>
      </c>
      <c r="AJ183">
        <f t="shared" si="44"/>
        <v>5</v>
      </c>
      <c r="AK183">
        <f t="shared" si="37"/>
        <v>3</v>
      </c>
      <c r="AL183">
        <f t="shared" si="45"/>
        <v>6</v>
      </c>
      <c r="AM183" t="str">
        <f t="shared" si="46"/>
        <v>June</v>
      </c>
      <c r="AN183">
        <f t="shared" si="47"/>
        <v>2023</v>
      </c>
      <c r="AO183" t="str">
        <f t="shared" si="48"/>
        <v>&gt;3</v>
      </c>
      <c r="AP183" t="str">
        <f t="shared" si="49"/>
        <v>&lt;=3</v>
      </c>
      <c r="AQ183" t="str">
        <f t="shared" si="50"/>
        <v>&lt;=3</v>
      </c>
    </row>
    <row r="184" spans="1:43" x14ac:dyDescent="0.3">
      <c r="A184" t="str">
        <f>A183</f>
        <v>Woodpulp</v>
      </c>
      <c r="B184" t="s">
        <v>289</v>
      </c>
      <c r="C184" t="s">
        <v>249</v>
      </c>
      <c r="D184">
        <v>2553</v>
      </c>
      <c r="E184">
        <v>23120052</v>
      </c>
      <c r="F184" t="s">
        <v>290</v>
      </c>
      <c r="G184" t="s">
        <v>291</v>
      </c>
      <c r="H184">
        <v>100</v>
      </c>
      <c r="I184">
        <v>47800</v>
      </c>
      <c r="J184">
        <v>4780000</v>
      </c>
      <c r="K184" s="7" t="str">
        <f>IFERROR(IF(B184&lt;&gt;"", TEXT(VLOOKUP(B184, 'Expected Date'!A:B, 2, FALSE) + DATE(RIGHT(C184,2),MID(C184,4,2),LEFT(C184,2)), "dd/mm/yy"), ""), "")</f>
        <v>21/07/23</v>
      </c>
      <c r="L184" t="s">
        <v>68</v>
      </c>
      <c r="M184" t="str">
        <f>M149</f>
        <v>MT</v>
      </c>
      <c r="N184" t="s">
        <v>292</v>
      </c>
      <c r="O184" t="s">
        <v>293</v>
      </c>
      <c r="P184">
        <v>23190935</v>
      </c>
      <c r="Q184" t="s">
        <v>290</v>
      </c>
      <c r="R184" t="s">
        <v>291</v>
      </c>
      <c r="S184">
        <v>20.187000000000001</v>
      </c>
      <c r="T184">
        <v>47800</v>
      </c>
      <c r="U184">
        <v>964938.6</v>
      </c>
      <c r="V184" t="str">
        <f t="shared" si="51"/>
        <v>Hyderabad</v>
      </c>
      <c r="W184" t="str">
        <f>VLOOKUP(B184, Currency!A:B, 2, FALSE)</f>
        <v>INR</v>
      </c>
      <c r="X184" t="str">
        <f t="shared" si="52"/>
        <v>Accepted</v>
      </c>
      <c r="Y184">
        <f>IFERROR(VLOOKUP(N184, Payment_Terms!A:B, 2, FALSE), "Payment term not found!")</f>
        <v>0</v>
      </c>
      <c r="Z184" t="str">
        <f>IFERROR(VLOOKUP(R184, Item_Category!A:B, 2, FALSE), "Uncategorized")</f>
        <v>Wood pulp</v>
      </c>
      <c r="AA184" s="5">
        <f t="shared" si="38"/>
        <v>0.19251999999999994</v>
      </c>
      <c r="AB184">
        <f t="shared" si="39"/>
        <v>1</v>
      </c>
      <c r="AC184" s="10">
        <f t="shared" si="40"/>
        <v>32</v>
      </c>
      <c r="AD184">
        <f t="shared" si="41"/>
        <v>1</v>
      </c>
      <c r="AE184" s="10">
        <f t="shared" si="42"/>
        <v>62</v>
      </c>
      <c r="AF184" s="5">
        <f t="shared" si="35"/>
        <v>1</v>
      </c>
      <c r="AG184" s="5">
        <f t="shared" si="36"/>
        <v>1</v>
      </c>
      <c r="AH184" s="5">
        <f t="shared" si="43"/>
        <v>0</v>
      </c>
      <c r="AI184">
        <f>IF(B184&lt;&gt;"", COUNTIFS($B$2:B184, B184), "")</f>
        <v>4</v>
      </c>
      <c r="AJ184">
        <f t="shared" si="44"/>
        <v>5</v>
      </c>
      <c r="AK184">
        <f t="shared" si="37"/>
        <v>3</v>
      </c>
      <c r="AL184">
        <f t="shared" si="45"/>
        <v>6</v>
      </c>
      <c r="AM184" t="str">
        <f t="shared" si="46"/>
        <v>June</v>
      </c>
      <c r="AN184">
        <f t="shared" si="47"/>
        <v>2023</v>
      </c>
      <c r="AO184" t="str">
        <f t="shared" si="48"/>
        <v>&gt;3</v>
      </c>
      <c r="AP184" t="str">
        <f t="shared" si="49"/>
        <v>&lt;=3</v>
      </c>
      <c r="AQ184" t="str">
        <f t="shared" si="50"/>
        <v>&lt;=3</v>
      </c>
    </row>
    <row r="185" spans="1:43" x14ac:dyDescent="0.3">
      <c r="A185" t="s">
        <v>111</v>
      </c>
      <c r="B185" t="s">
        <v>234</v>
      </c>
      <c r="C185" t="s">
        <v>294</v>
      </c>
      <c r="D185">
        <v>4020</v>
      </c>
      <c r="E185">
        <v>23120107</v>
      </c>
      <c r="F185" t="s">
        <v>235</v>
      </c>
      <c r="G185" t="s">
        <v>236</v>
      </c>
      <c r="H185">
        <v>5000</v>
      </c>
      <c r="I185">
        <v>115</v>
      </c>
      <c r="J185">
        <v>575000</v>
      </c>
      <c r="K185" s="7" t="str">
        <f>IFERROR(IF(B185&lt;&gt;"", TEXT(VLOOKUP(B185, 'Expected Date'!A:B, 2, FALSE) + DATE(RIGHT(C185,2),MID(C185,4,2),LEFT(C185,2)), "dd/mm/yy"), ""), "")</f>
        <v>02/09/23</v>
      </c>
      <c r="L185" t="s">
        <v>38</v>
      </c>
      <c r="M185" t="s">
        <v>48</v>
      </c>
      <c r="N185" t="s">
        <v>295</v>
      </c>
      <c r="O185" t="s">
        <v>286</v>
      </c>
      <c r="P185">
        <v>23191002</v>
      </c>
      <c r="Q185" t="s">
        <v>235</v>
      </c>
      <c r="R185" t="s">
        <v>236</v>
      </c>
      <c r="S185">
        <v>5000</v>
      </c>
      <c r="T185">
        <v>115</v>
      </c>
      <c r="U185">
        <v>575000</v>
      </c>
      <c r="V185" t="str">
        <f t="shared" si="51"/>
        <v>Hyderabad</v>
      </c>
      <c r="W185" t="str">
        <f>VLOOKUP(B185, Currency!A:B, 2, FALSE)</f>
        <v>INR</v>
      </c>
      <c r="X185" t="str">
        <f t="shared" si="52"/>
        <v>Accepted</v>
      </c>
      <c r="Y185">
        <f>IFERROR(VLOOKUP(N185, Payment_Terms!A:B, 2, FALSE), "Payment term not found!")</f>
        <v>0</v>
      </c>
      <c r="Z185" t="str">
        <f>IFERROR(VLOOKUP(R185, Item_Category!A:B, 2, FALSE), "Uncategorized")</f>
        <v>Calcium salts</v>
      </c>
      <c r="AA185" s="5">
        <f t="shared" si="38"/>
        <v>0</v>
      </c>
      <c r="AB185">
        <f t="shared" si="39"/>
        <v>5</v>
      </c>
      <c r="AC185" s="10">
        <f t="shared" si="40"/>
        <v>-2</v>
      </c>
      <c r="AD185">
        <f t="shared" si="41"/>
        <v>5</v>
      </c>
      <c r="AE185" s="10">
        <f t="shared" si="42"/>
        <v>8</v>
      </c>
      <c r="AF185" s="5">
        <f t="shared" si="35"/>
        <v>1</v>
      </c>
      <c r="AG185" s="5">
        <f t="shared" si="36"/>
        <v>1</v>
      </c>
      <c r="AH185" s="5">
        <f t="shared" si="43"/>
        <v>0</v>
      </c>
      <c r="AI185">
        <f>IF(B185&lt;&gt;"", COUNTIFS($B$2:B185, B185), "")</f>
        <v>2</v>
      </c>
      <c r="AJ185">
        <f t="shared" si="44"/>
        <v>5</v>
      </c>
      <c r="AK185">
        <f t="shared" si="37"/>
        <v>5</v>
      </c>
      <c r="AL185">
        <f t="shared" si="45"/>
        <v>8</v>
      </c>
      <c r="AM185" t="str">
        <f t="shared" si="46"/>
        <v>August</v>
      </c>
      <c r="AN185">
        <f t="shared" si="47"/>
        <v>2023</v>
      </c>
      <c r="AO185" t="str">
        <f t="shared" si="48"/>
        <v>&gt;3</v>
      </c>
      <c r="AP185" t="str">
        <f t="shared" si="49"/>
        <v>&gt;3</v>
      </c>
      <c r="AQ185" t="str">
        <f t="shared" si="50"/>
        <v>&gt;3</v>
      </c>
    </row>
    <row r="186" spans="1:43" x14ac:dyDescent="0.3">
      <c r="A186" t="s">
        <v>111</v>
      </c>
      <c r="B186" t="s">
        <v>296</v>
      </c>
      <c r="C186" t="s">
        <v>74</v>
      </c>
      <c r="D186">
        <v>3664</v>
      </c>
      <c r="E186">
        <v>23110335</v>
      </c>
      <c r="F186" t="s">
        <v>297</v>
      </c>
      <c r="G186" t="s">
        <v>298</v>
      </c>
      <c r="H186">
        <v>5000</v>
      </c>
      <c r="I186">
        <v>205</v>
      </c>
      <c r="J186">
        <v>1025000</v>
      </c>
      <c r="K186" s="7" t="str">
        <f>IFERROR(IF(B186&lt;&gt;"", TEXT(VLOOKUP(B186, 'Expected Date'!A:B, 2, FALSE) + DATE(RIGHT(C186,2),MID(C186,4,2),LEFT(C186,2)), "dd/mm/yy"), ""), "")</f>
        <v>26/08/23</v>
      </c>
      <c r="L186" t="s">
        <v>38</v>
      </c>
      <c r="M186" t="s">
        <v>48</v>
      </c>
      <c r="N186" t="s">
        <v>299</v>
      </c>
      <c r="O186" t="s">
        <v>286</v>
      </c>
      <c r="P186">
        <v>23191003</v>
      </c>
      <c r="Q186" t="s">
        <v>297</v>
      </c>
      <c r="R186" t="s">
        <v>298</v>
      </c>
      <c r="S186">
        <v>5000</v>
      </c>
      <c r="T186">
        <v>205</v>
      </c>
      <c r="U186">
        <v>1025000</v>
      </c>
      <c r="V186" t="str">
        <f t="shared" si="51"/>
        <v>Hyderabad</v>
      </c>
      <c r="W186" t="str">
        <f>VLOOKUP(B186, Currency!A:B, 2, FALSE)</f>
        <v>INR</v>
      </c>
      <c r="X186" t="str">
        <f t="shared" si="52"/>
        <v>Accepted</v>
      </c>
      <c r="Y186">
        <f>IFERROR(VLOOKUP(N186, Payment_Terms!A:B, 2, FALSE), "Payment term not found!")</f>
        <v>60</v>
      </c>
      <c r="Z186" t="str">
        <f>IFERROR(VLOOKUP(R186, Item_Category!A:B, 2, FALSE), "Uncategorized")</f>
        <v>SSG - Potato</v>
      </c>
      <c r="AA186" s="5">
        <f t="shared" si="38"/>
        <v>0</v>
      </c>
      <c r="AB186">
        <f t="shared" si="39"/>
        <v>5</v>
      </c>
      <c r="AC186" s="10">
        <f t="shared" si="40"/>
        <v>5</v>
      </c>
      <c r="AD186">
        <f t="shared" si="41"/>
        <v>3</v>
      </c>
      <c r="AE186" s="10">
        <f t="shared" si="42"/>
        <v>20</v>
      </c>
      <c r="AF186" s="5">
        <f t="shared" si="35"/>
        <v>1</v>
      </c>
      <c r="AG186" s="5">
        <f t="shared" si="36"/>
        <v>1</v>
      </c>
      <c r="AH186" s="5">
        <f t="shared" si="43"/>
        <v>0</v>
      </c>
      <c r="AI186">
        <f>IF(B186&lt;&gt;"", COUNTIFS($B$2:B186, B186), "")</f>
        <v>1</v>
      </c>
      <c r="AJ186">
        <f t="shared" si="44"/>
        <v>5</v>
      </c>
      <c r="AK186">
        <f t="shared" si="37"/>
        <v>5</v>
      </c>
      <c r="AL186">
        <f t="shared" si="45"/>
        <v>8</v>
      </c>
      <c r="AM186" t="str">
        <f t="shared" si="46"/>
        <v>August</v>
      </c>
      <c r="AN186">
        <f t="shared" si="47"/>
        <v>2023</v>
      </c>
      <c r="AO186" t="str">
        <f t="shared" si="48"/>
        <v>&gt;3</v>
      </c>
      <c r="AP186" t="str">
        <f t="shared" si="49"/>
        <v>&gt;3</v>
      </c>
      <c r="AQ186" t="str">
        <f t="shared" si="50"/>
        <v>&lt;=3</v>
      </c>
    </row>
    <row r="187" spans="1:43" x14ac:dyDescent="0.3">
      <c r="A187" t="s">
        <v>33</v>
      </c>
      <c r="B187" t="s">
        <v>64</v>
      </c>
      <c r="C187" t="s">
        <v>228</v>
      </c>
      <c r="D187">
        <v>4548</v>
      </c>
      <c r="E187">
        <v>23120125</v>
      </c>
      <c r="F187" t="s">
        <v>125</v>
      </c>
      <c r="G187" t="s">
        <v>126</v>
      </c>
      <c r="H187">
        <v>5000</v>
      </c>
      <c r="I187">
        <v>22.5</v>
      </c>
      <c r="J187">
        <v>112500</v>
      </c>
      <c r="K187" s="7" t="str">
        <f>IFERROR(IF(B187&lt;&gt;"", TEXT(VLOOKUP(B187, 'Expected Date'!A:B, 2, FALSE) + DATE(RIGHT(C187,2),MID(C187,4,2),LEFT(C187,2)), "dd/mm/yy"), ""), "")</f>
        <v>02/10/23</v>
      </c>
      <c r="L187" t="s">
        <v>38</v>
      </c>
      <c r="M187" t="s">
        <v>48</v>
      </c>
      <c r="N187" t="s">
        <v>69</v>
      </c>
      <c r="O187" t="s">
        <v>254</v>
      </c>
      <c r="P187">
        <v>23191316</v>
      </c>
      <c r="Q187" t="s">
        <v>125</v>
      </c>
      <c r="R187" t="s">
        <v>126</v>
      </c>
      <c r="S187">
        <v>5302</v>
      </c>
      <c r="T187">
        <v>22.5</v>
      </c>
      <c r="U187">
        <v>119295</v>
      </c>
      <c r="V187" t="str">
        <f t="shared" si="51"/>
        <v>Hyderabad</v>
      </c>
      <c r="W187" t="str">
        <f>VLOOKUP(B187, Currency!A:B, 2, FALSE)</f>
        <v>INR</v>
      </c>
      <c r="X187" t="str">
        <f t="shared" si="52"/>
        <v>Accepted</v>
      </c>
      <c r="Y187">
        <f>IFERROR(VLOOKUP(N187, Payment_Terms!A:B, 2, FALSE), "Payment term not found!")</f>
        <v>30</v>
      </c>
      <c r="Z187" t="str">
        <f>IFERROR(VLOOKUP(R187, Item_Category!A:B, 2, FALSE), "Uncategorized")</f>
        <v>Bags</v>
      </c>
      <c r="AA187" s="5">
        <f t="shared" si="38"/>
        <v>0</v>
      </c>
      <c r="AB187">
        <f t="shared" si="39"/>
        <v>5</v>
      </c>
      <c r="AC187" s="10">
        <f t="shared" si="40"/>
        <v>12</v>
      </c>
      <c r="AD187">
        <f t="shared" si="41"/>
        <v>1</v>
      </c>
      <c r="AE187" s="10">
        <f t="shared" si="42"/>
        <v>22</v>
      </c>
      <c r="AF187" s="5">
        <f t="shared" si="35"/>
        <v>1</v>
      </c>
      <c r="AG187" s="5">
        <f t="shared" si="36"/>
        <v>1</v>
      </c>
      <c r="AH187" s="5">
        <f t="shared" si="43"/>
        <v>0</v>
      </c>
      <c r="AI187">
        <f>IF(B187&lt;&gt;"", COUNTIFS($B$2:B187, B187), "")</f>
        <v>20</v>
      </c>
      <c r="AJ187">
        <f t="shared" si="44"/>
        <v>5</v>
      </c>
      <c r="AK187">
        <f t="shared" si="37"/>
        <v>4</v>
      </c>
      <c r="AL187">
        <f t="shared" si="45"/>
        <v>9</v>
      </c>
      <c r="AM187" t="str">
        <f t="shared" si="46"/>
        <v>September</v>
      </c>
      <c r="AN187">
        <f t="shared" si="47"/>
        <v>2023</v>
      </c>
      <c r="AO187" t="str">
        <f t="shared" si="48"/>
        <v>&gt;3</v>
      </c>
      <c r="AP187" t="str">
        <f t="shared" si="49"/>
        <v>&gt;3</v>
      </c>
      <c r="AQ187" t="str">
        <f t="shared" si="50"/>
        <v>&lt;=3</v>
      </c>
    </row>
    <row r="188" spans="1:43" x14ac:dyDescent="0.3">
      <c r="A188" t="s">
        <v>111</v>
      </c>
      <c r="B188" t="s">
        <v>264</v>
      </c>
      <c r="C188" t="s">
        <v>84</v>
      </c>
      <c r="D188">
        <v>1444</v>
      </c>
      <c r="E188">
        <v>23110058</v>
      </c>
      <c r="F188" t="s">
        <v>266</v>
      </c>
      <c r="G188" t="s">
        <v>267</v>
      </c>
      <c r="H188">
        <v>5000</v>
      </c>
      <c r="I188">
        <v>133</v>
      </c>
      <c r="J188">
        <v>665000</v>
      </c>
      <c r="K188" s="7" t="str">
        <f>IFERROR(IF(B188&lt;&gt;"", TEXT(VLOOKUP(B188, 'Expected Date'!A:B, 2, FALSE) + DATE(RIGHT(C188,2),MID(C188,4,2),LEFT(C188,2)), "dd/mm/yy"), ""), "")</f>
        <v>01/05/23</v>
      </c>
      <c r="L188" t="s">
        <v>38</v>
      </c>
      <c r="M188" t="s">
        <v>48</v>
      </c>
      <c r="N188" t="s">
        <v>268</v>
      </c>
      <c r="O188" t="s">
        <v>41</v>
      </c>
      <c r="P188">
        <v>23190117</v>
      </c>
      <c r="Q188" t="s">
        <v>266</v>
      </c>
      <c r="R188" t="s">
        <v>267</v>
      </c>
      <c r="S188">
        <v>5000</v>
      </c>
      <c r="T188">
        <v>133</v>
      </c>
      <c r="U188">
        <v>665000</v>
      </c>
      <c r="V188" t="str">
        <f t="shared" si="51"/>
        <v>Hyderabad</v>
      </c>
      <c r="W188" t="str">
        <f>VLOOKUP(B188, Currency!A:B, 2, FALSE)</f>
        <v>INR</v>
      </c>
      <c r="X188" t="str">
        <f t="shared" si="52"/>
        <v>Accepted</v>
      </c>
      <c r="Y188">
        <f>IFERROR(VLOOKUP(N188, Payment_Terms!A:B, 2, FALSE), "Payment term not found!")</f>
        <v>0</v>
      </c>
      <c r="Z188" t="str">
        <f>IFERROR(VLOOKUP(R188, Item_Category!A:B, 2, FALSE), "Uncategorized")</f>
        <v>Magnesium stearate</v>
      </c>
      <c r="AA188" s="5">
        <f t="shared" si="38"/>
        <v>0</v>
      </c>
      <c r="AB188">
        <f t="shared" si="39"/>
        <v>5</v>
      </c>
      <c r="AC188" s="10">
        <f t="shared" si="40"/>
        <v>-2</v>
      </c>
      <c r="AD188">
        <f t="shared" si="41"/>
        <v>5</v>
      </c>
      <c r="AE188" s="10">
        <f t="shared" si="42"/>
        <v>8</v>
      </c>
      <c r="AF188" s="5">
        <f t="shared" si="35"/>
        <v>1</v>
      </c>
      <c r="AG188" s="5">
        <f t="shared" si="36"/>
        <v>1</v>
      </c>
      <c r="AH188" s="5">
        <f t="shared" si="43"/>
        <v>0</v>
      </c>
      <c r="AI188">
        <f>IF(B188&lt;&gt;"", COUNTIFS($B$2:B188, B188), "")</f>
        <v>2</v>
      </c>
      <c r="AJ188">
        <f t="shared" si="44"/>
        <v>5</v>
      </c>
      <c r="AK188">
        <f t="shared" si="37"/>
        <v>5</v>
      </c>
      <c r="AL188">
        <f t="shared" si="45"/>
        <v>4</v>
      </c>
      <c r="AM188" t="str">
        <f t="shared" si="46"/>
        <v>April</v>
      </c>
      <c r="AN188">
        <f t="shared" si="47"/>
        <v>2023</v>
      </c>
      <c r="AO188" t="str">
        <f t="shared" si="48"/>
        <v>&gt;3</v>
      </c>
      <c r="AP188" t="str">
        <f t="shared" si="49"/>
        <v>&gt;3</v>
      </c>
      <c r="AQ188" t="str">
        <f t="shared" si="50"/>
        <v>&gt;3</v>
      </c>
    </row>
    <row r="189" spans="1:43" x14ac:dyDescent="0.3">
      <c r="A189" t="s">
        <v>33</v>
      </c>
      <c r="B189" t="s">
        <v>107</v>
      </c>
      <c r="C189" t="s">
        <v>65</v>
      </c>
      <c r="D189">
        <v>1389</v>
      </c>
      <c r="E189">
        <v>23110050</v>
      </c>
      <c r="F189" t="s">
        <v>92</v>
      </c>
      <c r="G189" t="s">
        <v>93</v>
      </c>
      <c r="H189">
        <v>12000</v>
      </c>
      <c r="I189">
        <v>33.799999999999997</v>
      </c>
      <c r="J189">
        <v>405600</v>
      </c>
      <c r="K189" s="7" t="str">
        <f>IFERROR(IF(B189&lt;&gt;"", TEXT(VLOOKUP(B189, 'Expected Date'!A:B, 2, FALSE) + DATE(RIGHT(C189,2),MID(C189,4,2),LEFT(C189,2)), "dd/mm/yy"), ""), "")</f>
        <v>29/04/23</v>
      </c>
      <c r="L189" t="s">
        <v>38</v>
      </c>
      <c r="M189" t="s">
        <v>39</v>
      </c>
      <c r="N189" t="s">
        <v>109</v>
      </c>
      <c r="O189" t="s">
        <v>41</v>
      </c>
      <c r="P189">
        <v>23190119</v>
      </c>
      <c r="Q189" t="s">
        <v>92</v>
      </c>
      <c r="R189" t="s">
        <v>93</v>
      </c>
      <c r="S189">
        <v>5154</v>
      </c>
      <c r="T189">
        <v>33.799999999999997</v>
      </c>
      <c r="U189">
        <v>174205.2</v>
      </c>
      <c r="V189" t="str">
        <f t="shared" si="51"/>
        <v>Hyderabad</v>
      </c>
      <c r="W189" t="str">
        <f>VLOOKUP(B189, Currency!A:B, 2, FALSE)</f>
        <v>INR</v>
      </c>
      <c r="X189" t="str">
        <f t="shared" si="52"/>
        <v>Accepted</v>
      </c>
      <c r="Y189">
        <f>IFERROR(VLOOKUP(N189, Payment_Terms!A:B, 2, FALSE), "Payment term not found!")</f>
        <v>0</v>
      </c>
      <c r="Z189" t="str">
        <f>IFERROR(VLOOKUP(R189, Item_Category!A:B, 2, FALSE), "Uncategorized")</f>
        <v>Bags</v>
      </c>
      <c r="AA189" s="5">
        <f t="shared" si="38"/>
        <v>0</v>
      </c>
      <c r="AB189">
        <f t="shared" si="39"/>
        <v>5</v>
      </c>
      <c r="AC189" s="10">
        <f t="shared" si="40"/>
        <v>0</v>
      </c>
      <c r="AD189">
        <f t="shared" si="41"/>
        <v>5</v>
      </c>
      <c r="AE189" s="10">
        <f t="shared" si="42"/>
        <v>10</v>
      </c>
      <c r="AF189" s="5">
        <f t="shared" si="35"/>
        <v>1</v>
      </c>
      <c r="AG189" s="5">
        <f t="shared" si="36"/>
        <v>1</v>
      </c>
      <c r="AH189" s="5">
        <f t="shared" si="43"/>
        <v>0</v>
      </c>
      <c r="AI189">
        <f>IF(B189&lt;&gt;"", COUNTIFS($B$2:B189, B189), "")</f>
        <v>12</v>
      </c>
      <c r="AJ189">
        <f t="shared" si="44"/>
        <v>5</v>
      </c>
      <c r="AK189">
        <f t="shared" si="37"/>
        <v>5</v>
      </c>
      <c r="AL189">
        <f t="shared" si="45"/>
        <v>4</v>
      </c>
      <c r="AM189" t="str">
        <f t="shared" si="46"/>
        <v>April</v>
      </c>
      <c r="AN189">
        <f t="shared" si="47"/>
        <v>2023</v>
      </c>
      <c r="AO189" t="str">
        <f t="shared" si="48"/>
        <v>&gt;3</v>
      </c>
      <c r="AP189" t="str">
        <f t="shared" si="49"/>
        <v>&gt;3</v>
      </c>
      <c r="AQ189" t="str">
        <f t="shared" si="50"/>
        <v>&gt;3</v>
      </c>
    </row>
    <row r="190" spans="1:43" x14ac:dyDescent="0.3">
      <c r="A190" t="s">
        <v>33</v>
      </c>
      <c r="B190" t="s">
        <v>107</v>
      </c>
      <c r="C190" t="s">
        <v>65</v>
      </c>
      <c r="D190">
        <v>1389</v>
      </c>
      <c r="E190">
        <v>23110050</v>
      </c>
      <c r="F190" t="s">
        <v>92</v>
      </c>
      <c r="G190" t="s">
        <v>93</v>
      </c>
      <c r="H190">
        <v>12000</v>
      </c>
      <c r="I190">
        <v>33.799999999999997</v>
      </c>
      <c r="J190">
        <v>405600</v>
      </c>
      <c r="K190" s="7" t="str">
        <f>IFERROR(IF(B190&lt;&gt;"", TEXT(VLOOKUP(B190, 'Expected Date'!A:B, 2, FALSE) + DATE(RIGHT(C190,2),MID(C190,4,2),LEFT(C190,2)), "dd/mm/yy"), ""), "")</f>
        <v>29/04/23</v>
      </c>
      <c r="L190" t="s">
        <v>38</v>
      </c>
      <c r="M190" t="s">
        <v>39</v>
      </c>
      <c r="N190" t="s">
        <v>109</v>
      </c>
      <c r="O190" t="s">
        <v>41</v>
      </c>
      <c r="P190">
        <v>23190125</v>
      </c>
      <c r="Q190" t="s">
        <v>92</v>
      </c>
      <c r="R190" t="s">
        <v>93</v>
      </c>
      <c r="S190">
        <v>2050</v>
      </c>
      <c r="T190">
        <v>33.799999999999997</v>
      </c>
      <c r="U190">
        <v>69290</v>
      </c>
      <c r="V190" t="str">
        <f t="shared" si="51"/>
        <v>Hyderabad</v>
      </c>
      <c r="W190" t="str">
        <f>VLOOKUP(B190, Currency!A:B, 2, FALSE)</f>
        <v>INR</v>
      </c>
      <c r="X190" t="str">
        <f t="shared" si="52"/>
        <v>Accepted</v>
      </c>
      <c r="Y190">
        <f>IFERROR(VLOOKUP(N190, Payment_Terms!A:B, 2, FALSE), "Payment term not found!")</f>
        <v>0</v>
      </c>
      <c r="Z190" t="str">
        <f>IFERROR(VLOOKUP(R190, Item_Category!A:B, 2, FALSE), "Uncategorized")</f>
        <v>Bags</v>
      </c>
      <c r="AA190" s="5">
        <f t="shared" si="38"/>
        <v>0</v>
      </c>
      <c r="AB190">
        <f t="shared" si="39"/>
        <v>5</v>
      </c>
      <c r="AC190" s="10">
        <f t="shared" si="40"/>
        <v>0</v>
      </c>
      <c r="AD190">
        <f t="shared" si="41"/>
        <v>5</v>
      </c>
      <c r="AE190" s="10">
        <f t="shared" si="42"/>
        <v>10</v>
      </c>
      <c r="AF190" s="5">
        <f t="shared" si="35"/>
        <v>1</v>
      </c>
      <c r="AG190" s="5">
        <f t="shared" si="36"/>
        <v>1</v>
      </c>
      <c r="AH190" s="5">
        <f t="shared" si="43"/>
        <v>0</v>
      </c>
      <c r="AI190">
        <f>IF(B190&lt;&gt;"", COUNTIFS($B$2:B190, B190), "")</f>
        <v>13</v>
      </c>
      <c r="AJ190">
        <f t="shared" si="44"/>
        <v>5</v>
      </c>
      <c r="AK190">
        <f t="shared" si="37"/>
        <v>5</v>
      </c>
      <c r="AL190">
        <f t="shared" si="45"/>
        <v>4</v>
      </c>
      <c r="AM190" t="str">
        <f t="shared" si="46"/>
        <v>April</v>
      </c>
      <c r="AN190">
        <f t="shared" si="47"/>
        <v>2023</v>
      </c>
      <c r="AO190" t="str">
        <f t="shared" si="48"/>
        <v>&gt;3</v>
      </c>
      <c r="AP190" t="str">
        <f t="shared" si="49"/>
        <v>&gt;3</v>
      </c>
      <c r="AQ190" t="str">
        <f t="shared" si="50"/>
        <v>&gt;3</v>
      </c>
    </row>
    <row r="191" spans="1:43" x14ac:dyDescent="0.3">
      <c r="A191" t="s">
        <v>33</v>
      </c>
      <c r="B191" t="s">
        <v>107</v>
      </c>
      <c r="C191" t="s">
        <v>65</v>
      </c>
      <c r="D191">
        <v>1389</v>
      </c>
      <c r="E191">
        <v>23110050</v>
      </c>
      <c r="F191" t="s">
        <v>92</v>
      </c>
      <c r="G191" t="s">
        <v>93</v>
      </c>
      <c r="H191">
        <v>12000</v>
      </c>
      <c r="I191">
        <v>33.799999999999997</v>
      </c>
      <c r="J191">
        <v>405600</v>
      </c>
      <c r="K191" s="7" t="str">
        <f>IFERROR(IF(B191&lt;&gt;"", TEXT(VLOOKUP(B191, 'Expected Date'!A:B, 2, FALSE) + DATE(RIGHT(C191,2),MID(C191,4,2),LEFT(C191,2)), "dd/mm/yy"), ""), "")</f>
        <v>29/04/23</v>
      </c>
      <c r="L191" t="s">
        <v>38</v>
      </c>
      <c r="M191" t="s">
        <v>39</v>
      </c>
      <c r="N191" t="s">
        <v>109</v>
      </c>
      <c r="O191" t="s">
        <v>300</v>
      </c>
      <c r="P191">
        <v>23190237</v>
      </c>
      <c r="Q191" t="s">
        <v>92</v>
      </c>
      <c r="R191" t="s">
        <v>93</v>
      </c>
      <c r="S191">
        <v>4983</v>
      </c>
      <c r="T191">
        <v>33.799999999999997</v>
      </c>
      <c r="U191">
        <v>168425.4</v>
      </c>
      <c r="V191" t="str">
        <f t="shared" si="51"/>
        <v>Hyderabad</v>
      </c>
      <c r="W191" t="str">
        <f>VLOOKUP(B191, Currency!A:B, 2, FALSE)</f>
        <v>INR</v>
      </c>
      <c r="X191" t="str">
        <f t="shared" si="52"/>
        <v>Accepted</v>
      </c>
      <c r="Y191">
        <f>IFERROR(VLOOKUP(N191, Payment_Terms!A:B, 2, FALSE), "Payment term not found!")</f>
        <v>0</v>
      </c>
      <c r="Z191" t="str">
        <f>IFERROR(VLOOKUP(R191, Item_Category!A:B, 2, FALSE), "Uncategorized")</f>
        <v>Bags</v>
      </c>
      <c r="AA191" s="5">
        <f t="shared" si="38"/>
        <v>0</v>
      </c>
      <c r="AB191">
        <f t="shared" si="39"/>
        <v>5</v>
      </c>
      <c r="AC191" s="10">
        <f t="shared" si="40"/>
        <v>13</v>
      </c>
      <c r="AD191">
        <f t="shared" si="41"/>
        <v>1</v>
      </c>
      <c r="AE191" s="10">
        <f t="shared" si="42"/>
        <v>23</v>
      </c>
      <c r="AF191" s="5">
        <f t="shared" si="35"/>
        <v>1</v>
      </c>
      <c r="AG191" s="5">
        <f t="shared" si="36"/>
        <v>1</v>
      </c>
      <c r="AH191" s="5">
        <f t="shared" si="43"/>
        <v>0</v>
      </c>
      <c r="AI191">
        <f>IF(B191&lt;&gt;"", COUNTIFS($B$2:B191, B191), "")</f>
        <v>14</v>
      </c>
      <c r="AJ191">
        <f t="shared" si="44"/>
        <v>5</v>
      </c>
      <c r="AK191">
        <f t="shared" si="37"/>
        <v>4</v>
      </c>
      <c r="AL191">
        <f t="shared" si="45"/>
        <v>4</v>
      </c>
      <c r="AM191" t="str">
        <f t="shared" si="46"/>
        <v>April</v>
      </c>
      <c r="AN191">
        <f t="shared" si="47"/>
        <v>2023</v>
      </c>
      <c r="AO191" t="str">
        <f t="shared" si="48"/>
        <v>&gt;3</v>
      </c>
      <c r="AP191" t="str">
        <f t="shared" si="49"/>
        <v>&gt;3</v>
      </c>
      <c r="AQ191" t="str">
        <f t="shared" si="50"/>
        <v>&lt;=3</v>
      </c>
    </row>
    <row r="192" spans="1:43" x14ac:dyDescent="0.3">
      <c r="A192" t="s">
        <v>33</v>
      </c>
      <c r="B192" t="s">
        <v>301</v>
      </c>
      <c r="C192" t="s">
        <v>225</v>
      </c>
      <c r="D192">
        <v>1838</v>
      </c>
      <c r="E192">
        <v>23120024</v>
      </c>
      <c r="F192" t="s">
        <v>302</v>
      </c>
      <c r="G192" t="s">
        <v>303</v>
      </c>
      <c r="H192">
        <v>3000</v>
      </c>
      <c r="I192">
        <v>229</v>
      </c>
      <c r="J192">
        <v>687000</v>
      </c>
      <c r="K192" s="7" t="str">
        <f>IFERROR(IF(B192&lt;&gt;"", TEXT(VLOOKUP(B192, 'Expected Date'!A:B, 2, FALSE) + DATE(RIGHT(C192,2),MID(C192,4,2),LEFT(C192,2)), "dd/mm/yy"), ""), "")</f>
        <v>21/05/23</v>
      </c>
      <c r="L192" t="s">
        <v>38</v>
      </c>
      <c r="M192" t="s">
        <v>48</v>
      </c>
      <c r="N192" t="s">
        <v>123</v>
      </c>
      <c r="O192" t="s">
        <v>210</v>
      </c>
      <c r="P192">
        <v>23190245</v>
      </c>
      <c r="Q192" t="s">
        <v>302</v>
      </c>
      <c r="R192" t="s">
        <v>303</v>
      </c>
      <c r="S192">
        <v>3000</v>
      </c>
      <c r="T192">
        <v>229</v>
      </c>
      <c r="U192">
        <v>687000</v>
      </c>
      <c r="V192" t="str">
        <f t="shared" si="51"/>
        <v>Hyderabad</v>
      </c>
      <c r="W192" t="str">
        <f>VLOOKUP(B192, Currency!A:B, 2, FALSE)</f>
        <v>INR</v>
      </c>
      <c r="X192" t="str">
        <f t="shared" si="52"/>
        <v>Accepted</v>
      </c>
      <c r="Y192">
        <f>IFERROR(VLOOKUP(N192, Payment_Terms!A:B, 2, FALSE), "Payment term not found!")</f>
        <v>0</v>
      </c>
      <c r="Z192" t="str">
        <f>IFERROR(VLOOKUP(R192, Item_Category!A:B, 2, FALSE), "Uncategorized")</f>
        <v>Coal Additive</v>
      </c>
      <c r="AA192" s="5">
        <f t="shared" si="38"/>
        <v>0</v>
      </c>
      <c r="AB192">
        <f t="shared" si="39"/>
        <v>5</v>
      </c>
      <c r="AC192" s="10">
        <f t="shared" si="40"/>
        <v>-8</v>
      </c>
      <c r="AD192">
        <f t="shared" si="41"/>
        <v>5</v>
      </c>
      <c r="AE192" s="10">
        <f t="shared" si="42"/>
        <v>2</v>
      </c>
      <c r="AF192" s="5">
        <f t="shared" si="35"/>
        <v>1</v>
      </c>
      <c r="AG192" s="5">
        <f t="shared" si="36"/>
        <v>1</v>
      </c>
      <c r="AH192" s="5">
        <f t="shared" si="43"/>
        <v>0</v>
      </c>
      <c r="AI192">
        <f>IF(B192&lt;&gt;"", COUNTIFS($B$2:B192, B192), "")</f>
        <v>1</v>
      </c>
      <c r="AJ192">
        <f t="shared" si="44"/>
        <v>5</v>
      </c>
      <c r="AK192">
        <f t="shared" si="37"/>
        <v>5</v>
      </c>
      <c r="AL192">
        <f t="shared" si="45"/>
        <v>5</v>
      </c>
      <c r="AM192" t="str">
        <f t="shared" si="46"/>
        <v>May</v>
      </c>
      <c r="AN192">
        <f t="shared" si="47"/>
        <v>2023</v>
      </c>
      <c r="AO192" t="str">
        <f t="shared" si="48"/>
        <v>&gt;3</v>
      </c>
      <c r="AP192" t="str">
        <f t="shared" si="49"/>
        <v>&gt;3</v>
      </c>
      <c r="AQ192" t="str">
        <f t="shared" si="50"/>
        <v>&gt;3</v>
      </c>
    </row>
    <row r="193" spans="1:43" x14ac:dyDescent="0.3">
      <c r="A193" t="s">
        <v>33</v>
      </c>
      <c r="B193" t="s">
        <v>304</v>
      </c>
      <c r="C193" t="s">
        <v>225</v>
      </c>
      <c r="D193">
        <v>1850</v>
      </c>
      <c r="E193">
        <v>23110126</v>
      </c>
      <c r="F193" t="s">
        <v>305</v>
      </c>
      <c r="G193" t="s">
        <v>306</v>
      </c>
      <c r="H193">
        <v>300</v>
      </c>
      <c r="I193">
        <v>36</v>
      </c>
      <c r="J193">
        <v>10800</v>
      </c>
      <c r="K193" s="7" t="str">
        <f>IFERROR(IF(B193&lt;&gt;"", TEXT(VLOOKUP(B193, 'Expected Date'!A:B, 2, FALSE) + DATE(RIGHT(C193,2),MID(C193,4,2),LEFT(C193,2)), "dd/mm/yy"), ""), "")</f>
        <v>21/05/23</v>
      </c>
      <c r="L193" t="s">
        <v>38</v>
      </c>
      <c r="M193" t="s">
        <v>48</v>
      </c>
      <c r="N193" t="s">
        <v>307</v>
      </c>
      <c r="O193" t="s">
        <v>308</v>
      </c>
      <c r="P193">
        <v>23190410</v>
      </c>
      <c r="Q193" t="s">
        <v>305</v>
      </c>
      <c r="R193" t="s">
        <v>306</v>
      </c>
      <c r="S193">
        <v>300</v>
      </c>
      <c r="T193">
        <v>36</v>
      </c>
      <c r="U193">
        <v>10800</v>
      </c>
      <c r="V193" t="str">
        <f t="shared" si="51"/>
        <v>Hyderabad</v>
      </c>
      <c r="W193" t="str">
        <f>VLOOKUP(B193, Currency!A:B, 2, FALSE)</f>
        <v>INR</v>
      </c>
      <c r="X193" t="str">
        <f t="shared" si="52"/>
        <v>Accepted</v>
      </c>
      <c r="Y193">
        <f>IFERROR(VLOOKUP(N193, Payment_Terms!A:B, 2, FALSE), "Payment term not found!")</f>
        <v>0</v>
      </c>
      <c r="Z193" t="str">
        <f>IFERROR(VLOOKUP(R193, Item_Category!A:B, 2, FALSE), "Uncategorized")</f>
        <v>Peroxide</v>
      </c>
      <c r="AA193" s="5">
        <f t="shared" si="38"/>
        <v>0</v>
      </c>
      <c r="AB193">
        <f t="shared" si="39"/>
        <v>5</v>
      </c>
      <c r="AC193" s="10">
        <f t="shared" si="40"/>
        <v>20</v>
      </c>
      <c r="AD193">
        <f t="shared" si="41"/>
        <v>1</v>
      </c>
      <c r="AE193" s="10">
        <f t="shared" si="42"/>
        <v>30</v>
      </c>
      <c r="AF193" s="5">
        <f t="shared" si="35"/>
        <v>1</v>
      </c>
      <c r="AG193" s="5">
        <f t="shared" si="36"/>
        <v>1</v>
      </c>
      <c r="AH193" s="5">
        <f t="shared" si="43"/>
        <v>0</v>
      </c>
      <c r="AI193">
        <f>IF(B193&lt;&gt;"", COUNTIFS($B$2:B193, B193), "")</f>
        <v>1</v>
      </c>
      <c r="AJ193">
        <f t="shared" si="44"/>
        <v>5</v>
      </c>
      <c r="AK193">
        <f t="shared" si="37"/>
        <v>4</v>
      </c>
      <c r="AL193">
        <f t="shared" si="45"/>
        <v>5</v>
      </c>
      <c r="AM193" t="str">
        <f t="shared" si="46"/>
        <v>May</v>
      </c>
      <c r="AN193">
        <f t="shared" si="47"/>
        <v>2023</v>
      </c>
      <c r="AO193" t="str">
        <f t="shared" si="48"/>
        <v>&gt;3</v>
      </c>
      <c r="AP193" t="str">
        <f t="shared" si="49"/>
        <v>&gt;3</v>
      </c>
      <c r="AQ193" t="str">
        <f t="shared" si="50"/>
        <v>&lt;=3</v>
      </c>
    </row>
    <row r="194" spans="1:43" x14ac:dyDescent="0.3">
      <c r="A194" t="str">
        <f>A183</f>
        <v>Woodpulp</v>
      </c>
      <c r="B194" t="s">
        <v>289</v>
      </c>
      <c r="C194" t="s">
        <v>133</v>
      </c>
      <c r="D194">
        <v>2300</v>
      </c>
      <c r="E194">
        <v>23110171</v>
      </c>
      <c r="F194" t="s">
        <v>290</v>
      </c>
      <c r="G194" t="s">
        <v>291</v>
      </c>
      <c r="H194">
        <v>100</v>
      </c>
      <c r="I194">
        <v>56000</v>
      </c>
      <c r="J194">
        <v>5600000</v>
      </c>
      <c r="K194" s="7" t="str">
        <f>IFERROR(IF(B194&lt;&gt;"", TEXT(VLOOKUP(B194, 'Expected Date'!A:B, 2, FALSE) + DATE(RIGHT(C194,2),MID(C194,4,2),LEFT(C194,2)), "dd/mm/yy"), ""), "")</f>
        <v>06/07/23</v>
      </c>
      <c r="L194" t="s">
        <v>38</v>
      </c>
      <c r="M194" t="str">
        <f>M149</f>
        <v>MT</v>
      </c>
      <c r="N194" t="s">
        <v>292</v>
      </c>
      <c r="O194" t="s">
        <v>271</v>
      </c>
      <c r="P194">
        <v>23190412</v>
      </c>
      <c r="Q194" t="s">
        <v>290</v>
      </c>
      <c r="R194" t="s">
        <v>291</v>
      </c>
      <c r="S194">
        <v>30.27</v>
      </c>
      <c r="T194">
        <v>56000</v>
      </c>
      <c r="U194">
        <v>1695120</v>
      </c>
      <c r="V194" t="str">
        <f t="shared" si="51"/>
        <v>Hyderabad</v>
      </c>
      <c r="W194" t="str">
        <f>VLOOKUP(B194, Currency!A:B, 2, FALSE)</f>
        <v>INR</v>
      </c>
      <c r="X194" t="str">
        <f t="shared" si="52"/>
        <v>Accepted</v>
      </c>
      <c r="Y194">
        <f>IFERROR(VLOOKUP(N194, Payment_Terms!A:B, 2, FALSE), "Payment term not found!")</f>
        <v>0</v>
      </c>
      <c r="Z194" t="str">
        <f>IFERROR(VLOOKUP(R194, Item_Category!A:B, 2, FALSE), "Uncategorized")</f>
        <v>Wood pulp</v>
      </c>
      <c r="AA194" s="5">
        <f t="shared" si="38"/>
        <v>0</v>
      </c>
      <c r="AB194">
        <f t="shared" si="39"/>
        <v>5</v>
      </c>
      <c r="AC194" s="10">
        <f t="shared" si="40"/>
        <v>-25</v>
      </c>
      <c r="AD194">
        <f t="shared" si="41"/>
        <v>5</v>
      </c>
      <c r="AE194" s="10">
        <f t="shared" si="42"/>
        <v>5</v>
      </c>
      <c r="AF194" s="5">
        <f t="shared" ref="AF194:AF257" si="53">IF(X194="Accepted",1,0)</f>
        <v>1</v>
      </c>
      <c r="AG194" s="5">
        <f t="shared" ref="AG194:AG257" si="54">ROUNDUP((SUMIFS(S:S, B:B, B194, X:X, "Accepted")/SUMIF(B:B,B194,S:S)),2)</f>
        <v>1</v>
      </c>
      <c r="AH194" s="5">
        <f t="shared" si="43"/>
        <v>0</v>
      </c>
      <c r="AI194">
        <f>IF(B194&lt;&gt;"", COUNTIFS($B$2:B194, B194), "")</f>
        <v>5</v>
      </c>
      <c r="AJ194">
        <f t="shared" si="44"/>
        <v>5</v>
      </c>
      <c r="AK194">
        <f t="shared" ref="AK194:AK257" si="55">_xlfn.CEILING.MATH(((0.4*AJ194)+(0.3*AD194)+(0.3*AB194)),1)</f>
        <v>5</v>
      </c>
      <c r="AL194">
        <f t="shared" si="45"/>
        <v>6</v>
      </c>
      <c r="AM194" t="str">
        <f t="shared" si="46"/>
        <v>June</v>
      </c>
      <c r="AN194">
        <f t="shared" si="47"/>
        <v>2023</v>
      </c>
      <c r="AO194" t="str">
        <f t="shared" si="48"/>
        <v>&gt;3</v>
      </c>
      <c r="AP194" t="str">
        <f t="shared" si="49"/>
        <v>&gt;3</v>
      </c>
      <c r="AQ194" t="str">
        <f t="shared" si="50"/>
        <v>&gt;3</v>
      </c>
    </row>
    <row r="195" spans="1:43" x14ac:dyDescent="0.3">
      <c r="A195" t="str">
        <f>A183</f>
        <v>Woodpulp</v>
      </c>
      <c r="B195" t="s">
        <v>289</v>
      </c>
      <c r="C195" t="s">
        <v>133</v>
      </c>
      <c r="D195">
        <v>2300</v>
      </c>
      <c r="E195">
        <v>23110171</v>
      </c>
      <c r="F195" t="s">
        <v>290</v>
      </c>
      <c r="G195" t="s">
        <v>291</v>
      </c>
      <c r="H195">
        <v>100</v>
      </c>
      <c r="I195">
        <v>56000</v>
      </c>
      <c r="J195">
        <v>5600000</v>
      </c>
      <c r="K195" s="7" t="str">
        <f>IFERROR(IF(B195&lt;&gt;"", TEXT(VLOOKUP(B195, 'Expected Date'!A:B, 2, FALSE) + DATE(RIGHT(C195,2),MID(C195,4,2),LEFT(C195,2)), "dd/mm/yy"), ""), "")</f>
        <v>06/07/23</v>
      </c>
      <c r="L195" t="s">
        <v>38</v>
      </c>
      <c r="M195" t="str">
        <f>M149</f>
        <v>MT</v>
      </c>
      <c r="N195" t="s">
        <v>292</v>
      </c>
      <c r="O195" t="s">
        <v>275</v>
      </c>
      <c r="P195">
        <v>23190413</v>
      </c>
      <c r="Q195" t="s">
        <v>290</v>
      </c>
      <c r="R195" t="s">
        <v>291</v>
      </c>
      <c r="S195">
        <v>30.268999999999998</v>
      </c>
      <c r="T195">
        <v>56000</v>
      </c>
      <c r="U195">
        <v>1695064</v>
      </c>
      <c r="V195" t="str">
        <f t="shared" si="51"/>
        <v>Hyderabad</v>
      </c>
      <c r="W195" t="str">
        <f>VLOOKUP(B195, Currency!A:B, 2, FALSE)</f>
        <v>INR</v>
      </c>
      <c r="X195" t="str">
        <f t="shared" si="52"/>
        <v>Accepted</v>
      </c>
      <c r="Y195">
        <f>IFERROR(VLOOKUP(N195, Payment_Terms!A:B, 2, FALSE), "Payment term not found!")</f>
        <v>0</v>
      </c>
      <c r="Z195" t="str">
        <f>IFERROR(VLOOKUP(R195, Item_Category!A:B, 2, FALSE), "Uncategorized")</f>
        <v>Wood pulp</v>
      </c>
      <c r="AA195" s="5">
        <f t="shared" ref="AA195:AA258" si="56">IFERROR(IF(AND(E195&lt;&gt;"", G195&lt;&gt;""), MAX(0, (H195-SUMIFS(S:S, E:E, E195, G:G, G195))/H195), ""), (H195-S195)/H195)</f>
        <v>0</v>
      </c>
      <c r="AB195">
        <f t="shared" ref="AB195:AB258" si="57">IF(AA195&lt;=0%,5,(IF(AND(AA195&gt;0%,AA195&lt;=2%),4,IF(AND(AA195&gt;2%,AA195&lt;=5%),3,IF(AND(AA195&gt;5%,AA195&lt;10%),2,1)))))</f>
        <v>5</v>
      </c>
      <c r="AC195" s="10">
        <f t="shared" ref="AC195:AC258" si="58">DATE(RIGHT(O195,2),MID(O195,4,2),LEFT(O195,2)) - DATE(RIGHT(K195,2),MID(K195,4,2),LEFT(K195,2))</f>
        <v>-24</v>
      </c>
      <c r="AD195">
        <f t="shared" ref="AD195:AD258" si="59">IF(AC195 &lt;= 2, 5, IF(AC195 &lt;= 4, 4, IF(AC195 &lt;= 7, 3, IF(AC195&lt;=10,2,1))))</f>
        <v>5</v>
      </c>
      <c r="AE195" s="10">
        <f t="shared" ref="AE195:AE258" si="60">ABS(DATE(RIGHT(O195,2),MID(O195,4,2),LEFT(O195,2)) - DATE(RIGHT(C195,2),MID(C195,4,2),LEFT(C195,2)))</f>
        <v>6</v>
      </c>
      <c r="AF195" s="5">
        <f t="shared" si="53"/>
        <v>1</v>
      </c>
      <c r="AG195" s="5">
        <f t="shared" si="54"/>
        <v>1</v>
      </c>
      <c r="AH195" s="5">
        <f t="shared" ref="AH195:AH258" si="61">ROUNDUP(ABS(100%-AG195),2)</f>
        <v>0</v>
      </c>
      <c r="AI195">
        <f>IF(B195&lt;&gt;"", COUNTIFS($B$2:B195, B195), "")</f>
        <v>6</v>
      </c>
      <c r="AJ195">
        <f t="shared" ref="AJ195:AJ258" si="62">IF(AH195=0%,5,IF(AND(AH195&gt;0%,AH195&lt;=2%),4,IF(AND(AH195&gt;2%,AH195&lt;=5%),3,IF(AND(AH195&gt;5%,AH195&lt;10%),2,1))))</f>
        <v>5</v>
      </c>
      <c r="AK195">
        <f t="shared" si="55"/>
        <v>5</v>
      </c>
      <c r="AL195">
        <f t="shared" ref="AL195:AL258" si="63">MONTH(DATE(RIGHT(C195,2),MID(C195,4,2),LEFT(C195,2)))</f>
        <v>6</v>
      </c>
      <c r="AM195" t="str">
        <f t="shared" ref="AM195:AM258" si="64">TEXT(DATE(RIGHT(C195,2),MID(C195,4,2),LEFT(C195,2)),"mmmm")</f>
        <v>June</v>
      </c>
      <c r="AN195">
        <f t="shared" ref="AN195:AN258" si="65">YEAR(DATE(VALUE(MID(C195,7,2))+2000, MID(C195,4,2), MID(C195,1,2)))</f>
        <v>2023</v>
      </c>
      <c r="AO195" t="str">
        <f t="shared" ref="AO195:AO258" si="66">IF(AJ195&lt;=3,"&lt;=3","&gt;3")</f>
        <v>&gt;3</v>
      </c>
      <c r="AP195" t="str">
        <f t="shared" ref="AP195:AP258" si="67">IF(AB195&lt;=3,"&lt;=3","&gt;3")</f>
        <v>&gt;3</v>
      </c>
      <c r="AQ195" t="str">
        <f t="shared" ref="AQ195:AQ258" si="68">IF(AD195&lt;=3,"&lt;=3","&gt;3")</f>
        <v>&gt;3</v>
      </c>
    </row>
    <row r="196" spans="1:43" x14ac:dyDescent="0.3">
      <c r="A196" t="str">
        <f>A195</f>
        <v>Woodpulp</v>
      </c>
      <c r="B196" t="s">
        <v>289</v>
      </c>
      <c r="C196" t="s">
        <v>133</v>
      </c>
      <c r="D196">
        <v>2300</v>
      </c>
      <c r="E196">
        <v>23110171</v>
      </c>
      <c r="F196" t="s">
        <v>290</v>
      </c>
      <c r="G196" t="s">
        <v>291</v>
      </c>
      <c r="H196">
        <v>100</v>
      </c>
      <c r="I196">
        <v>56000</v>
      </c>
      <c r="J196">
        <v>5600000</v>
      </c>
      <c r="K196" s="7" t="str">
        <f>IFERROR(IF(B196&lt;&gt;"", TEXT(VLOOKUP(B196, 'Expected Date'!A:B, 2, FALSE) + DATE(RIGHT(C196,2),MID(C196,4,2),LEFT(C196,2)), "dd/mm/yy"), ""), "")</f>
        <v>06/07/23</v>
      </c>
      <c r="L196" t="s">
        <v>38</v>
      </c>
      <c r="M196" t="str">
        <f>M149</f>
        <v>MT</v>
      </c>
      <c r="N196" t="s">
        <v>292</v>
      </c>
      <c r="O196" t="s">
        <v>182</v>
      </c>
      <c r="P196">
        <v>23190418</v>
      </c>
      <c r="Q196" t="s">
        <v>290</v>
      </c>
      <c r="R196" t="s">
        <v>291</v>
      </c>
      <c r="S196">
        <v>30.27</v>
      </c>
      <c r="T196">
        <v>56000</v>
      </c>
      <c r="U196">
        <v>1695120</v>
      </c>
      <c r="V196" t="str">
        <f t="shared" ref="V196:V259" si="69">V195</f>
        <v>Hyderabad</v>
      </c>
      <c r="W196" t="str">
        <f>VLOOKUP(B196, Currency!A:B, 2, FALSE)</f>
        <v>INR</v>
      </c>
      <c r="X196" t="str">
        <f t="shared" ref="X196:X259" si="70">X195</f>
        <v>Accepted</v>
      </c>
      <c r="Y196">
        <f>IFERROR(VLOOKUP(N196, Payment_Terms!A:B, 2, FALSE), "Payment term not found!")</f>
        <v>0</v>
      </c>
      <c r="Z196" t="str">
        <f>IFERROR(VLOOKUP(R196, Item_Category!A:B, 2, FALSE), "Uncategorized")</f>
        <v>Wood pulp</v>
      </c>
      <c r="AA196" s="5">
        <f t="shared" si="56"/>
        <v>0</v>
      </c>
      <c r="AB196">
        <f t="shared" si="57"/>
        <v>5</v>
      </c>
      <c r="AC196" s="10">
        <f t="shared" si="58"/>
        <v>-23</v>
      </c>
      <c r="AD196">
        <f t="shared" si="59"/>
        <v>5</v>
      </c>
      <c r="AE196" s="10">
        <f t="shared" si="60"/>
        <v>7</v>
      </c>
      <c r="AF196" s="5">
        <f t="shared" si="53"/>
        <v>1</v>
      </c>
      <c r="AG196" s="5">
        <f t="shared" si="54"/>
        <v>1</v>
      </c>
      <c r="AH196" s="5">
        <f t="shared" si="61"/>
        <v>0</v>
      </c>
      <c r="AI196">
        <f>IF(B196&lt;&gt;"", COUNTIFS($B$2:B196, B196), "")</f>
        <v>7</v>
      </c>
      <c r="AJ196">
        <f t="shared" si="62"/>
        <v>5</v>
      </c>
      <c r="AK196">
        <f t="shared" si="55"/>
        <v>5</v>
      </c>
      <c r="AL196">
        <f t="shared" si="63"/>
        <v>6</v>
      </c>
      <c r="AM196" t="str">
        <f t="shared" si="64"/>
        <v>June</v>
      </c>
      <c r="AN196">
        <f t="shared" si="65"/>
        <v>2023</v>
      </c>
      <c r="AO196" t="str">
        <f t="shared" si="66"/>
        <v>&gt;3</v>
      </c>
      <c r="AP196" t="str">
        <f t="shared" si="67"/>
        <v>&gt;3</v>
      </c>
      <c r="AQ196" t="str">
        <f t="shared" si="68"/>
        <v>&gt;3</v>
      </c>
    </row>
    <row r="197" spans="1:43" x14ac:dyDescent="0.3">
      <c r="A197" t="str">
        <f>A196</f>
        <v>Woodpulp</v>
      </c>
      <c r="B197" t="s">
        <v>289</v>
      </c>
      <c r="C197" t="s">
        <v>133</v>
      </c>
      <c r="D197">
        <v>2300</v>
      </c>
      <c r="E197">
        <v>23110171</v>
      </c>
      <c r="F197" t="s">
        <v>290</v>
      </c>
      <c r="G197" t="s">
        <v>291</v>
      </c>
      <c r="H197">
        <v>100</v>
      </c>
      <c r="I197">
        <v>56000</v>
      </c>
      <c r="J197">
        <v>5600000</v>
      </c>
      <c r="K197" s="7" t="str">
        <f>IFERROR(IF(B197&lt;&gt;"", TEXT(VLOOKUP(B197, 'Expected Date'!A:B, 2, FALSE) + DATE(RIGHT(C197,2),MID(C197,4,2),LEFT(C197,2)), "dd/mm/yy"), ""), "")</f>
        <v>06/07/23</v>
      </c>
      <c r="L197" t="s">
        <v>38</v>
      </c>
      <c r="M197" t="str">
        <f>M149</f>
        <v>MT</v>
      </c>
      <c r="N197" t="s">
        <v>292</v>
      </c>
      <c r="O197" t="s">
        <v>182</v>
      </c>
      <c r="P197">
        <v>23190419</v>
      </c>
      <c r="Q197" t="s">
        <v>290</v>
      </c>
      <c r="R197" t="s">
        <v>291</v>
      </c>
      <c r="S197">
        <v>30.268999999999998</v>
      </c>
      <c r="T197">
        <v>56000</v>
      </c>
      <c r="U197">
        <v>1695064</v>
      </c>
      <c r="V197" t="str">
        <f t="shared" si="69"/>
        <v>Hyderabad</v>
      </c>
      <c r="W197" t="str">
        <f>VLOOKUP(B197, Currency!A:B, 2, FALSE)</f>
        <v>INR</v>
      </c>
      <c r="X197" t="str">
        <f t="shared" si="70"/>
        <v>Accepted</v>
      </c>
      <c r="Y197">
        <f>IFERROR(VLOOKUP(N197, Payment_Terms!A:B, 2, FALSE), "Payment term not found!")</f>
        <v>0</v>
      </c>
      <c r="Z197" t="str">
        <f>IFERROR(VLOOKUP(R197, Item_Category!A:B, 2, FALSE), "Uncategorized")</f>
        <v>Wood pulp</v>
      </c>
      <c r="AA197" s="5">
        <f t="shared" si="56"/>
        <v>0</v>
      </c>
      <c r="AB197">
        <f t="shared" si="57"/>
        <v>5</v>
      </c>
      <c r="AC197" s="10">
        <f t="shared" si="58"/>
        <v>-23</v>
      </c>
      <c r="AD197">
        <f t="shared" si="59"/>
        <v>5</v>
      </c>
      <c r="AE197" s="10">
        <f t="shared" si="60"/>
        <v>7</v>
      </c>
      <c r="AF197" s="5">
        <f t="shared" si="53"/>
        <v>1</v>
      </c>
      <c r="AG197" s="5">
        <f t="shared" si="54"/>
        <v>1</v>
      </c>
      <c r="AH197" s="5">
        <f t="shared" si="61"/>
        <v>0</v>
      </c>
      <c r="AI197">
        <f>IF(B197&lt;&gt;"", COUNTIFS($B$2:B197, B197), "")</f>
        <v>8</v>
      </c>
      <c r="AJ197">
        <f t="shared" si="62"/>
        <v>5</v>
      </c>
      <c r="AK197">
        <f t="shared" si="55"/>
        <v>5</v>
      </c>
      <c r="AL197">
        <f t="shared" si="63"/>
        <v>6</v>
      </c>
      <c r="AM197" t="str">
        <f t="shared" si="64"/>
        <v>June</v>
      </c>
      <c r="AN197">
        <f t="shared" si="65"/>
        <v>2023</v>
      </c>
      <c r="AO197" t="str">
        <f t="shared" si="66"/>
        <v>&gt;3</v>
      </c>
      <c r="AP197" t="str">
        <f t="shared" si="67"/>
        <v>&gt;3</v>
      </c>
      <c r="AQ197" t="str">
        <f t="shared" si="68"/>
        <v>&gt;3</v>
      </c>
    </row>
    <row r="198" spans="1:43" x14ac:dyDescent="0.3">
      <c r="A198" t="s">
        <v>111</v>
      </c>
      <c r="B198" t="s">
        <v>309</v>
      </c>
      <c r="C198" t="s">
        <v>174</v>
      </c>
      <c r="D198">
        <v>1886</v>
      </c>
      <c r="E198">
        <v>23120028</v>
      </c>
      <c r="F198" t="s">
        <v>310</v>
      </c>
      <c r="G198" t="s">
        <v>311</v>
      </c>
      <c r="H198">
        <v>4000</v>
      </c>
      <c r="I198">
        <v>310</v>
      </c>
      <c r="J198">
        <v>1240000</v>
      </c>
      <c r="K198" s="7" t="str">
        <f>IFERROR(IF(B198&lt;&gt;"", TEXT(VLOOKUP(B198, 'Expected Date'!A:B, 2, FALSE) + DATE(RIGHT(C198,2),MID(C198,4,2),LEFT(C198,2)), "dd/mm/yy"), ""), "")</f>
        <v>26/05/23</v>
      </c>
      <c r="L198" t="s">
        <v>38</v>
      </c>
      <c r="M198" t="s">
        <v>48</v>
      </c>
      <c r="N198" t="s">
        <v>312</v>
      </c>
      <c r="O198" t="s">
        <v>179</v>
      </c>
      <c r="P198">
        <v>23190320</v>
      </c>
      <c r="Q198" t="s">
        <v>310</v>
      </c>
      <c r="R198" t="s">
        <v>311</v>
      </c>
      <c r="S198">
        <v>4000</v>
      </c>
      <c r="T198">
        <v>310</v>
      </c>
      <c r="U198">
        <v>1240000</v>
      </c>
      <c r="V198" t="str">
        <f t="shared" si="69"/>
        <v>Hyderabad</v>
      </c>
      <c r="W198" t="str">
        <f>VLOOKUP(B198, Currency!A:B, 2, FALSE)</f>
        <v>INR</v>
      </c>
      <c r="X198" t="str">
        <f t="shared" si="70"/>
        <v>Accepted</v>
      </c>
      <c r="Y198">
        <f>IFERROR(VLOOKUP(N198, Payment_Terms!A:B, 2, FALSE), "Payment term not found!")</f>
        <v>30</v>
      </c>
      <c r="Z198" t="str">
        <f>IFERROR(VLOOKUP(R198, Item_Category!A:B, 2, FALSE), "Uncategorized")</f>
        <v>CROSSCARMELLOSE SODIUM</v>
      </c>
      <c r="AA198" s="5">
        <f t="shared" si="56"/>
        <v>0</v>
      </c>
      <c r="AB198">
        <f t="shared" si="57"/>
        <v>5</v>
      </c>
      <c r="AC198" s="10">
        <f t="shared" si="58"/>
        <v>-3</v>
      </c>
      <c r="AD198">
        <f t="shared" si="59"/>
        <v>5</v>
      </c>
      <c r="AE198" s="10">
        <f t="shared" si="60"/>
        <v>7</v>
      </c>
      <c r="AF198" s="5">
        <f t="shared" si="53"/>
        <v>1</v>
      </c>
      <c r="AG198" s="5">
        <f t="shared" si="54"/>
        <v>0.77</v>
      </c>
      <c r="AH198" s="5">
        <f t="shared" si="61"/>
        <v>0.23</v>
      </c>
      <c r="AI198">
        <f>IF(B198&lt;&gt;"", COUNTIFS($B$2:B198, B198), "")</f>
        <v>1</v>
      </c>
      <c r="AJ198">
        <f t="shared" si="62"/>
        <v>1</v>
      </c>
      <c r="AK198">
        <f t="shared" si="55"/>
        <v>4</v>
      </c>
      <c r="AL198">
        <f t="shared" si="63"/>
        <v>5</v>
      </c>
      <c r="AM198" t="str">
        <f t="shared" si="64"/>
        <v>May</v>
      </c>
      <c r="AN198">
        <f t="shared" si="65"/>
        <v>2023</v>
      </c>
      <c r="AO198" t="str">
        <f t="shared" si="66"/>
        <v>&lt;=3</v>
      </c>
      <c r="AP198" t="str">
        <f t="shared" si="67"/>
        <v>&gt;3</v>
      </c>
      <c r="AQ198" t="str">
        <f t="shared" si="68"/>
        <v>&gt;3</v>
      </c>
    </row>
    <row r="199" spans="1:43" x14ac:dyDescent="0.3">
      <c r="A199" t="str">
        <f>A62</f>
        <v>Woodpulp</v>
      </c>
      <c r="B199" t="s">
        <v>173</v>
      </c>
      <c r="C199" t="s">
        <v>174</v>
      </c>
      <c r="D199">
        <v>1893</v>
      </c>
      <c r="E199">
        <v>23120030</v>
      </c>
      <c r="F199" t="s">
        <v>175</v>
      </c>
      <c r="G199" t="s">
        <v>176</v>
      </c>
      <c r="H199">
        <v>50</v>
      </c>
      <c r="I199">
        <v>700</v>
      </c>
      <c r="J199">
        <v>2829750</v>
      </c>
      <c r="K199" s="7" t="str">
        <f>IFERROR(IF(B199&lt;&gt;"", TEXT(VLOOKUP(B199, 'Expected Date'!A:B, 2, FALSE) + DATE(RIGHT(C199,2),MID(C199,4,2),LEFT(C199,2)), "dd/mm/yy"), ""), "")</f>
        <v>20/07/23</v>
      </c>
      <c r="L199" t="s">
        <v>38</v>
      </c>
      <c r="M199" t="str">
        <f>M149</f>
        <v>MT</v>
      </c>
      <c r="N199" t="s">
        <v>177</v>
      </c>
      <c r="O199" t="s">
        <v>286</v>
      </c>
      <c r="P199">
        <v>23190995</v>
      </c>
      <c r="Q199" t="s">
        <v>175</v>
      </c>
      <c r="R199" t="s">
        <v>176</v>
      </c>
      <c r="S199">
        <v>51.328000000000003</v>
      </c>
      <c r="T199">
        <v>700</v>
      </c>
      <c r="U199">
        <v>2953413.12</v>
      </c>
      <c r="V199" t="str">
        <f t="shared" si="69"/>
        <v>Hyderabad</v>
      </c>
      <c r="W199" t="str">
        <f>VLOOKUP(B199, Currency!A:B, 2, FALSE)</f>
        <v>USD</v>
      </c>
      <c r="X199" t="str">
        <f t="shared" si="70"/>
        <v>Accepted</v>
      </c>
      <c r="Y199">
        <f>IFERROR(VLOOKUP(N199, Payment_Terms!A:B, 2, FALSE), "Payment term not found!")</f>
        <v>0</v>
      </c>
      <c r="Z199" t="str">
        <f>IFERROR(VLOOKUP(R199, Item_Category!A:B, 2, FALSE), "Uncategorized")</f>
        <v>Wood pulp</v>
      </c>
      <c r="AA199" s="5">
        <f t="shared" si="56"/>
        <v>0</v>
      </c>
      <c r="AB199">
        <f t="shared" si="57"/>
        <v>5</v>
      </c>
      <c r="AC199" s="10">
        <f t="shared" si="58"/>
        <v>42</v>
      </c>
      <c r="AD199">
        <f t="shared" si="59"/>
        <v>1</v>
      </c>
      <c r="AE199" s="10">
        <f t="shared" si="60"/>
        <v>107</v>
      </c>
      <c r="AF199" s="5">
        <f t="shared" si="53"/>
        <v>1</v>
      </c>
      <c r="AG199" s="5">
        <f t="shared" si="54"/>
        <v>1</v>
      </c>
      <c r="AH199" s="5">
        <f t="shared" si="61"/>
        <v>0</v>
      </c>
      <c r="AI199">
        <f>IF(B199&lt;&gt;"", COUNTIFS($B$2:B199, B199), "")</f>
        <v>2</v>
      </c>
      <c r="AJ199">
        <f t="shared" si="62"/>
        <v>5</v>
      </c>
      <c r="AK199">
        <f t="shared" si="55"/>
        <v>4</v>
      </c>
      <c r="AL199">
        <f t="shared" si="63"/>
        <v>5</v>
      </c>
      <c r="AM199" t="str">
        <f t="shared" si="64"/>
        <v>May</v>
      </c>
      <c r="AN199">
        <f t="shared" si="65"/>
        <v>2023</v>
      </c>
      <c r="AO199" t="str">
        <f t="shared" si="66"/>
        <v>&gt;3</v>
      </c>
      <c r="AP199" t="str">
        <f t="shared" si="67"/>
        <v>&gt;3</v>
      </c>
      <c r="AQ199" t="str">
        <f t="shared" si="68"/>
        <v>&lt;=3</v>
      </c>
    </row>
    <row r="200" spans="1:43" x14ac:dyDescent="0.3">
      <c r="A200" t="s">
        <v>33</v>
      </c>
      <c r="B200" t="s">
        <v>51</v>
      </c>
      <c r="C200" t="s">
        <v>286</v>
      </c>
      <c r="D200">
        <v>4139</v>
      </c>
      <c r="E200">
        <v>23110393</v>
      </c>
      <c r="F200" t="s">
        <v>61</v>
      </c>
      <c r="G200" t="s">
        <v>62</v>
      </c>
      <c r="H200">
        <v>21</v>
      </c>
      <c r="I200">
        <v>6288.5</v>
      </c>
      <c r="J200">
        <v>132058.5</v>
      </c>
      <c r="K200" s="7" t="str">
        <f>IFERROR(IF(B200&lt;&gt;"", TEXT(VLOOKUP(B200, 'Expected Date'!A:B, 2, FALSE) + DATE(RIGHT(C200,2),MID(C200,4,2),LEFT(C200,2)), "dd/mm/yy"), ""), "")</f>
        <v>20/09/23</v>
      </c>
      <c r="L200" t="s">
        <v>38</v>
      </c>
      <c r="M200" t="s">
        <v>48</v>
      </c>
      <c r="N200" t="s">
        <v>55</v>
      </c>
      <c r="O200" t="s">
        <v>163</v>
      </c>
      <c r="P200">
        <v>23191004</v>
      </c>
      <c r="Q200" t="s">
        <v>61</v>
      </c>
      <c r="R200" t="s">
        <v>62</v>
      </c>
      <c r="S200">
        <v>21</v>
      </c>
      <c r="T200">
        <v>6288.5</v>
      </c>
      <c r="U200">
        <v>132058.5</v>
      </c>
      <c r="V200" t="str">
        <f t="shared" si="69"/>
        <v>Hyderabad</v>
      </c>
      <c r="W200" t="str">
        <f>VLOOKUP(B200, Currency!A:B, 2, FALSE)</f>
        <v>INR</v>
      </c>
      <c r="X200" t="str">
        <f t="shared" si="70"/>
        <v>Accepted</v>
      </c>
      <c r="Y200">
        <f>IFERROR(VLOOKUP(N200, Payment_Terms!A:B, 2, FALSE), "Payment term not found!")</f>
        <v>0</v>
      </c>
      <c r="Z200" t="str">
        <f>IFERROR(VLOOKUP(R200, Item_Category!A:B, 2, FALSE), "Uncategorized")</f>
        <v>Coal materials</v>
      </c>
      <c r="AA200" s="5">
        <f t="shared" si="56"/>
        <v>0</v>
      </c>
      <c r="AB200">
        <f t="shared" si="57"/>
        <v>5</v>
      </c>
      <c r="AC200" s="10">
        <f t="shared" si="58"/>
        <v>-21</v>
      </c>
      <c r="AD200">
        <f t="shared" si="59"/>
        <v>5</v>
      </c>
      <c r="AE200" s="10">
        <f t="shared" si="60"/>
        <v>1</v>
      </c>
      <c r="AF200" s="5">
        <f t="shared" si="53"/>
        <v>1</v>
      </c>
      <c r="AG200" s="5">
        <f t="shared" si="54"/>
        <v>1</v>
      </c>
      <c r="AH200" s="5">
        <f t="shared" si="61"/>
        <v>0</v>
      </c>
      <c r="AI200">
        <f>IF(B200&lt;&gt;"", COUNTIFS($B$2:B200, B200), "")</f>
        <v>55</v>
      </c>
      <c r="AJ200">
        <f t="shared" si="62"/>
        <v>5</v>
      </c>
      <c r="AK200">
        <f t="shared" si="55"/>
        <v>5</v>
      </c>
      <c r="AL200">
        <f t="shared" si="63"/>
        <v>8</v>
      </c>
      <c r="AM200" t="str">
        <f t="shared" si="64"/>
        <v>August</v>
      </c>
      <c r="AN200">
        <f t="shared" si="65"/>
        <v>2023</v>
      </c>
      <c r="AO200" t="str">
        <f t="shared" si="66"/>
        <v>&gt;3</v>
      </c>
      <c r="AP200" t="str">
        <f t="shared" si="67"/>
        <v>&gt;3</v>
      </c>
      <c r="AQ200" t="str">
        <f t="shared" si="68"/>
        <v>&gt;3</v>
      </c>
    </row>
    <row r="201" spans="1:43" x14ac:dyDescent="0.3">
      <c r="A201" t="str">
        <f>A180</f>
        <v>Woodpulp</v>
      </c>
      <c r="B201" t="s">
        <v>96</v>
      </c>
      <c r="C201" t="s">
        <v>71</v>
      </c>
      <c r="D201">
        <v>2698</v>
      </c>
      <c r="E201">
        <v>23120065</v>
      </c>
      <c r="F201" t="s">
        <v>98</v>
      </c>
      <c r="G201" t="s">
        <v>99</v>
      </c>
      <c r="H201">
        <v>78</v>
      </c>
      <c r="I201">
        <v>670</v>
      </c>
      <c r="J201">
        <v>4269642</v>
      </c>
      <c r="K201" s="7" t="str">
        <f>IFERROR(IF(B201&lt;&gt;"", TEXT(VLOOKUP(B201, 'Expected Date'!A:B, 2, FALSE) + DATE(RIGHT(C201,2),MID(C201,4,2),LEFT(C201,2)), "dd/mm/yy"), ""), "")</f>
        <v>21/08/23</v>
      </c>
      <c r="L201" t="s">
        <v>68</v>
      </c>
      <c r="M201" t="str">
        <f>M149</f>
        <v>MT</v>
      </c>
      <c r="N201" t="s">
        <v>102</v>
      </c>
      <c r="O201" t="s">
        <v>313</v>
      </c>
      <c r="P201">
        <v>23191334</v>
      </c>
      <c r="Q201" t="s">
        <v>98</v>
      </c>
      <c r="R201" t="s">
        <v>99</v>
      </c>
      <c r="S201">
        <v>52.213999999999999</v>
      </c>
      <c r="T201">
        <v>670</v>
      </c>
      <c r="U201">
        <v>2879132.17</v>
      </c>
      <c r="V201" t="str">
        <f t="shared" si="69"/>
        <v>Hyderabad</v>
      </c>
      <c r="W201" t="str">
        <f>VLOOKUP(B201, Currency!A:B, 2, FALSE)</f>
        <v>USD</v>
      </c>
      <c r="X201" t="str">
        <f t="shared" si="70"/>
        <v>Accepted</v>
      </c>
      <c r="Y201">
        <f>IFERROR(VLOOKUP(N201, Payment_Terms!A:B, 2, FALSE), "Payment term not found!")</f>
        <v>60</v>
      </c>
      <c r="Z201" t="str">
        <f>IFERROR(VLOOKUP(R201, Item_Category!A:B, 2, FALSE), "Uncategorized")</f>
        <v>Wood pulp</v>
      </c>
      <c r="AA201" s="5">
        <f t="shared" si="56"/>
        <v>0.33058974358974363</v>
      </c>
      <c r="AB201">
        <f t="shared" si="57"/>
        <v>1</v>
      </c>
      <c r="AC201" s="10">
        <f t="shared" si="58"/>
        <v>55</v>
      </c>
      <c r="AD201">
        <f t="shared" si="59"/>
        <v>1</v>
      </c>
      <c r="AE201" s="10">
        <f t="shared" si="60"/>
        <v>115</v>
      </c>
      <c r="AF201" s="5">
        <f t="shared" si="53"/>
        <v>1</v>
      </c>
      <c r="AG201" s="5">
        <f t="shared" si="54"/>
        <v>1</v>
      </c>
      <c r="AH201" s="5">
        <f t="shared" si="61"/>
        <v>0</v>
      </c>
      <c r="AI201">
        <f>IF(B201&lt;&gt;"", COUNTIFS($B$2:B201, B201), "")</f>
        <v>4</v>
      </c>
      <c r="AJ201">
        <f t="shared" si="62"/>
        <v>5</v>
      </c>
      <c r="AK201">
        <f t="shared" si="55"/>
        <v>3</v>
      </c>
      <c r="AL201">
        <f t="shared" si="63"/>
        <v>6</v>
      </c>
      <c r="AM201" t="str">
        <f t="shared" si="64"/>
        <v>June</v>
      </c>
      <c r="AN201">
        <f t="shared" si="65"/>
        <v>2023</v>
      </c>
      <c r="AO201" t="str">
        <f t="shared" si="66"/>
        <v>&gt;3</v>
      </c>
      <c r="AP201" t="str">
        <f t="shared" si="67"/>
        <v>&lt;=3</v>
      </c>
      <c r="AQ201" t="str">
        <f t="shared" si="68"/>
        <v>&lt;=3</v>
      </c>
    </row>
    <row r="202" spans="1:43" x14ac:dyDescent="0.3">
      <c r="A202" t="str">
        <f>A162</f>
        <v>Woodpulp</v>
      </c>
      <c r="B202" t="s">
        <v>140</v>
      </c>
      <c r="C202" t="s">
        <v>65</v>
      </c>
      <c r="D202">
        <v>1398</v>
      </c>
      <c r="E202">
        <v>23120008</v>
      </c>
      <c r="F202" t="s">
        <v>142</v>
      </c>
      <c r="G202" t="s">
        <v>360</v>
      </c>
      <c r="H202">
        <v>100</v>
      </c>
      <c r="I202">
        <v>830</v>
      </c>
      <c r="J202">
        <v>6731300</v>
      </c>
      <c r="K202" s="7" t="str">
        <f>IFERROR(IF(B202&lt;&gt;"", TEXT(VLOOKUP(B202, 'Expected Date'!A:B, 2, FALSE) + DATE(RIGHT(C202,2),MID(C202,4,2),LEFT(C202,2)), "dd/mm/yy"), ""), "")</f>
        <v>03/06/23</v>
      </c>
      <c r="L202" t="s">
        <v>68</v>
      </c>
      <c r="M202" t="str">
        <f>M149</f>
        <v>MT</v>
      </c>
      <c r="N202" t="s">
        <v>144</v>
      </c>
      <c r="O202" t="s">
        <v>41</v>
      </c>
      <c r="P202">
        <v>23190122</v>
      </c>
      <c r="Q202" t="s">
        <v>142</v>
      </c>
      <c r="R202" t="s">
        <v>360</v>
      </c>
      <c r="S202">
        <v>98.745999999999995</v>
      </c>
      <c r="T202">
        <v>830</v>
      </c>
      <c r="U202">
        <v>6671477.25</v>
      </c>
      <c r="V202" t="str">
        <f t="shared" si="69"/>
        <v>Hyderabad</v>
      </c>
      <c r="W202" t="str">
        <f>VLOOKUP(B202, Currency!A:B, 2, FALSE)</f>
        <v>USD</v>
      </c>
      <c r="X202" t="str">
        <f t="shared" si="70"/>
        <v>Accepted</v>
      </c>
      <c r="Y202">
        <f>IFERROR(VLOOKUP(N202, Payment_Terms!A:B, 2, FALSE), "Payment term not found!")</f>
        <v>30</v>
      </c>
      <c r="Z202" t="str">
        <f>IFERROR(VLOOKUP(R202, Item_Category!A:B, 2, FALSE), "Uncategorized")</f>
        <v>Wood pulp</v>
      </c>
      <c r="AA202" s="5">
        <f t="shared" si="56"/>
        <v>1.2540000000000049E-2</v>
      </c>
      <c r="AB202">
        <f t="shared" si="57"/>
        <v>4</v>
      </c>
      <c r="AC202" s="10">
        <f t="shared" si="58"/>
        <v>-35</v>
      </c>
      <c r="AD202">
        <f t="shared" si="59"/>
        <v>5</v>
      </c>
      <c r="AE202" s="10">
        <f t="shared" si="60"/>
        <v>10</v>
      </c>
      <c r="AF202" s="5">
        <f t="shared" si="53"/>
        <v>1</v>
      </c>
      <c r="AG202" s="5">
        <f t="shared" si="54"/>
        <v>1</v>
      </c>
      <c r="AH202" s="5">
        <f t="shared" si="61"/>
        <v>0</v>
      </c>
      <c r="AI202">
        <f>IF(B202&lt;&gt;"", COUNTIFS($B$2:B202, B202), "")</f>
        <v>14</v>
      </c>
      <c r="AJ202">
        <f t="shared" si="62"/>
        <v>5</v>
      </c>
      <c r="AK202">
        <f t="shared" si="55"/>
        <v>5</v>
      </c>
      <c r="AL202">
        <f t="shared" si="63"/>
        <v>4</v>
      </c>
      <c r="AM202" t="str">
        <f t="shared" si="64"/>
        <v>April</v>
      </c>
      <c r="AN202">
        <f t="shared" si="65"/>
        <v>2023</v>
      </c>
      <c r="AO202" t="str">
        <f t="shared" si="66"/>
        <v>&gt;3</v>
      </c>
      <c r="AP202" t="str">
        <f t="shared" si="67"/>
        <v>&gt;3</v>
      </c>
      <c r="AQ202" t="str">
        <f t="shared" si="68"/>
        <v>&gt;3</v>
      </c>
    </row>
    <row r="203" spans="1:43" x14ac:dyDescent="0.3">
      <c r="A203" t="s">
        <v>33</v>
      </c>
      <c r="B203" t="s">
        <v>107</v>
      </c>
      <c r="C203" t="s">
        <v>65</v>
      </c>
      <c r="D203">
        <v>1389</v>
      </c>
      <c r="E203">
        <v>23110050</v>
      </c>
      <c r="F203" t="s">
        <v>216</v>
      </c>
      <c r="G203" t="s">
        <v>217</v>
      </c>
      <c r="H203">
        <v>2000</v>
      </c>
      <c r="I203">
        <v>33.799999999999997</v>
      </c>
      <c r="J203">
        <v>67600</v>
      </c>
      <c r="K203" s="7" t="str">
        <f>IFERROR(IF(B203&lt;&gt;"", TEXT(VLOOKUP(B203, 'Expected Date'!A:B, 2, FALSE) + DATE(RIGHT(C203,2),MID(C203,4,2),LEFT(C203,2)), "dd/mm/yy"), ""), "")</f>
        <v>29/04/23</v>
      </c>
      <c r="L203" t="s">
        <v>38</v>
      </c>
      <c r="M203" t="s">
        <v>48</v>
      </c>
      <c r="N203" t="s">
        <v>109</v>
      </c>
      <c r="O203" t="s">
        <v>300</v>
      </c>
      <c r="P203">
        <v>23190237</v>
      </c>
      <c r="Q203" t="s">
        <v>216</v>
      </c>
      <c r="R203" t="s">
        <v>217</v>
      </c>
      <c r="S203">
        <v>2320</v>
      </c>
      <c r="T203">
        <v>33.799999999999997</v>
      </c>
      <c r="U203">
        <v>78416</v>
      </c>
      <c r="V203" t="str">
        <f t="shared" si="69"/>
        <v>Hyderabad</v>
      </c>
      <c r="W203" t="str">
        <f>VLOOKUP(B203, Currency!A:B, 2, FALSE)</f>
        <v>INR</v>
      </c>
      <c r="X203" t="str">
        <f t="shared" si="70"/>
        <v>Accepted</v>
      </c>
      <c r="Y203">
        <f>IFERROR(VLOOKUP(N203, Payment_Terms!A:B, 2, FALSE), "Payment term not found!")</f>
        <v>0</v>
      </c>
      <c r="Z203" t="str">
        <f>IFERROR(VLOOKUP(R203, Item_Category!A:B, 2, FALSE), "Uncategorized")</f>
        <v>Bags</v>
      </c>
      <c r="AA203" s="5">
        <f t="shared" si="56"/>
        <v>0</v>
      </c>
      <c r="AB203">
        <f t="shared" si="57"/>
        <v>5</v>
      </c>
      <c r="AC203" s="10">
        <f t="shared" si="58"/>
        <v>13</v>
      </c>
      <c r="AD203">
        <f t="shared" si="59"/>
        <v>1</v>
      </c>
      <c r="AE203" s="10">
        <f t="shared" si="60"/>
        <v>23</v>
      </c>
      <c r="AF203" s="5">
        <f t="shared" si="53"/>
        <v>1</v>
      </c>
      <c r="AG203" s="5">
        <f t="shared" si="54"/>
        <v>1</v>
      </c>
      <c r="AH203" s="5">
        <f t="shared" si="61"/>
        <v>0</v>
      </c>
      <c r="AI203">
        <f>IF(B203&lt;&gt;"", COUNTIFS($B$2:B203, B203), "")</f>
        <v>15</v>
      </c>
      <c r="AJ203">
        <f t="shared" si="62"/>
        <v>5</v>
      </c>
      <c r="AK203">
        <f t="shared" si="55"/>
        <v>4</v>
      </c>
      <c r="AL203">
        <f t="shared" si="63"/>
        <v>4</v>
      </c>
      <c r="AM203" t="str">
        <f t="shared" si="64"/>
        <v>April</v>
      </c>
      <c r="AN203">
        <f t="shared" si="65"/>
        <v>2023</v>
      </c>
      <c r="AO203" t="str">
        <f t="shared" si="66"/>
        <v>&gt;3</v>
      </c>
      <c r="AP203" t="str">
        <f t="shared" si="67"/>
        <v>&gt;3</v>
      </c>
      <c r="AQ203" t="str">
        <f t="shared" si="68"/>
        <v>&lt;=3</v>
      </c>
    </row>
    <row r="204" spans="1:43" x14ac:dyDescent="0.3">
      <c r="A204" t="s">
        <v>33</v>
      </c>
      <c r="B204" t="s">
        <v>107</v>
      </c>
      <c r="C204" t="s">
        <v>65</v>
      </c>
      <c r="D204">
        <v>1389</v>
      </c>
      <c r="E204">
        <v>23110050</v>
      </c>
      <c r="F204" t="s">
        <v>255</v>
      </c>
      <c r="G204" t="s">
        <v>256</v>
      </c>
      <c r="H204">
        <v>2000</v>
      </c>
      <c r="I204">
        <v>33.799999999999997</v>
      </c>
      <c r="J204">
        <v>67600</v>
      </c>
      <c r="K204" s="7" t="str">
        <f>IFERROR(IF(B204&lt;&gt;"", TEXT(VLOOKUP(B204, 'Expected Date'!A:B, 2, FALSE) + DATE(RIGHT(C204,2),MID(C204,4,2),LEFT(C204,2)), "dd/mm/yy"), ""), "")</f>
        <v>29/04/23</v>
      </c>
      <c r="L204" t="s">
        <v>38</v>
      </c>
      <c r="M204" t="s">
        <v>39</v>
      </c>
      <c r="N204" t="s">
        <v>109</v>
      </c>
      <c r="O204" t="s">
        <v>300</v>
      </c>
      <c r="P204">
        <v>23190237</v>
      </c>
      <c r="Q204" t="s">
        <v>255</v>
      </c>
      <c r="R204" t="s">
        <v>256</v>
      </c>
      <c r="S204">
        <v>2091</v>
      </c>
      <c r="T204">
        <v>33.799999999999997</v>
      </c>
      <c r="U204">
        <v>70675.8</v>
      </c>
      <c r="V204" t="str">
        <f t="shared" si="69"/>
        <v>Hyderabad</v>
      </c>
      <c r="W204" t="str">
        <f>VLOOKUP(B204, Currency!A:B, 2, FALSE)</f>
        <v>INR</v>
      </c>
      <c r="X204" t="str">
        <f t="shared" si="70"/>
        <v>Accepted</v>
      </c>
      <c r="Y204">
        <f>IFERROR(VLOOKUP(N204, Payment_Terms!A:B, 2, FALSE), "Payment term not found!")</f>
        <v>0</v>
      </c>
      <c r="Z204" t="str">
        <f>IFERROR(VLOOKUP(R204, Item_Category!A:B, 2, FALSE), "Uncategorized")</f>
        <v>Bags</v>
      </c>
      <c r="AA204" s="5">
        <f t="shared" si="56"/>
        <v>0</v>
      </c>
      <c r="AB204">
        <f t="shared" si="57"/>
        <v>5</v>
      </c>
      <c r="AC204" s="10">
        <f t="shared" si="58"/>
        <v>13</v>
      </c>
      <c r="AD204">
        <f t="shared" si="59"/>
        <v>1</v>
      </c>
      <c r="AE204" s="10">
        <f t="shared" si="60"/>
        <v>23</v>
      </c>
      <c r="AF204" s="5">
        <f t="shared" si="53"/>
        <v>1</v>
      </c>
      <c r="AG204" s="5">
        <f t="shared" si="54"/>
        <v>1</v>
      </c>
      <c r="AH204" s="5">
        <f t="shared" si="61"/>
        <v>0</v>
      </c>
      <c r="AI204">
        <f>IF(B204&lt;&gt;"", COUNTIFS($B$2:B204, B204), "")</f>
        <v>16</v>
      </c>
      <c r="AJ204">
        <f t="shared" si="62"/>
        <v>5</v>
      </c>
      <c r="AK204">
        <f t="shared" si="55"/>
        <v>4</v>
      </c>
      <c r="AL204">
        <f t="shared" si="63"/>
        <v>4</v>
      </c>
      <c r="AM204" t="str">
        <f t="shared" si="64"/>
        <v>April</v>
      </c>
      <c r="AN204">
        <f t="shared" si="65"/>
        <v>2023</v>
      </c>
      <c r="AO204" t="str">
        <f t="shared" si="66"/>
        <v>&gt;3</v>
      </c>
      <c r="AP204" t="str">
        <f t="shared" si="67"/>
        <v>&gt;3</v>
      </c>
      <c r="AQ204" t="str">
        <f t="shared" si="68"/>
        <v>&lt;=3</v>
      </c>
    </row>
    <row r="205" spans="1:43" x14ac:dyDescent="0.3">
      <c r="A205" t="s">
        <v>33</v>
      </c>
      <c r="B205" t="s">
        <v>304</v>
      </c>
      <c r="C205" t="s">
        <v>225</v>
      </c>
      <c r="D205">
        <v>1850</v>
      </c>
      <c r="E205">
        <v>23110126</v>
      </c>
      <c r="F205" t="s">
        <v>314</v>
      </c>
      <c r="G205" t="s">
        <v>315</v>
      </c>
      <c r="H205">
        <v>2700</v>
      </c>
      <c r="I205">
        <v>47</v>
      </c>
      <c r="J205">
        <v>126900</v>
      </c>
      <c r="K205" s="7" t="str">
        <f>IFERROR(IF(B205&lt;&gt;"", TEXT(VLOOKUP(B205, 'Expected Date'!A:B, 2, FALSE) + DATE(RIGHT(C205,2),MID(C205,4,2),LEFT(C205,2)), "dd/mm/yy"), ""), "")</f>
        <v>21/05/23</v>
      </c>
      <c r="L205" t="s">
        <v>38</v>
      </c>
      <c r="M205" t="s">
        <v>48</v>
      </c>
      <c r="N205" t="s">
        <v>307</v>
      </c>
      <c r="O205" t="s">
        <v>308</v>
      </c>
      <c r="P205">
        <v>23190410</v>
      </c>
      <c r="Q205" t="s">
        <v>314</v>
      </c>
      <c r="R205" t="s">
        <v>315</v>
      </c>
      <c r="S205">
        <v>2700</v>
      </c>
      <c r="T205">
        <v>47</v>
      </c>
      <c r="U205">
        <v>126900</v>
      </c>
      <c r="V205" t="str">
        <f t="shared" si="69"/>
        <v>Hyderabad</v>
      </c>
      <c r="W205" t="str">
        <f>VLOOKUP(B205, Currency!A:B, 2, FALSE)</f>
        <v>INR</v>
      </c>
      <c r="X205" t="str">
        <f t="shared" si="70"/>
        <v>Accepted</v>
      </c>
      <c r="Y205">
        <f>IFERROR(VLOOKUP(N205, Payment_Terms!A:B, 2, FALSE), "Payment term not found!")</f>
        <v>0</v>
      </c>
      <c r="Z205" t="str">
        <f>IFERROR(VLOOKUP(R205, Item_Category!A:B, 2, FALSE), "Uncategorized")</f>
        <v>Caustic Soda Flakes</v>
      </c>
      <c r="AA205" s="5">
        <f t="shared" si="56"/>
        <v>0</v>
      </c>
      <c r="AB205">
        <f t="shared" si="57"/>
        <v>5</v>
      </c>
      <c r="AC205" s="10">
        <f t="shared" si="58"/>
        <v>20</v>
      </c>
      <c r="AD205">
        <f t="shared" si="59"/>
        <v>1</v>
      </c>
      <c r="AE205" s="10">
        <f t="shared" si="60"/>
        <v>30</v>
      </c>
      <c r="AF205" s="5">
        <f t="shared" si="53"/>
        <v>1</v>
      </c>
      <c r="AG205" s="5">
        <f t="shared" si="54"/>
        <v>1</v>
      </c>
      <c r="AH205" s="5">
        <f t="shared" si="61"/>
        <v>0</v>
      </c>
      <c r="AI205">
        <f>IF(B205&lt;&gt;"", COUNTIFS($B$2:B205, B205), "")</f>
        <v>2</v>
      </c>
      <c r="AJ205">
        <f t="shared" si="62"/>
        <v>5</v>
      </c>
      <c r="AK205">
        <f t="shared" si="55"/>
        <v>4</v>
      </c>
      <c r="AL205">
        <f t="shared" si="63"/>
        <v>5</v>
      </c>
      <c r="AM205" t="str">
        <f t="shared" si="64"/>
        <v>May</v>
      </c>
      <c r="AN205">
        <f t="shared" si="65"/>
        <v>2023</v>
      </c>
      <c r="AO205" t="str">
        <f t="shared" si="66"/>
        <v>&gt;3</v>
      </c>
      <c r="AP205" t="str">
        <f t="shared" si="67"/>
        <v>&gt;3</v>
      </c>
      <c r="AQ205" t="str">
        <f t="shared" si="68"/>
        <v>&lt;=3</v>
      </c>
    </row>
    <row r="206" spans="1:43" x14ac:dyDescent="0.3">
      <c r="A206" t="s">
        <v>33</v>
      </c>
      <c r="B206" t="s">
        <v>51</v>
      </c>
      <c r="C206" t="s">
        <v>35</v>
      </c>
      <c r="D206">
        <v>1549</v>
      </c>
      <c r="E206">
        <v>23120010</v>
      </c>
      <c r="F206" t="s">
        <v>214</v>
      </c>
      <c r="G206" t="s">
        <v>215</v>
      </c>
      <c r="H206">
        <v>229.46</v>
      </c>
      <c r="I206">
        <v>7277.35</v>
      </c>
      <c r="J206">
        <v>1669860.73</v>
      </c>
      <c r="K206" s="7" t="str">
        <f>IFERROR(IF(B206&lt;&gt;"", TEXT(VLOOKUP(B206, 'Expected Date'!A:B, 2, FALSE) + DATE(RIGHT(C206,2),MID(C206,4,2),LEFT(C206,2)), "dd/mm/yy"), ""), "")</f>
        <v>17/05/23</v>
      </c>
      <c r="L206" t="s">
        <v>38</v>
      </c>
      <c r="M206" t="s">
        <v>48</v>
      </c>
      <c r="N206" t="s">
        <v>55</v>
      </c>
      <c r="O206" t="s">
        <v>41</v>
      </c>
      <c r="P206">
        <v>23190126</v>
      </c>
      <c r="Q206" t="s">
        <v>214</v>
      </c>
      <c r="R206" t="s">
        <v>215</v>
      </c>
      <c r="S206">
        <v>25.56</v>
      </c>
      <c r="T206">
        <v>7277.35</v>
      </c>
      <c r="U206">
        <v>186009.07</v>
      </c>
      <c r="V206" t="str">
        <f t="shared" si="69"/>
        <v>Hyderabad</v>
      </c>
      <c r="W206" t="str">
        <f>VLOOKUP(B206, Currency!A:B, 2, FALSE)</f>
        <v>INR</v>
      </c>
      <c r="X206" t="str">
        <f t="shared" si="70"/>
        <v>Accepted</v>
      </c>
      <c r="Y206">
        <f>IFERROR(VLOOKUP(N206, Payment_Terms!A:B, 2, FALSE), "Payment term not found!")</f>
        <v>0</v>
      </c>
      <c r="Z206" t="str">
        <f>IFERROR(VLOOKUP(R206, Item_Category!A:B, 2, FALSE), "Uncategorized")</f>
        <v>Coal materials</v>
      </c>
      <c r="AA206" s="5">
        <f t="shared" si="56"/>
        <v>0</v>
      </c>
      <c r="AB206">
        <f t="shared" si="57"/>
        <v>5</v>
      </c>
      <c r="AC206" s="10">
        <f t="shared" si="58"/>
        <v>-18</v>
      </c>
      <c r="AD206">
        <f t="shared" si="59"/>
        <v>5</v>
      </c>
      <c r="AE206" s="10">
        <f t="shared" si="60"/>
        <v>2</v>
      </c>
      <c r="AF206" s="5">
        <f t="shared" si="53"/>
        <v>1</v>
      </c>
      <c r="AG206" s="5">
        <f t="shared" si="54"/>
        <v>1</v>
      </c>
      <c r="AH206" s="5">
        <f t="shared" si="61"/>
        <v>0</v>
      </c>
      <c r="AI206">
        <f>IF(B206&lt;&gt;"", COUNTIFS($B$2:B206, B206), "")</f>
        <v>56</v>
      </c>
      <c r="AJ206">
        <f t="shared" si="62"/>
        <v>5</v>
      </c>
      <c r="AK206">
        <f t="shared" si="55"/>
        <v>5</v>
      </c>
      <c r="AL206">
        <f t="shared" si="63"/>
        <v>4</v>
      </c>
      <c r="AM206" t="str">
        <f t="shared" si="64"/>
        <v>April</v>
      </c>
      <c r="AN206">
        <f t="shared" si="65"/>
        <v>2023</v>
      </c>
      <c r="AO206" t="str">
        <f t="shared" si="66"/>
        <v>&gt;3</v>
      </c>
      <c r="AP206" t="str">
        <f t="shared" si="67"/>
        <v>&gt;3</v>
      </c>
      <c r="AQ206" t="str">
        <f t="shared" si="68"/>
        <v>&gt;3</v>
      </c>
    </row>
    <row r="207" spans="1:43" x14ac:dyDescent="0.3">
      <c r="A207" t="s">
        <v>33</v>
      </c>
      <c r="B207" t="s">
        <v>51</v>
      </c>
      <c r="C207" t="s">
        <v>35</v>
      </c>
      <c r="D207">
        <v>1549</v>
      </c>
      <c r="E207">
        <v>23120010</v>
      </c>
      <c r="F207" t="s">
        <v>214</v>
      </c>
      <c r="G207" t="s">
        <v>215</v>
      </c>
      <c r="H207">
        <v>229.46</v>
      </c>
      <c r="I207">
        <v>7277.35</v>
      </c>
      <c r="J207">
        <v>1669860.73</v>
      </c>
      <c r="K207" s="7" t="str">
        <f>IFERROR(IF(B207&lt;&gt;"", TEXT(VLOOKUP(B207, 'Expected Date'!A:B, 2, FALSE) + DATE(RIGHT(C207,2),MID(C207,4,2),LEFT(C207,2)), "dd/mm/yy"), ""), "")</f>
        <v>17/05/23</v>
      </c>
      <c r="L207" t="s">
        <v>38</v>
      </c>
      <c r="M207" t="s">
        <v>48</v>
      </c>
      <c r="N207" t="s">
        <v>55</v>
      </c>
      <c r="O207" t="s">
        <v>41</v>
      </c>
      <c r="P207">
        <v>23190128</v>
      </c>
      <c r="Q207" t="s">
        <v>214</v>
      </c>
      <c r="R207" t="s">
        <v>215</v>
      </c>
      <c r="S207">
        <v>24.98</v>
      </c>
      <c r="T207">
        <v>7277.35</v>
      </c>
      <c r="U207">
        <v>181788.2</v>
      </c>
      <c r="V207" t="str">
        <f t="shared" si="69"/>
        <v>Hyderabad</v>
      </c>
      <c r="W207" t="str">
        <f>VLOOKUP(B207, Currency!A:B, 2, FALSE)</f>
        <v>INR</v>
      </c>
      <c r="X207" t="str">
        <f t="shared" si="70"/>
        <v>Accepted</v>
      </c>
      <c r="Y207">
        <f>IFERROR(VLOOKUP(N207, Payment_Terms!A:B, 2, FALSE), "Payment term not found!")</f>
        <v>0</v>
      </c>
      <c r="Z207" t="str">
        <f>IFERROR(VLOOKUP(R207, Item_Category!A:B, 2, FALSE), "Uncategorized")</f>
        <v>Coal materials</v>
      </c>
      <c r="AA207" s="5">
        <f t="shared" si="56"/>
        <v>0</v>
      </c>
      <c r="AB207">
        <f t="shared" si="57"/>
        <v>5</v>
      </c>
      <c r="AC207" s="10">
        <f t="shared" si="58"/>
        <v>-18</v>
      </c>
      <c r="AD207">
        <f t="shared" si="59"/>
        <v>5</v>
      </c>
      <c r="AE207" s="10">
        <f t="shared" si="60"/>
        <v>2</v>
      </c>
      <c r="AF207" s="5">
        <f t="shared" si="53"/>
        <v>1</v>
      </c>
      <c r="AG207" s="5">
        <f t="shared" si="54"/>
        <v>1</v>
      </c>
      <c r="AH207" s="5">
        <f t="shared" si="61"/>
        <v>0</v>
      </c>
      <c r="AI207">
        <f>IF(B207&lt;&gt;"", COUNTIFS($B$2:B207, B207), "")</f>
        <v>57</v>
      </c>
      <c r="AJ207">
        <f t="shared" si="62"/>
        <v>5</v>
      </c>
      <c r="AK207">
        <f t="shared" si="55"/>
        <v>5</v>
      </c>
      <c r="AL207">
        <f t="shared" si="63"/>
        <v>4</v>
      </c>
      <c r="AM207" t="str">
        <f t="shared" si="64"/>
        <v>April</v>
      </c>
      <c r="AN207">
        <f t="shared" si="65"/>
        <v>2023</v>
      </c>
      <c r="AO207" t="str">
        <f t="shared" si="66"/>
        <v>&gt;3</v>
      </c>
      <c r="AP207" t="str">
        <f t="shared" si="67"/>
        <v>&gt;3</v>
      </c>
      <c r="AQ207" t="str">
        <f t="shared" si="68"/>
        <v>&gt;3</v>
      </c>
    </row>
    <row r="208" spans="1:43" x14ac:dyDescent="0.3">
      <c r="A208" t="s">
        <v>33</v>
      </c>
      <c r="B208" t="s">
        <v>51</v>
      </c>
      <c r="C208" t="s">
        <v>35</v>
      </c>
      <c r="D208">
        <v>1549</v>
      </c>
      <c r="E208">
        <v>23120010</v>
      </c>
      <c r="F208" t="s">
        <v>214</v>
      </c>
      <c r="G208" t="s">
        <v>215</v>
      </c>
      <c r="H208">
        <v>229.46</v>
      </c>
      <c r="I208">
        <v>7277.35</v>
      </c>
      <c r="J208">
        <v>1669860.73</v>
      </c>
      <c r="K208" s="7" t="str">
        <f>IFERROR(IF(B208&lt;&gt;"", TEXT(VLOOKUP(B208, 'Expected Date'!A:B, 2, FALSE) + DATE(RIGHT(C208,2),MID(C208,4,2),LEFT(C208,2)), "dd/mm/yy"), ""), "")</f>
        <v>17/05/23</v>
      </c>
      <c r="L208" t="s">
        <v>38</v>
      </c>
      <c r="M208" t="s">
        <v>48</v>
      </c>
      <c r="N208" t="s">
        <v>55</v>
      </c>
      <c r="O208" t="s">
        <v>41</v>
      </c>
      <c r="P208">
        <v>23190129</v>
      </c>
      <c r="Q208" t="s">
        <v>214</v>
      </c>
      <c r="R208" t="s">
        <v>215</v>
      </c>
      <c r="S208">
        <v>25</v>
      </c>
      <c r="T208">
        <v>7277.35</v>
      </c>
      <c r="U208">
        <v>181933.75</v>
      </c>
      <c r="V208" t="str">
        <f t="shared" si="69"/>
        <v>Hyderabad</v>
      </c>
      <c r="W208" t="str">
        <f>VLOOKUP(B208, Currency!A:B, 2, FALSE)</f>
        <v>INR</v>
      </c>
      <c r="X208" t="str">
        <f t="shared" si="70"/>
        <v>Accepted</v>
      </c>
      <c r="Y208">
        <f>IFERROR(VLOOKUP(N208, Payment_Terms!A:B, 2, FALSE), "Payment term not found!")</f>
        <v>0</v>
      </c>
      <c r="Z208" t="str">
        <f>IFERROR(VLOOKUP(R208, Item_Category!A:B, 2, FALSE), "Uncategorized")</f>
        <v>Coal materials</v>
      </c>
      <c r="AA208" s="5">
        <f t="shared" si="56"/>
        <v>0</v>
      </c>
      <c r="AB208">
        <f t="shared" si="57"/>
        <v>5</v>
      </c>
      <c r="AC208" s="10">
        <f t="shared" si="58"/>
        <v>-18</v>
      </c>
      <c r="AD208">
        <f t="shared" si="59"/>
        <v>5</v>
      </c>
      <c r="AE208" s="10">
        <f t="shared" si="60"/>
        <v>2</v>
      </c>
      <c r="AF208" s="5">
        <f t="shared" si="53"/>
        <v>1</v>
      </c>
      <c r="AG208" s="5">
        <f t="shared" si="54"/>
        <v>1</v>
      </c>
      <c r="AH208" s="5">
        <f t="shared" si="61"/>
        <v>0</v>
      </c>
      <c r="AI208">
        <f>IF(B208&lt;&gt;"", COUNTIFS($B$2:B208, B208), "")</f>
        <v>58</v>
      </c>
      <c r="AJ208">
        <f t="shared" si="62"/>
        <v>5</v>
      </c>
      <c r="AK208">
        <f t="shared" si="55"/>
        <v>5</v>
      </c>
      <c r="AL208">
        <f t="shared" si="63"/>
        <v>4</v>
      </c>
      <c r="AM208" t="str">
        <f t="shared" si="64"/>
        <v>April</v>
      </c>
      <c r="AN208">
        <f t="shared" si="65"/>
        <v>2023</v>
      </c>
      <c r="AO208" t="str">
        <f t="shared" si="66"/>
        <v>&gt;3</v>
      </c>
      <c r="AP208" t="str">
        <f t="shared" si="67"/>
        <v>&gt;3</v>
      </c>
      <c r="AQ208" t="str">
        <f t="shared" si="68"/>
        <v>&gt;3</v>
      </c>
    </row>
    <row r="209" spans="1:43" x14ac:dyDescent="0.3">
      <c r="A209" t="s">
        <v>33</v>
      </c>
      <c r="B209" t="s">
        <v>51</v>
      </c>
      <c r="C209" t="s">
        <v>35</v>
      </c>
      <c r="D209">
        <v>1549</v>
      </c>
      <c r="E209">
        <v>23120010</v>
      </c>
      <c r="F209" t="s">
        <v>214</v>
      </c>
      <c r="G209" t="s">
        <v>215</v>
      </c>
      <c r="H209">
        <v>229.46</v>
      </c>
      <c r="I209">
        <v>7277.35</v>
      </c>
      <c r="J209">
        <v>1669860.73</v>
      </c>
      <c r="K209" s="7" t="str">
        <f>IFERROR(IF(B209&lt;&gt;"", TEXT(VLOOKUP(B209, 'Expected Date'!A:B, 2, FALSE) + DATE(RIGHT(C209,2),MID(C209,4,2),LEFT(C209,2)), "dd/mm/yy"), ""), "")</f>
        <v>17/05/23</v>
      </c>
      <c r="L209" t="s">
        <v>38</v>
      </c>
      <c r="M209" t="s">
        <v>48</v>
      </c>
      <c r="N209" t="s">
        <v>55</v>
      </c>
      <c r="O209" t="s">
        <v>41</v>
      </c>
      <c r="P209">
        <v>23190130</v>
      </c>
      <c r="Q209" t="s">
        <v>214</v>
      </c>
      <c r="R209" t="s">
        <v>215</v>
      </c>
      <c r="S209">
        <v>24.98</v>
      </c>
      <c r="T209">
        <v>7277.35</v>
      </c>
      <c r="U209">
        <v>181788.2</v>
      </c>
      <c r="V209" t="str">
        <f t="shared" si="69"/>
        <v>Hyderabad</v>
      </c>
      <c r="W209" t="str">
        <f>VLOOKUP(B209, Currency!A:B, 2, FALSE)</f>
        <v>INR</v>
      </c>
      <c r="X209" t="str">
        <f t="shared" si="70"/>
        <v>Accepted</v>
      </c>
      <c r="Y209">
        <f>IFERROR(VLOOKUP(N209, Payment_Terms!A:B, 2, FALSE), "Payment term not found!")</f>
        <v>0</v>
      </c>
      <c r="Z209" t="str">
        <f>IFERROR(VLOOKUP(R209, Item_Category!A:B, 2, FALSE), "Uncategorized")</f>
        <v>Coal materials</v>
      </c>
      <c r="AA209" s="5">
        <f t="shared" si="56"/>
        <v>0</v>
      </c>
      <c r="AB209">
        <f t="shared" si="57"/>
        <v>5</v>
      </c>
      <c r="AC209" s="10">
        <f t="shared" si="58"/>
        <v>-18</v>
      </c>
      <c r="AD209">
        <f t="shared" si="59"/>
        <v>5</v>
      </c>
      <c r="AE209" s="10">
        <f t="shared" si="60"/>
        <v>2</v>
      </c>
      <c r="AF209" s="5">
        <f t="shared" si="53"/>
        <v>1</v>
      </c>
      <c r="AG209" s="5">
        <f t="shared" si="54"/>
        <v>1</v>
      </c>
      <c r="AH209" s="5">
        <f t="shared" si="61"/>
        <v>0</v>
      </c>
      <c r="AI209">
        <f>IF(B209&lt;&gt;"", COUNTIFS($B$2:B209, B209), "")</f>
        <v>59</v>
      </c>
      <c r="AJ209">
        <f t="shared" si="62"/>
        <v>5</v>
      </c>
      <c r="AK209">
        <f t="shared" si="55"/>
        <v>5</v>
      </c>
      <c r="AL209">
        <f t="shared" si="63"/>
        <v>4</v>
      </c>
      <c r="AM209" t="str">
        <f t="shared" si="64"/>
        <v>April</v>
      </c>
      <c r="AN209">
        <f t="shared" si="65"/>
        <v>2023</v>
      </c>
      <c r="AO209" t="str">
        <f t="shared" si="66"/>
        <v>&gt;3</v>
      </c>
      <c r="AP209" t="str">
        <f t="shared" si="67"/>
        <v>&gt;3</v>
      </c>
      <c r="AQ209" t="str">
        <f t="shared" si="68"/>
        <v>&gt;3</v>
      </c>
    </row>
    <row r="210" spans="1:43" x14ac:dyDescent="0.3">
      <c r="A210" t="s">
        <v>33</v>
      </c>
      <c r="B210" t="s">
        <v>51</v>
      </c>
      <c r="C210" t="s">
        <v>35</v>
      </c>
      <c r="D210">
        <v>1549</v>
      </c>
      <c r="E210">
        <v>23120010</v>
      </c>
      <c r="F210" t="s">
        <v>214</v>
      </c>
      <c r="G210" t="s">
        <v>215</v>
      </c>
      <c r="H210">
        <v>229.46</v>
      </c>
      <c r="I210">
        <v>7277.35</v>
      </c>
      <c r="J210">
        <v>1669860.73</v>
      </c>
      <c r="K210" s="7" t="str">
        <f>IFERROR(IF(B210&lt;&gt;"", TEXT(VLOOKUP(B210, 'Expected Date'!A:B, 2, FALSE) + DATE(RIGHT(C210,2),MID(C210,4,2),LEFT(C210,2)), "dd/mm/yy"), ""), "")</f>
        <v>17/05/23</v>
      </c>
      <c r="L210" t="s">
        <v>38</v>
      </c>
      <c r="M210" t="s">
        <v>48</v>
      </c>
      <c r="N210" t="s">
        <v>55</v>
      </c>
      <c r="O210" t="s">
        <v>41</v>
      </c>
      <c r="P210">
        <v>23190131</v>
      </c>
      <c r="Q210" t="s">
        <v>214</v>
      </c>
      <c r="R210" t="s">
        <v>215</v>
      </c>
      <c r="S210">
        <v>25.06</v>
      </c>
      <c r="T210">
        <v>7277.35</v>
      </c>
      <c r="U210">
        <v>182370.39</v>
      </c>
      <c r="V210" t="str">
        <f t="shared" si="69"/>
        <v>Hyderabad</v>
      </c>
      <c r="W210" t="str">
        <f>VLOOKUP(B210, Currency!A:B, 2, FALSE)</f>
        <v>INR</v>
      </c>
      <c r="X210" t="str">
        <f t="shared" si="70"/>
        <v>Accepted</v>
      </c>
      <c r="Y210">
        <f>IFERROR(VLOOKUP(N210, Payment_Terms!A:B, 2, FALSE), "Payment term not found!")</f>
        <v>0</v>
      </c>
      <c r="Z210" t="str">
        <f>IFERROR(VLOOKUP(R210, Item_Category!A:B, 2, FALSE), "Uncategorized")</f>
        <v>Coal materials</v>
      </c>
      <c r="AA210" s="5">
        <f t="shared" si="56"/>
        <v>0</v>
      </c>
      <c r="AB210">
        <f t="shared" si="57"/>
        <v>5</v>
      </c>
      <c r="AC210" s="10">
        <f t="shared" si="58"/>
        <v>-18</v>
      </c>
      <c r="AD210">
        <f t="shared" si="59"/>
        <v>5</v>
      </c>
      <c r="AE210" s="10">
        <f t="shared" si="60"/>
        <v>2</v>
      </c>
      <c r="AF210" s="5">
        <f t="shared" si="53"/>
        <v>1</v>
      </c>
      <c r="AG210" s="5">
        <f t="shared" si="54"/>
        <v>1</v>
      </c>
      <c r="AH210" s="5">
        <f t="shared" si="61"/>
        <v>0</v>
      </c>
      <c r="AI210">
        <f>IF(B210&lt;&gt;"", COUNTIFS($B$2:B210, B210), "")</f>
        <v>60</v>
      </c>
      <c r="AJ210">
        <f t="shared" si="62"/>
        <v>5</v>
      </c>
      <c r="AK210">
        <f t="shared" si="55"/>
        <v>5</v>
      </c>
      <c r="AL210">
        <f t="shared" si="63"/>
        <v>4</v>
      </c>
      <c r="AM210" t="str">
        <f t="shared" si="64"/>
        <v>April</v>
      </c>
      <c r="AN210">
        <f t="shared" si="65"/>
        <v>2023</v>
      </c>
      <c r="AO210" t="str">
        <f t="shared" si="66"/>
        <v>&gt;3</v>
      </c>
      <c r="AP210" t="str">
        <f t="shared" si="67"/>
        <v>&gt;3</v>
      </c>
      <c r="AQ210" t="str">
        <f t="shared" si="68"/>
        <v>&gt;3</v>
      </c>
    </row>
    <row r="211" spans="1:43" x14ac:dyDescent="0.3">
      <c r="A211" t="s">
        <v>33</v>
      </c>
      <c r="B211" t="s">
        <v>51</v>
      </c>
      <c r="C211" t="s">
        <v>35</v>
      </c>
      <c r="D211">
        <v>1549</v>
      </c>
      <c r="E211">
        <v>23120010</v>
      </c>
      <c r="F211" t="s">
        <v>214</v>
      </c>
      <c r="G211" t="s">
        <v>215</v>
      </c>
      <c r="H211">
        <v>229.46</v>
      </c>
      <c r="I211">
        <v>7277.35</v>
      </c>
      <c r="J211">
        <v>1669860.73</v>
      </c>
      <c r="K211" s="7" t="str">
        <f>IFERROR(IF(B211&lt;&gt;"", TEXT(VLOOKUP(B211, 'Expected Date'!A:B, 2, FALSE) + DATE(RIGHT(C211,2),MID(C211,4,2),LEFT(C211,2)), "dd/mm/yy"), ""), "")</f>
        <v>17/05/23</v>
      </c>
      <c r="L211" t="s">
        <v>38</v>
      </c>
      <c r="M211" t="s">
        <v>48</v>
      </c>
      <c r="N211" t="s">
        <v>55</v>
      </c>
      <c r="O211" t="s">
        <v>41</v>
      </c>
      <c r="P211">
        <v>23190132</v>
      </c>
      <c r="Q211" t="s">
        <v>214</v>
      </c>
      <c r="R211" t="s">
        <v>215</v>
      </c>
      <c r="S211">
        <v>24.5</v>
      </c>
      <c r="T211">
        <v>7277.35</v>
      </c>
      <c r="U211">
        <v>178295.08</v>
      </c>
      <c r="V211" t="str">
        <f t="shared" si="69"/>
        <v>Hyderabad</v>
      </c>
      <c r="W211" t="str">
        <f>VLOOKUP(B211, Currency!A:B, 2, FALSE)</f>
        <v>INR</v>
      </c>
      <c r="X211" t="str">
        <f t="shared" si="70"/>
        <v>Accepted</v>
      </c>
      <c r="Y211">
        <f>IFERROR(VLOOKUP(N211, Payment_Terms!A:B, 2, FALSE), "Payment term not found!")</f>
        <v>0</v>
      </c>
      <c r="Z211" t="str">
        <f>IFERROR(VLOOKUP(R211, Item_Category!A:B, 2, FALSE), "Uncategorized")</f>
        <v>Coal materials</v>
      </c>
      <c r="AA211" s="5">
        <f t="shared" si="56"/>
        <v>0</v>
      </c>
      <c r="AB211">
        <f t="shared" si="57"/>
        <v>5</v>
      </c>
      <c r="AC211" s="10">
        <f t="shared" si="58"/>
        <v>-18</v>
      </c>
      <c r="AD211">
        <f t="shared" si="59"/>
        <v>5</v>
      </c>
      <c r="AE211" s="10">
        <f t="shared" si="60"/>
        <v>2</v>
      </c>
      <c r="AF211" s="5">
        <f t="shared" si="53"/>
        <v>1</v>
      </c>
      <c r="AG211" s="5">
        <f t="shared" si="54"/>
        <v>1</v>
      </c>
      <c r="AH211" s="5">
        <f t="shared" si="61"/>
        <v>0</v>
      </c>
      <c r="AI211">
        <f>IF(B211&lt;&gt;"", COUNTIFS($B$2:B211, B211), "")</f>
        <v>61</v>
      </c>
      <c r="AJ211">
        <f t="shared" si="62"/>
        <v>5</v>
      </c>
      <c r="AK211">
        <f t="shared" si="55"/>
        <v>5</v>
      </c>
      <c r="AL211">
        <f t="shared" si="63"/>
        <v>4</v>
      </c>
      <c r="AM211" t="str">
        <f t="shared" si="64"/>
        <v>April</v>
      </c>
      <c r="AN211">
        <f t="shared" si="65"/>
        <v>2023</v>
      </c>
      <c r="AO211" t="str">
        <f t="shared" si="66"/>
        <v>&gt;3</v>
      </c>
      <c r="AP211" t="str">
        <f t="shared" si="67"/>
        <v>&gt;3</v>
      </c>
      <c r="AQ211" t="str">
        <f t="shared" si="68"/>
        <v>&gt;3</v>
      </c>
    </row>
    <row r="212" spans="1:43" x14ac:dyDescent="0.3">
      <c r="A212" t="s">
        <v>33</v>
      </c>
      <c r="B212" t="s">
        <v>107</v>
      </c>
      <c r="C212" t="s">
        <v>65</v>
      </c>
      <c r="D212">
        <v>1389</v>
      </c>
      <c r="E212">
        <v>23110050</v>
      </c>
      <c r="F212" t="s">
        <v>316</v>
      </c>
      <c r="G212" t="s">
        <v>317</v>
      </c>
      <c r="H212">
        <v>2000</v>
      </c>
      <c r="I212">
        <v>33.799999999999997</v>
      </c>
      <c r="J212">
        <v>67600</v>
      </c>
      <c r="K212" s="7" t="str">
        <f>IFERROR(IF(B212&lt;&gt;"", TEXT(VLOOKUP(B212, 'Expected Date'!A:B, 2, FALSE) + DATE(RIGHT(C212,2),MID(C212,4,2),LEFT(C212,2)), "dd/mm/yy"), ""), "")</f>
        <v>29/04/23</v>
      </c>
      <c r="L212" t="s">
        <v>38</v>
      </c>
      <c r="M212" t="s">
        <v>39</v>
      </c>
      <c r="N212" t="s">
        <v>109</v>
      </c>
      <c r="O212" t="s">
        <v>300</v>
      </c>
      <c r="P212">
        <v>23190237</v>
      </c>
      <c r="Q212" t="s">
        <v>316</v>
      </c>
      <c r="R212" t="s">
        <v>317</v>
      </c>
      <c r="S212">
        <v>1892</v>
      </c>
      <c r="T212">
        <v>33.799999999999997</v>
      </c>
      <c r="U212">
        <v>63949.599999999999</v>
      </c>
      <c r="V212" t="str">
        <f t="shared" si="69"/>
        <v>Hyderabad</v>
      </c>
      <c r="W212" t="str">
        <f>VLOOKUP(B212, Currency!A:B, 2, FALSE)</f>
        <v>INR</v>
      </c>
      <c r="X212" t="str">
        <f t="shared" si="70"/>
        <v>Accepted</v>
      </c>
      <c r="Y212">
        <f>IFERROR(VLOOKUP(N212, Payment_Terms!A:B, 2, FALSE), "Payment term not found!")</f>
        <v>0</v>
      </c>
      <c r="Z212" t="str">
        <f>IFERROR(VLOOKUP(R212, Item_Category!A:B, 2, FALSE), "Uncategorized")</f>
        <v>Bags</v>
      </c>
      <c r="AA212" s="5">
        <f t="shared" si="56"/>
        <v>0</v>
      </c>
      <c r="AB212">
        <f t="shared" si="57"/>
        <v>5</v>
      </c>
      <c r="AC212" s="10">
        <f t="shared" si="58"/>
        <v>13</v>
      </c>
      <c r="AD212">
        <f t="shared" si="59"/>
        <v>1</v>
      </c>
      <c r="AE212" s="10">
        <f t="shared" si="60"/>
        <v>23</v>
      </c>
      <c r="AF212" s="5">
        <f t="shared" si="53"/>
        <v>1</v>
      </c>
      <c r="AG212" s="5">
        <f t="shared" si="54"/>
        <v>1</v>
      </c>
      <c r="AH212" s="5">
        <f t="shared" si="61"/>
        <v>0</v>
      </c>
      <c r="AI212">
        <f>IF(B212&lt;&gt;"", COUNTIFS($B$2:B212, B212), "")</f>
        <v>17</v>
      </c>
      <c r="AJ212">
        <f t="shared" si="62"/>
        <v>5</v>
      </c>
      <c r="AK212">
        <f t="shared" si="55"/>
        <v>4</v>
      </c>
      <c r="AL212">
        <f t="shared" si="63"/>
        <v>4</v>
      </c>
      <c r="AM212" t="str">
        <f t="shared" si="64"/>
        <v>April</v>
      </c>
      <c r="AN212">
        <f t="shared" si="65"/>
        <v>2023</v>
      </c>
      <c r="AO212" t="str">
        <f t="shared" si="66"/>
        <v>&gt;3</v>
      </c>
      <c r="AP212" t="str">
        <f t="shared" si="67"/>
        <v>&gt;3</v>
      </c>
      <c r="AQ212" t="str">
        <f t="shared" si="68"/>
        <v>&lt;=3</v>
      </c>
    </row>
    <row r="213" spans="1:43" x14ac:dyDescent="0.3">
      <c r="A213" t="s">
        <v>33</v>
      </c>
      <c r="B213" t="s">
        <v>107</v>
      </c>
      <c r="C213" t="s">
        <v>65</v>
      </c>
      <c r="D213">
        <v>1389</v>
      </c>
      <c r="E213">
        <v>23110050</v>
      </c>
      <c r="F213" t="s">
        <v>316</v>
      </c>
      <c r="G213" t="s">
        <v>317</v>
      </c>
      <c r="H213">
        <v>2000</v>
      </c>
      <c r="I213">
        <v>33.799999999999997</v>
      </c>
      <c r="J213">
        <v>67600</v>
      </c>
      <c r="K213" s="7" t="str">
        <f>IFERROR(IF(B213&lt;&gt;"", TEXT(VLOOKUP(B213, 'Expected Date'!A:B, 2, FALSE) + DATE(RIGHT(C213,2),MID(C213,4,2),LEFT(C213,2)), "dd/mm/yy"), ""), "")</f>
        <v>29/04/23</v>
      </c>
      <c r="L213" t="s">
        <v>38</v>
      </c>
      <c r="M213" t="s">
        <v>39</v>
      </c>
      <c r="N213" t="s">
        <v>109</v>
      </c>
      <c r="O213" t="s">
        <v>300</v>
      </c>
      <c r="P213">
        <v>23190238</v>
      </c>
      <c r="Q213" t="s">
        <v>316</v>
      </c>
      <c r="R213" t="s">
        <v>317</v>
      </c>
      <c r="S213">
        <v>300</v>
      </c>
      <c r="T213">
        <v>33.799999999999997</v>
      </c>
      <c r="U213">
        <v>10140</v>
      </c>
      <c r="V213" t="str">
        <f t="shared" si="69"/>
        <v>Hyderabad</v>
      </c>
      <c r="W213" t="str">
        <f>VLOOKUP(B213, Currency!A:B, 2, FALSE)</f>
        <v>INR</v>
      </c>
      <c r="X213" t="str">
        <f t="shared" si="70"/>
        <v>Accepted</v>
      </c>
      <c r="Y213">
        <f>IFERROR(VLOOKUP(N213, Payment_Terms!A:B, 2, FALSE), "Payment term not found!")</f>
        <v>0</v>
      </c>
      <c r="Z213" t="str">
        <f>IFERROR(VLOOKUP(R213, Item_Category!A:B, 2, FALSE), "Uncategorized")</f>
        <v>Bags</v>
      </c>
      <c r="AA213" s="5">
        <f t="shared" si="56"/>
        <v>0</v>
      </c>
      <c r="AB213">
        <f t="shared" si="57"/>
        <v>5</v>
      </c>
      <c r="AC213" s="10">
        <f t="shared" si="58"/>
        <v>13</v>
      </c>
      <c r="AD213">
        <f t="shared" si="59"/>
        <v>1</v>
      </c>
      <c r="AE213" s="10">
        <f t="shared" si="60"/>
        <v>23</v>
      </c>
      <c r="AF213" s="5">
        <f t="shared" si="53"/>
        <v>1</v>
      </c>
      <c r="AG213" s="5">
        <f t="shared" si="54"/>
        <v>1</v>
      </c>
      <c r="AH213" s="5">
        <f t="shared" si="61"/>
        <v>0</v>
      </c>
      <c r="AI213">
        <f>IF(B213&lt;&gt;"", COUNTIFS($B$2:B213, B213), "")</f>
        <v>18</v>
      </c>
      <c r="AJ213">
        <f t="shared" si="62"/>
        <v>5</v>
      </c>
      <c r="AK213">
        <f t="shared" si="55"/>
        <v>4</v>
      </c>
      <c r="AL213">
        <f t="shared" si="63"/>
        <v>4</v>
      </c>
      <c r="AM213" t="str">
        <f t="shared" si="64"/>
        <v>April</v>
      </c>
      <c r="AN213">
        <f t="shared" si="65"/>
        <v>2023</v>
      </c>
      <c r="AO213" t="str">
        <f t="shared" si="66"/>
        <v>&gt;3</v>
      </c>
      <c r="AP213" t="str">
        <f t="shared" si="67"/>
        <v>&gt;3</v>
      </c>
      <c r="AQ213" t="str">
        <f t="shared" si="68"/>
        <v>&lt;=3</v>
      </c>
    </row>
    <row r="214" spans="1:43" x14ac:dyDescent="0.3">
      <c r="A214" t="s">
        <v>111</v>
      </c>
      <c r="B214" t="s">
        <v>309</v>
      </c>
      <c r="C214" t="s">
        <v>134</v>
      </c>
      <c r="D214">
        <v>2367</v>
      </c>
      <c r="E214">
        <v>23120041</v>
      </c>
      <c r="F214" t="s">
        <v>310</v>
      </c>
      <c r="G214" t="s">
        <v>311</v>
      </c>
      <c r="H214">
        <v>2000</v>
      </c>
      <c r="I214">
        <v>310</v>
      </c>
      <c r="J214">
        <v>620000</v>
      </c>
      <c r="K214" s="7" t="str">
        <f>IFERROR(IF(B214&lt;&gt;"", TEXT(VLOOKUP(B214, 'Expected Date'!A:B, 2, FALSE) + DATE(RIGHT(C214,2),MID(C214,4,2),LEFT(C214,2)), "dd/mm/yy"), ""), "")</f>
        <v>18/06/23</v>
      </c>
      <c r="L214" t="s">
        <v>38</v>
      </c>
      <c r="M214" t="s">
        <v>48</v>
      </c>
      <c r="N214" t="s">
        <v>318</v>
      </c>
      <c r="O214" t="s">
        <v>319</v>
      </c>
      <c r="P214">
        <v>23190465</v>
      </c>
      <c r="Q214" t="s">
        <v>310</v>
      </c>
      <c r="R214" t="s">
        <v>311</v>
      </c>
      <c r="S214">
        <v>2000</v>
      </c>
      <c r="T214">
        <v>310</v>
      </c>
      <c r="U214">
        <v>620000</v>
      </c>
      <c r="V214" t="str">
        <f t="shared" si="69"/>
        <v>Hyderabad</v>
      </c>
      <c r="W214" t="str">
        <f>VLOOKUP(B214, Currency!A:B, 2, FALSE)</f>
        <v>INR</v>
      </c>
      <c r="X214" t="str">
        <f t="shared" si="70"/>
        <v>Accepted</v>
      </c>
      <c r="Y214">
        <f>IFERROR(VLOOKUP(N214, Payment_Terms!A:B, 2, FALSE), "Payment term not found!")</f>
        <v>30</v>
      </c>
      <c r="Z214" t="str">
        <f>IFERROR(VLOOKUP(R214, Item_Category!A:B, 2, FALSE), "Uncategorized")</f>
        <v>CROSSCARMELLOSE SODIUM</v>
      </c>
      <c r="AA214" s="5">
        <f t="shared" si="56"/>
        <v>0</v>
      </c>
      <c r="AB214">
        <f t="shared" si="57"/>
        <v>5</v>
      </c>
      <c r="AC214" s="10">
        <f t="shared" si="58"/>
        <v>1</v>
      </c>
      <c r="AD214">
        <f t="shared" si="59"/>
        <v>5</v>
      </c>
      <c r="AE214" s="10">
        <f t="shared" si="60"/>
        <v>11</v>
      </c>
      <c r="AF214" s="5">
        <f t="shared" si="53"/>
        <v>1</v>
      </c>
      <c r="AG214" s="5">
        <f t="shared" si="54"/>
        <v>0.77</v>
      </c>
      <c r="AH214" s="5">
        <f t="shared" si="61"/>
        <v>0.23</v>
      </c>
      <c r="AI214">
        <f>IF(B214&lt;&gt;"", COUNTIFS($B$2:B214, B214), "")</f>
        <v>2</v>
      </c>
      <c r="AJ214">
        <f t="shared" si="62"/>
        <v>1</v>
      </c>
      <c r="AK214">
        <f t="shared" si="55"/>
        <v>4</v>
      </c>
      <c r="AL214">
        <f t="shared" si="63"/>
        <v>6</v>
      </c>
      <c r="AM214" t="str">
        <f t="shared" si="64"/>
        <v>June</v>
      </c>
      <c r="AN214">
        <f t="shared" si="65"/>
        <v>2023</v>
      </c>
      <c r="AO214" t="str">
        <f t="shared" si="66"/>
        <v>&lt;=3</v>
      </c>
      <c r="AP214" t="str">
        <f t="shared" si="67"/>
        <v>&gt;3</v>
      </c>
      <c r="AQ214" t="str">
        <f t="shared" si="68"/>
        <v>&gt;3</v>
      </c>
    </row>
    <row r="215" spans="1:43" x14ac:dyDescent="0.3">
      <c r="A215" t="s">
        <v>33</v>
      </c>
      <c r="B215" t="s">
        <v>51</v>
      </c>
      <c r="C215" t="s">
        <v>320</v>
      </c>
      <c r="D215">
        <v>4682</v>
      </c>
      <c r="E215">
        <v>23120138</v>
      </c>
      <c r="F215" t="s">
        <v>61</v>
      </c>
      <c r="G215" t="s">
        <v>62</v>
      </c>
      <c r="H215">
        <v>41</v>
      </c>
      <c r="I215">
        <v>6288.5</v>
      </c>
      <c r="J215">
        <v>257828.5</v>
      </c>
      <c r="K215" s="7" t="str">
        <f>IFERROR(IF(B215&lt;&gt;"", TEXT(VLOOKUP(B215, 'Expected Date'!A:B, 2, FALSE) + DATE(RIGHT(C215,2),MID(C215,4,2),LEFT(C215,2)), "dd/mm/yy"), ""), "")</f>
        <v>18/10/23</v>
      </c>
      <c r="L215" t="s">
        <v>38</v>
      </c>
      <c r="M215" t="s">
        <v>48</v>
      </c>
      <c r="N215" t="s">
        <v>55</v>
      </c>
      <c r="O215" t="s">
        <v>151</v>
      </c>
      <c r="P215">
        <v>23191187</v>
      </c>
      <c r="Q215" t="s">
        <v>61</v>
      </c>
      <c r="R215" t="s">
        <v>62</v>
      </c>
      <c r="S215">
        <v>20</v>
      </c>
      <c r="T215">
        <v>6288.5</v>
      </c>
      <c r="U215">
        <v>125770</v>
      </c>
      <c r="V215" t="str">
        <f t="shared" si="69"/>
        <v>Hyderabad</v>
      </c>
      <c r="W215" t="str">
        <f>VLOOKUP(B215, Currency!A:B, 2, FALSE)</f>
        <v>INR</v>
      </c>
      <c r="X215" t="str">
        <f t="shared" si="70"/>
        <v>Accepted</v>
      </c>
      <c r="Y215">
        <f>IFERROR(VLOOKUP(N215, Payment_Terms!A:B, 2, FALSE), "Payment term not found!")</f>
        <v>0</v>
      </c>
      <c r="Z215" t="str">
        <f>IFERROR(VLOOKUP(R215, Item_Category!A:B, 2, FALSE), "Uncategorized")</f>
        <v>Coal materials</v>
      </c>
      <c r="AA215" s="5">
        <f t="shared" si="56"/>
        <v>0</v>
      </c>
      <c r="AB215">
        <f t="shared" si="57"/>
        <v>5</v>
      </c>
      <c r="AC215" s="10">
        <f t="shared" si="58"/>
        <v>-34</v>
      </c>
      <c r="AD215">
        <f t="shared" si="59"/>
        <v>5</v>
      </c>
      <c r="AE215" s="10">
        <f t="shared" si="60"/>
        <v>14</v>
      </c>
      <c r="AF215" s="5">
        <f t="shared" si="53"/>
        <v>1</v>
      </c>
      <c r="AG215" s="5">
        <f t="shared" si="54"/>
        <v>1</v>
      </c>
      <c r="AH215" s="5">
        <f t="shared" si="61"/>
        <v>0</v>
      </c>
      <c r="AI215">
        <f>IF(B215&lt;&gt;"", COUNTIFS($B$2:B215, B215), "")</f>
        <v>62</v>
      </c>
      <c r="AJ215">
        <f t="shared" si="62"/>
        <v>5</v>
      </c>
      <c r="AK215">
        <f t="shared" si="55"/>
        <v>5</v>
      </c>
      <c r="AL215">
        <f t="shared" si="63"/>
        <v>9</v>
      </c>
      <c r="AM215" t="str">
        <f t="shared" si="64"/>
        <v>September</v>
      </c>
      <c r="AN215">
        <f t="shared" si="65"/>
        <v>2023</v>
      </c>
      <c r="AO215" t="str">
        <f t="shared" si="66"/>
        <v>&gt;3</v>
      </c>
      <c r="AP215" t="str">
        <f t="shared" si="67"/>
        <v>&gt;3</v>
      </c>
      <c r="AQ215" t="str">
        <f t="shared" si="68"/>
        <v>&gt;3</v>
      </c>
    </row>
    <row r="216" spans="1:43" x14ac:dyDescent="0.3">
      <c r="A216" t="s">
        <v>33</v>
      </c>
      <c r="B216" t="s">
        <v>51</v>
      </c>
      <c r="C216" t="s">
        <v>320</v>
      </c>
      <c r="D216">
        <v>4682</v>
      </c>
      <c r="E216">
        <v>23120138</v>
      </c>
      <c r="F216" t="s">
        <v>61</v>
      </c>
      <c r="G216" t="s">
        <v>62</v>
      </c>
      <c r="H216">
        <v>41</v>
      </c>
      <c r="I216">
        <v>6288.5</v>
      </c>
      <c r="J216">
        <v>257828.5</v>
      </c>
      <c r="K216" s="7" t="str">
        <f>IFERROR(IF(B216&lt;&gt;"", TEXT(VLOOKUP(B216, 'Expected Date'!A:B, 2, FALSE) + DATE(RIGHT(C216,2),MID(C216,4,2),LEFT(C216,2)), "dd/mm/yy"), ""), "")</f>
        <v>18/10/23</v>
      </c>
      <c r="L216" t="s">
        <v>38</v>
      </c>
      <c r="M216" t="s">
        <v>48</v>
      </c>
      <c r="N216" t="s">
        <v>55</v>
      </c>
      <c r="O216" t="s">
        <v>206</v>
      </c>
      <c r="P216">
        <v>23191188</v>
      </c>
      <c r="Q216" t="s">
        <v>61</v>
      </c>
      <c r="R216" t="s">
        <v>62</v>
      </c>
      <c r="S216">
        <v>21</v>
      </c>
      <c r="T216">
        <v>6288.5</v>
      </c>
      <c r="U216">
        <v>132058.5</v>
      </c>
      <c r="V216" t="str">
        <f t="shared" si="69"/>
        <v>Hyderabad</v>
      </c>
      <c r="W216" t="str">
        <f>VLOOKUP(B216, Currency!A:B, 2, FALSE)</f>
        <v>INR</v>
      </c>
      <c r="X216" t="str">
        <f t="shared" si="70"/>
        <v>Accepted</v>
      </c>
      <c r="Y216">
        <f>IFERROR(VLOOKUP(N216, Payment_Terms!A:B, 2, FALSE), "Payment term not found!")</f>
        <v>0</v>
      </c>
      <c r="Z216" t="str">
        <f>IFERROR(VLOOKUP(R216, Item_Category!A:B, 2, FALSE), "Uncategorized")</f>
        <v>Coal materials</v>
      </c>
      <c r="AA216" s="5">
        <f t="shared" si="56"/>
        <v>0</v>
      </c>
      <c r="AB216">
        <f t="shared" si="57"/>
        <v>5</v>
      </c>
      <c r="AC216" s="10">
        <f t="shared" si="58"/>
        <v>-35</v>
      </c>
      <c r="AD216">
        <f t="shared" si="59"/>
        <v>5</v>
      </c>
      <c r="AE216" s="10">
        <f t="shared" si="60"/>
        <v>15</v>
      </c>
      <c r="AF216" s="5">
        <f t="shared" si="53"/>
        <v>1</v>
      </c>
      <c r="AG216" s="5">
        <f t="shared" si="54"/>
        <v>1</v>
      </c>
      <c r="AH216" s="5">
        <f t="shared" si="61"/>
        <v>0</v>
      </c>
      <c r="AI216">
        <f>IF(B216&lt;&gt;"", COUNTIFS($B$2:B216, B216), "")</f>
        <v>63</v>
      </c>
      <c r="AJ216">
        <f t="shared" si="62"/>
        <v>5</v>
      </c>
      <c r="AK216">
        <f t="shared" si="55"/>
        <v>5</v>
      </c>
      <c r="AL216">
        <f t="shared" si="63"/>
        <v>9</v>
      </c>
      <c r="AM216" t="str">
        <f t="shared" si="64"/>
        <v>September</v>
      </c>
      <c r="AN216">
        <f t="shared" si="65"/>
        <v>2023</v>
      </c>
      <c r="AO216" t="str">
        <f t="shared" si="66"/>
        <v>&gt;3</v>
      </c>
      <c r="AP216" t="str">
        <f t="shared" si="67"/>
        <v>&gt;3</v>
      </c>
      <c r="AQ216" t="str">
        <f t="shared" si="68"/>
        <v>&gt;3</v>
      </c>
    </row>
    <row r="217" spans="1:43" x14ac:dyDescent="0.3">
      <c r="A217" t="s">
        <v>33</v>
      </c>
      <c r="B217" t="s">
        <v>287</v>
      </c>
      <c r="C217" t="s">
        <v>281</v>
      </c>
      <c r="D217">
        <v>4180</v>
      </c>
      <c r="E217">
        <v>23110399</v>
      </c>
      <c r="F217" t="s">
        <v>321</v>
      </c>
      <c r="G217" t="s">
        <v>322</v>
      </c>
      <c r="H217">
        <v>242</v>
      </c>
      <c r="I217">
        <v>22.727</v>
      </c>
      <c r="J217">
        <v>5499.93</v>
      </c>
      <c r="K217" s="7" t="str">
        <f>IFERROR(IF(B217&lt;&gt;"", TEXT(VLOOKUP(B217, 'Expected Date'!A:B, 2, FALSE) + DATE(RIGHT(C217,2),MID(C217,4,2),LEFT(C217,2)), "dd/mm/yy"), ""), "")</f>
        <v>15/09/23</v>
      </c>
      <c r="L217" t="s">
        <v>38</v>
      </c>
      <c r="M217" t="s">
        <v>48</v>
      </c>
      <c r="N217" t="s">
        <v>77</v>
      </c>
      <c r="O217" t="s">
        <v>286</v>
      </c>
      <c r="P217">
        <v>23191014</v>
      </c>
      <c r="Q217" t="s">
        <v>321</v>
      </c>
      <c r="R217" t="s">
        <v>322</v>
      </c>
      <c r="S217">
        <v>242</v>
      </c>
      <c r="T217">
        <v>22.727</v>
      </c>
      <c r="U217">
        <v>5499.93</v>
      </c>
      <c r="V217" t="str">
        <f t="shared" si="69"/>
        <v>Hyderabad</v>
      </c>
      <c r="W217" t="str">
        <f>VLOOKUP(B217, Currency!A:B, 2, FALSE)</f>
        <v>INR</v>
      </c>
      <c r="X217" t="str">
        <f t="shared" si="70"/>
        <v>Accepted</v>
      </c>
      <c r="Y217">
        <f>IFERROR(VLOOKUP(N217, Payment_Terms!A:B, 2, FALSE), "Payment term not found!")</f>
        <v>0</v>
      </c>
      <c r="Z217" t="str">
        <f>IFERROR(VLOOKUP(R217, Item_Category!A:B, 2, FALSE), "Uncategorized")</f>
        <v>BO Water</v>
      </c>
      <c r="AA217" s="5">
        <f t="shared" si="56"/>
        <v>0</v>
      </c>
      <c r="AB217">
        <f t="shared" si="57"/>
        <v>5</v>
      </c>
      <c r="AC217" s="10">
        <f t="shared" si="58"/>
        <v>-15</v>
      </c>
      <c r="AD217">
        <f t="shared" si="59"/>
        <v>5</v>
      </c>
      <c r="AE217" s="10">
        <f t="shared" si="60"/>
        <v>5</v>
      </c>
      <c r="AF217" s="5">
        <f t="shared" si="53"/>
        <v>1</v>
      </c>
      <c r="AG217" s="5">
        <f t="shared" si="54"/>
        <v>1</v>
      </c>
      <c r="AH217" s="5">
        <f t="shared" si="61"/>
        <v>0</v>
      </c>
      <c r="AI217">
        <f>IF(B217&lt;&gt;"", COUNTIFS($B$2:B217, B217), "")</f>
        <v>2</v>
      </c>
      <c r="AJ217">
        <f t="shared" si="62"/>
        <v>5</v>
      </c>
      <c r="AK217">
        <f t="shared" si="55"/>
        <v>5</v>
      </c>
      <c r="AL217">
        <f t="shared" si="63"/>
        <v>9</v>
      </c>
      <c r="AM217" t="str">
        <f t="shared" si="64"/>
        <v>September</v>
      </c>
      <c r="AN217">
        <f t="shared" si="65"/>
        <v>2023</v>
      </c>
      <c r="AO217" t="str">
        <f t="shared" si="66"/>
        <v>&gt;3</v>
      </c>
      <c r="AP217" t="str">
        <f t="shared" si="67"/>
        <v>&gt;3</v>
      </c>
      <c r="AQ217" t="str">
        <f t="shared" si="68"/>
        <v>&gt;3</v>
      </c>
    </row>
    <row r="218" spans="1:43" x14ac:dyDescent="0.3">
      <c r="A218" t="s">
        <v>33</v>
      </c>
      <c r="B218" t="s">
        <v>128</v>
      </c>
      <c r="C218" t="s">
        <v>181</v>
      </c>
      <c r="D218">
        <v>4518</v>
      </c>
      <c r="E218">
        <v>23120124</v>
      </c>
      <c r="F218" t="s">
        <v>129</v>
      </c>
      <c r="G218" t="s">
        <v>431</v>
      </c>
      <c r="H218">
        <v>20000</v>
      </c>
      <c r="I218">
        <v>8.4</v>
      </c>
      <c r="J218">
        <v>168000</v>
      </c>
      <c r="K218" s="7" t="str">
        <f>IFERROR(IF(B218&lt;&gt;"", TEXT(VLOOKUP(B218, 'Expected Date'!A:B, 2, FALSE) + DATE(RIGHT(C218,2),MID(C218,4,2),LEFT(C218,2)), "dd/mm/yy"), ""), "")</f>
        <v>01/10/23</v>
      </c>
      <c r="L218" t="s">
        <v>38</v>
      </c>
      <c r="M218" t="s">
        <v>48</v>
      </c>
      <c r="N218" t="s">
        <v>132</v>
      </c>
      <c r="O218" t="s">
        <v>194</v>
      </c>
      <c r="P218">
        <v>23191184</v>
      </c>
      <c r="Q218" t="s">
        <v>129</v>
      </c>
      <c r="R218" t="s">
        <v>431</v>
      </c>
      <c r="S218">
        <v>20000</v>
      </c>
      <c r="T218">
        <v>8.4</v>
      </c>
      <c r="U218">
        <v>168000</v>
      </c>
      <c r="V218" t="str">
        <f t="shared" si="69"/>
        <v>Hyderabad</v>
      </c>
      <c r="W218" t="str">
        <f>VLOOKUP(B218, Currency!A:B, 2, FALSE)</f>
        <v>INR</v>
      </c>
      <c r="X218" t="str">
        <f t="shared" si="70"/>
        <v>Accepted</v>
      </c>
      <c r="Y218">
        <f>IFERROR(VLOOKUP(N218, Payment_Terms!A:B, 2, FALSE), "Payment term not found!")</f>
        <v>0</v>
      </c>
      <c r="Z218" t="str">
        <f>IFERROR(VLOOKUP(R218, Item_Category!A:B, 2, FALSE), "Uncategorized")</f>
        <v>Lime</v>
      </c>
      <c r="AA218" s="5">
        <f t="shared" si="56"/>
        <v>0</v>
      </c>
      <c r="AB218">
        <f t="shared" si="57"/>
        <v>5</v>
      </c>
      <c r="AC218" s="10">
        <f t="shared" si="58"/>
        <v>-5</v>
      </c>
      <c r="AD218">
        <f t="shared" si="59"/>
        <v>5</v>
      </c>
      <c r="AE218" s="10">
        <f t="shared" si="60"/>
        <v>5</v>
      </c>
      <c r="AF218" s="5">
        <f t="shared" si="53"/>
        <v>1</v>
      </c>
      <c r="AG218" s="5">
        <f t="shared" si="54"/>
        <v>1</v>
      </c>
      <c r="AH218" s="5">
        <f t="shared" si="61"/>
        <v>0</v>
      </c>
      <c r="AI218">
        <f>IF(B218&lt;&gt;"", COUNTIFS($B$2:B218, B218), "")</f>
        <v>2</v>
      </c>
      <c r="AJ218">
        <f t="shared" si="62"/>
        <v>5</v>
      </c>
      <c r="AK218">
        <f t="shared" si="55"/>
        <v>5</v>
      </c>
      <c r="AL218">
        <f t="shared" si="63"/>
        <v>9</v>
      </c>
      <c r="AM218" t="str">
        <f t="shared" si="64"/>
        <v>September</v>
      </c>
      <c r="AN218">
        <f t="shared" si="65"/>
        <v>2023</v>
      </c>
      <c r="AO218" t="str">
        <f t="shared" si="66"/>
        <v>&gt;3</v>
      </c>
      <c r="AP218" t="str">
        <f t="shared" si="67"/>
        <v>&gt;3</v>
      </c>
      <c r="AQ218" t="str">
        <f t="shared" si="68"/>
        <v>&gt;3</v>
      </c>
    </row>
    <row r="219" spans="1:43" x14ac:dyDescent="0.3">
      <c r="A219" t="str">
        <f>A201</f>
        <v>Woodpulp</v>
      </c>
      <c r="B219" t="s">
        <v>96</v>
      </c>
      <c r="C219" t="s">
        <v>71</v>
      </c>
      <c r="D219">
        <v>2695</v>
      </c>
      <c r="E219">
        <v>23120062</v>
      </c>
      <c r="F219" t="s">
        <v>98</v>
      </c>
      <c r="G219" t="s">
        <v>99</v>
      </c>
      <c r="H219">
        <v>78</v>
      </c>
      <c r="I219">
        <v>670</v>
      </c>
      <c r="J219">
        <v>4269642</v>
      </c>
      <c r="K219" s="7" t="str">
        <f>IFERROR(IF(B219&lt;&gt;"", TEXT(VLOOKUP(B219, 'Expected Date'!A:B, 2, FALSE) + DATE(RIGHT(C219,2),MID(C219,4,2),LEFT(C219,2)), "dd/mm/yy"), ""), "")</f>
        <v>21/08/23</v>
      </c>
      <c r="L219" t="s">
        <v>38</v>
      </c>
      <c r="M219" t="str">
        <f>M149</f>
        <v>MT</v>
      </c>
      <c r="N219" t="s">
        <v>102</v>
      </c>
      <c r="O219" t="s">
        <v>189</v>
      </c>
      <c r="P219">
        <v>23191112</v>
      </c>
      <c r="Q219" t="s">
        <v>98</v>
      </c>
      <c r="R219" t="s">
        <v>99</v>
      </c>
      <c r="S219">
        <v>79.174999999999997</v>
      </c>
      <c r="T219">
        <v>670</v>
      </c>
      <c r="U219">
        <v>4360483.95</v>
      </c>
      <c r="V219" t="str">
        <f t="shared" si="69"/>
        <v>Hyderabad</v>
      </c>
      <c r="W219" t="str">
        <f>VLOOKUP(B219, Currency!A:B, 2, FALSE)</f>
        <v>USD</v>
      </c>
      <c r="X219" t="str">
        <f t="shared" si="70"/>
        <v>Accepted</v>
      </c>
      <c r="Y219">
        <f>IFERROR(VLOOKUP(N219, Payment_Terms!A:B, 2, FALSE), "Payment term not found!")</f>
        <v>60</v>
      </c>
      <c r="Z219" t="str">
        <f>IFERROR(VLOOKUP(R219, Item_Category!A:B, 2, FALSE), "Uncategorized")</f>
        <v>Wood pulp</v>
      </c>
      <c r="AA219" s="5">
        <f t="shared" si="56"/>
        <v>0</v>
      </c>
      <c r="AB219">
        <f t="shared" si="57"/>
        <v>5</v>
      </c>
      <c r="AC219" s="10">
        <f t="shared" si="58"/>
        <v>27</v>
      </c>
      <c r="AD219">
        <f t="shared" si="59"/>
        <v>1</v>
      </c>
      <c r="AE219" s="10">
        <f t="shared" si="60"/>
        <v>87</v>
      </c>
      <c r="AF219" s="5">
        <f t="shared" si="53"/>
        <v>1</v>
      </c>
      <c r="AG219" s="5">
        <f t="shared" si="54"/>
        <v>1</v>
      </c>
      <c r="AH219" s="5">
        <f t="shared" si="61"/>
        <v>0</v>
      </c>
      <c r="AI219">
        <f>IF(B219&lt;&gt;"", COUNTIFS($B$2:B219, B219), "")</f>
        <v>5</v>
      </c>
      <c r="AJ219">
        <f t="shared" si="62"/>
        <v>5</v>
      </c>
      <c r="AK219">
        <f t="shared" si="55"/>
        <v>4</v>
      </c>
      <c r="AL219">
        <f t="shared" si="63"/>
        <v>6</v>
      </c>
      <c r="AM219" t="str">
        <f t="shared" si="64"/>
        <v>June</v>
      </c>
      <c r="AN219">
        <f t="shared" si="65"/>
        <v>2023</v>
      </c>
      <c r="AO219" t="str">
        <f t="shared" si="66"/>
        <v>&gt;3</v>
      </c>
      <c r="AP219" t="str">
        <f t="shared" si="67"/>
        <v>&gt;3</v>
      </c>
      <c r="AQ219" t="str">
        <f t="shared" si="68"/>
        <v>&lt;=3</v>
      </c>
    </row>
    <row r="220" spans="1:43" x14ac:dyDescent="0.3">
      <c r="A220" t="s">
        <v>33</v>
      </c>
      <c r="B220" t="s">
        <v>51</v>
      </c>
      <c r="C220" t="s">
        <v>35</v>
      </c>
      <c r="D220">
        <v>1549</v>
      </c>
      <c r="E220">
        <v>23120010</v>
      </c>
      <c r="F220" t="s">
        <v>214</v>
      </c>
      <c r="G220" t="s">
        <v>215</v>
      </c>
      <c r="H220">
        <v>23.95</v>
      </c>
      <c r="I220">
        <v>6442.3</v>
      </c>
      <c r="J220">
        <v>154293.09</v>
      </c>
      <c r="K220" s="7" t="str">
        <f>IFERROR(IF(B220&lt;&gt;"", TEXT(VLOOKUP(B220, 'Expected Date'!A:B, 2, FALSE) + DATE(RIGHT(C220,2),MID(C220,4,2),LEFT(C220,2)), "dd/mm/yy"), ""), "")</f>
        <v>17/05/23</v>
      </c>
      <c r="L220" t="s">
        <v>38</v>
      </c>
      <c r="M220" t="s">
        <v>48</v>
      </c>
      <c r="N220" t="s">
        <v>55</v>
      </c>
      <c r="O220" t="s">
        <v>41</v>
      </c>
      <c r="P220">
        <v>23190127</v>
      </c>
      <c r="Q220" t="s">
        <v>214</v>
      </c>
      <c r="R220" t="s">
        <v>215</v>
      </c>
      <c r="S220">
        <v>23.95</v>
      </c>
      <c r="T220">
        <v>6442.3</v>
      </c>
      <c r="U220">
        <v>154293.09</v>
      </c>
      <c r="V220" t="str">
        <f t="shared" si="69"/>
        <v>Hyderabad</v>
      </c>
      <c r="W220" t="str">
        <f>VLOOKUP(B220, Currency!A:B, 2, FALSE)</f>
        <v>INR</v>
      </c>
      <c r="X220" t="str">
        <f t="shared" si="70"/>
        <v>Accepted</v>
      </c>
      <c r="Y220">
        <f>IFERROR(VLOOKUP(N220, Payment_Terms!A:B, 2, FALSE), "Payment term not found!")</f>
        <v>0</v>
      </c>
      <c r="Z220" t="str">
        <f>IFERROR(VLOOKUP(R220, Item_Category!A:B, 2, FALSE), "Uncategorized")</f>
        <v>Coal materials</v>
      </c>
      <c r="AA220" s="5">
        <f t="shared" si="56"/>
        <v>0</v>
      </c>
      <c r="AB220">
        <f t="shared" si="57"/>
        <v>5</v>
      </c>
      <c r="AC220" s="10">
        <f t="shared" si="58"/>
        <v>-18</v>
      </c>
      <c r="AD220">
        <f t="shared" si="59"/>
        <v>5</v>
      </c>
      <c r="AE220" s="10">
        <f t="shared" si="60"/>
        <v>2</v>
      </c>
      <c r="AF220" s="5">
        <f t="shared" si="53"/>
        <v>1</v>
      </c>
      <c r="AG220" s="5">
        <f t="shared" si="54"/>
        <v>1</v>
      </c>
      <c r="AH220" s="5">
        <f t="shared" si="61"/>
        <v>0</v>
      </c>
      <c r="AI220">
        <f>IF(B220&lt;&gt;"", COUNTIFS($B$2:B220, B220), "")</f>
        <v>64</v>
      </c>
      <c r="AJ220">
        <f t="shared" si="62"/>
        <v>5</v>
      </c>
      <c r="AK220">
        <f t="shared" si="55"/>
        <v>5</v>
      </c>
      <c r="AL220">
        <f t="shared" si="63"/>
        <v>4</v>
      </c>
      <c r="AM220" t="str">
        <f t="shared" si="64"/>
        <v>April</v>
      </c>
      <c r="AN220">
        <f t="shared" si="65"/>
        <v>2023</v>
      </c>
      <c r="AO220" t="str">
        <f t="shared" si="66"/>
        <v>&gt;3</v>
      </c>
      <c r="AP220" t="str">
        <f t="shared" si="67"/>
        <v>&gt;3</v>
      </c>
      <c r="AQ220" t="str">
        <f t="shared" si="68"/>
        <v>&gt;3</v>
      </c>
    </row>
    <row r="221" spans="1:43" x14ac:dyDescent="0.3">
      <c r="A221" t="s">
        <v>33</v>
      </c>
      <c r="B221" t="s">
        <v>73</v>
      </c>
      <c r="C221" t="s">
        <v>108</v>
      </c>
      <c r="D221">
        <v>1808</v>
      </c>
      <c r="E221">
        <v>23120022</v>
      </c>
      <c r="F221" t="s">
        <v>75</v>
      </c>
      <c r="G221" t="s">
        <v>76</v>
      </c>
      <c r="H221">
        <v>1600</v>
      </c>
      <c r="I221">
        <v>900</v>
      </c>
      <c r="J221">
        <v>1440000</v>
      </c>
      <c r="K221" s="7" t="str">
        <f>IFERROR(IF(B221&lt;&gt;"", TEXT(VLOOKUP(B221, 'Expected Date'!A:B, 2, FALSE) + DATE(RIGHT(C221,2),MID(C221,4,2),LEFT(C221,2)), "dd/mm/yy"), ""), "")</f>
        <v>30/05/23</v>
      </c>
      <c r="L221" t="s">
        <v>38</v>
      </c>
      <c r="M221" t="s">
        <v>39</v>
      </c>
      <c r="N221" t="s">
        <v>77</v>
      </c>
      <c r="O221" t="s">
        <v>198</v>
      </c>
      <c r="P221">
        <v>23190748</v>
      </c>
      <c r="Q221" t="s">
        <v>75</v>
      </c>
      <c r="R221" t="s">
        <v>76</v>
      </c>
      <c r="S221">
        <v>400</v>
      </c>
      <c r="T221">
        <v>900</v>
      </c>
      <c r="U221">
        <v>360000</v>
      </c>
      <c r="V221" t="str">
        <f t="shared" si="69"/>
        <v>Hyderabad</v>
      </c>
      <c r="W221" t="str">
        <f>VLOOKUP(B221, Currency!A:B, 2, FALSE)</f>
        <v>INR</v>
      </c>
      <c r="X221" t="str">
        <f t="shared" si="70"/>
        <v>Accepted</v>
      </c>
      <c r="Y221">
        <f>IFERROR(VLOOKUP(N221, Payment_Terms!A:B, 2, FALSE), "Payment term not found!")</f>
        <v>0</v>
      </c>
      <c r="Z221" t="str">
        <f>IFERROR(VLOOKUP(R221, Item_Category!A:B, 2, FALSE), "Uncategorized")</f>
        <v>Pallets</v>
      </c>
      <c r="AA221" s="5">
        <f t="shared" si="56"/>
        <v>0</v>
      </c>
      <c r="AB221">
        <f t="shared" si="57"/>
        <v>5</v>
      </c>
      <c r="AC221" s="10">
        <f t="shared" si="58"/>
        <v>62</v>
      </c>
      <c r="AD221">
        <f t="shared" si="59"/>
        <v>1</v>
      </c>
      <c r="AE221" s="10">
        <f t="shared" si="60"/>
        <v>82</v>
      </c>
      <c r="AF221" s="5">
        <f t="shared" si="53"/>
        <v>1</v>
      </c>
      <c r="AG221" s="5">
        <f t="shared" si="54"/>
        <v>1</v>
      </c>
      <c r="AH221" s="5">
        <f t="shared" si="61"/>
        <v>0</v>
      </c>
      <c r="AI221">
        <f>IF(B221&lt;&gt;"", COUNTIFS($B$2:B221, B221), "")</f>
        <v>14</v>
      </c>
      <c r="AJ221">
        <f t="shared" si="62"/>
        <v>5</v>
      </c>
      <c r="AK221">
        <f t="shared" si="55"/>
        <v>4</v>
      </c>
      <c r="AL221">
        <f t="shared" si="63"/>
        <v>5</v>
      </c>
      <c r="AM221" t="str">
        <f t="shared" si="64"/>
        <v>May</v>
      </c>
      <c r="AN221">
        <f t="shared" si="65"/>
        <v>2023</v>
      </c>
      <c r="AO221" t="str">
        <f t="shared" si="66"/>
        <v>&gt;3</v>
      </c>
      <c r="AP221" t="str">
        <f t="shared" si="67"/>
        <v>&gt;3</v>
      </c>
      <c r="AQ221" t="str">
        <f t="shared" si="68"/>
        <v>&lt;=3</v>
      </c>
    </row>
    <row r="222" spans="1:43" x14ac:dyDescent="0.3">
      <c r="A222" t="s">
        <v>33</v>
      </c>
      <c r="B222" t="s">
        <v>128</v>
      </c>
      <c r="C222" t="s">
        <v>225</v>
      </c>
      <c r="D222">
        <v>1840</v>
      </c>
      <c r="E222">
        <v>23120025</v>
      </c>
      <c r="F222" t="s">
        <v>129</v>
      </c>
      <c r="G222" t="s">
        <v>431</v>
      </c>
      <c r="H222">
        <v>20000</v>
      </c>
      <c r="I222">
        <v>8.4</v>
      </c>
      <c r="J222">
        <v>168000</v>
      </c>
      <c r="K222" s="7" t="str">
        <f>IFERROR(IF(B222&lt;&gt;"", TEXT(VLOOKUP(B222, 'Expected Date'!A:B, 2, FALSE) + DATE(RIGHT(C222,2),MID(C222,4,2),LEFT(C222,2)), "dd/mm/yy"), ""), "")</f>
        <v>21/05/23</v>
      </c>
      <c r="L222" t="s">
        <v>38</v>
      </c>
      <c r="M222" t="s">
        <v>48</v>
      </c>
      <c r="N222" t="s">
        <v>132</v>
      </c>
      <c r="O222" t="s">
        <v>134</v>
      </c>
      <c r="P222">
        <v>23190408</v>
      </c>
      <c r="Q222" t="s">
        <v>129</v>
      </c>
      <c r="R222" t="s">
        <v>431</v>
      </c>
      <c r="S222">
        <v>20000</v>
      </c>
      <c r="T222">
        <v>8.4</v>
      </c>
      <c r="U222">
        <v>168000</v>
      </c>
      <c r="V222" t="str">
        <f t="shared" si="69"/>
        <v>Hyderabad</v>
      </c>
      <c r="W222" t="str">
        <f>VLOOKUP(B222, Currency!A:B, 2, FALSE)</f>
        <v>INR</v>
      </c>
      <c r="X222" t="str">
        <f t="shared" si="70"/>
        <v>Accepted</v>
      </c>
      <c r="Y222">
        <f>IFERROR(VLOOKUP(N222, Payment_Terms!A:B, 2, FALSE), "Payment term not found!")</f>
        <v>0</v>
      </c>
      <c r="Z222" t="str">
        <f>IFERROR(VLOOKUP(R222, Item_Category!A:B, 2, FALSE), "Uncategorized")</f>
        <v>Lime</v>
      </c>
      <c r="AA222" s="5">
        <f t="shared" si="56"/>
        <v>0</v>
      </c>
      <c r="AB222">
        <f t="shared" si="57"/>
        <v>5</v>
      </c>
      <c r="AC222" s="10">
        <f t="shared" si="58"/>
        <v>18</v>
      </c>
      <c r="AD222">
        <f t="shared" si="59"/>
        <v>1</v>
      </c>
      <c r="AE222" s="10">
        <f t="shared" si="60"/>
        <v>28</v>
      </c>
      <c r="AF222" s="5">
        <f t="shared" si="53"/>
        <v>1</v>
      </c>
      <c r="AG222" s="5">
        <f t="shared" si="54"/>
        <v>1</v>
      </c>
      <c r="AH222" s="5">
        <f t="shared" si="61"/>
        <v>0</v>
      </c>
      <c r="AI222">
        <f>IF(B222&lt;&gt;"", COUNTIFS($B$2:B222, B222), "")</f>
        <v>3</v>
      </c>
      <c r="AJ222">
        <f t="shared" si="62"/>
        <v>5</v>
      </c>
      <c r="AK222">
        <f t="shared" si="55"/>
        <v>4</v>
      </c>
      <c r="AL222">
        <f t="shared" si="63"/>
        <v>5</v>
      </c>
      <c r="AM222" t="str">
        <f t="shared" si="64"/>
        <v>May</v>
      </c>
      <c r="AN222">
        <f t="shared" si="65"/>
        <v>2023</v>
      </c>
      <c r="AO222" t="str">
        <f t="shared" si="66"/>
        <v>&gt;3</v>
      </c>
      <c r="AP222" t="str">
        <f t="shared" si="67"/>
        <v>&gt;3</v>
      </c>
      <c r="AQ222" t="str">
        <f t="shared" si="68"/>
        <v>&lt;=3</v>
      </c>
    </row>
    <row r="223" spans="1:43" x14ac:dyDescent="0.3">
      <c r="A223" t="s">
        <v>33</v>
      </c>
      <c r="B223" t="s">
        <v>150</v>
      </c>
      <c r="C223" t="s">
        <v>89</v>
      </c>
      <c r="D223">
        <v>2865</v>
      </c>
      <c r="E223">
        <v>23120081</v>
      </c>
      <c r="F223" t="s">
        <v>196</v>
      </c>
      <c r="G223" t="s">
        <v>197</v>
      </c>
      <c r="H223">
        <v>100</v>
      </c>
      <c r="I223">
        <v>5600</v>
      </c>
      <c r="J223">
        <v>560000</v>
      </c>
      <c r="K223" s="7" t="str">
        <f>IFERROR(IF(B223&lt;&gt;"", TEXT(VLOOKUP(B223, 'Expected Date'!A:B, 2, FALSE) + DATE(RIGHT(C223,2),MID(C223,4,2),LEFT(C223,2)), "dd/mm/yy"), ""), "")</f>
        <v>15/07/23</v>
      </c>
      <c r="L223" t="s">
        <v>68</v>
      </c>
      <c r="M223" t="s">
        <v>48</v>
      </c>
      <c r="N223" t="s">
        <v>183</v>
      </c>
      <c r="O223" t="s">
        <v>50</v>
      </c>
      <c r="P223">
        <v>23190614</v>
      </c>
      <c r="Q223" t="s">
        <v>196</v>
      </c>
      <c r="R223" t="s">
        <v>197</v>
      </c>
      <c r="S223">
        <v>20</v>
      </c>
      <c r="T223">
        <v>5600</v>
      </c>
      <c r="U223">
        <v>112000</v>
      </c>
      <c r="V223" t="str">
        <f t="shared" si="69"/>
        <v>Hyderabad</v>
      </c>
      <c r="W223" t="str">
        <f>VLOOKUP(B223, Currency!A:B, 2, FALSE)</f>
        <v>INR</v>
      </c>
      <c r="X223" t="str">
        <f t="shared" si="70"/>
        <v>Accepted</v>
      </c>
      <c r="Y223">
        <f>IFERROR(VLOOKUP(N223, Payment_Terms!A:B, 2, FALSE), "Payment term not found!")</f>
        <v>30</v>
      </c>
      <c r="Z223" t="str">
        <f>IFERROR(VLOOKUP(R223, Item_Category!A:B, 2, FALSE), "Uncategorized")</f>
        <v>Coal materials</v>
      </c>
      <c r="AA223" s="5">
        <f t="shared" si="56"/>
        <v>0.54689999999999994</v>
      </c>
      <c r="AB223">
        <f t="shared" si="57"/>
        <v>1</v>
      </c>
      <c r="AC223" s="10">
        <f t="shared" si="58"/>
        <v>-4</v>
      </c>
      <c r="AD223">
        <f t="shared" si="59"/>
        <v>5</v>
      </c>
      <c r="AE223" s="10">
        <f t="shared" si="60"/>
        <v>6</v>
      </c>
      <c r="AF223" s="5">
        <f t="shared" si="53"/>
        <v>1</v>
      </c>
      <c r="AG223" s="5">
        <f t="shared" si="54"/>
        <v>1</v>
      </c>
      <c r="AH223" s="5">
        <f t="shared" si="61"/>
        <v>0</v>
      </c>
      <c r="AI223">
        <f>IF(B223&lt;&gt;"", COUNTIFS($B$2:B223, B223), "")</f>
        <v>10</v>
      </c>
      <c r="AJ223">
        <f t="shared" si="62"/>
        <v>5</v>
      </c>
      <c r="AK223">
        <f t="shared" si="55"/>
        <v>4</v>
      </c>
      <c r="AL223">
        <f t="shared" si="63"/>
        <v>7</v>
      </c>
      <c r="AM223" t="str">
        <f t="shared" si="64"/>
        <v>July</v>
      </c>
      <c r="AN223">
        <f t="shared" si="65"/>
        <v>2023</v>
      </c>
      <c r="AO223" t="str">
        <f t="shared" si="66"/>
        <v>&gt;3</v>
      </c>
      <c r="AP223" t="str">
        <f t="shared" si="67"/>
        <v>&lt;=3</v>
      </c>
      <c r="AQ223" t="str">
        <f t="shared" si="68"/>
        <v>&gt;3</v>
      </c>
    </row>
    <row r="224" spans="1:43" x14ac:dyDescent="0.3">
      <c r="A224" t="s">
        <v>111</v>
      </c>
      <c r="B224" t="s">
        <v>296</v>
      </c>
      <c r="C224" t="s">
        <v>88</v>
      </c>
      <c r="D224">
        <v>2817</v>
      </c>
      <c r="E224">
        <v>23120078</v>
      </c>
      <c r="F224" t="s">
        <v>310</v>
      </c>
      <c r="G224" t="s">
        <v>311</v>
      </c>
      <c r="H224">
        <v>2000</v>
      </c>
      <c r="I224">
        <v>413</v>
      </c>
      <c r="J224">
        <v>826000</v>
      </c>
      <c r="K224" s="7" t="str">
        <f>IFERROR(IF(B224&lt;&gt;"", TEXT(VLOOKUP(B224, 'Expected Date'!A:B, 2, FALSE) + DATE(RIGHT(C224,2),MID(C224,4,2),LEFT(C224,2)), "dd/mm/yy"), ""), "")</f>
        <v>19/07/23</v>
      </c>
      <c r="L224" t="s">
        <v>38</v>
      </c>
      <c r="M224" t="s">
        <v>48</v>
      </c>
      <c r="N224" t="s">
        <v>299</v>
      </c>
      <c r="O224" t="s">
        <v>100</v>
      </c>
      <c r="P224">
        <v>23190747</v>
      </c>
      <c r="Q224" t="s">
        <v>310</v>
      </c>
      <c r="R224" t="s">
        <v>311</v>
      </c>
      <c r="S224">
        <v>2000</v>
      </c>
      <c r="T224">
        <v>413</v>
      </c>
      <c r="U224">
        <v>826000</v>
      </c>
      <c r="V224" t="str">
        <f t="shared" si="69"/>
        <v>Hyderabad</v>
      </c>
      <c r="W224" t="str">
        <f>VLOOKUP(B224, Currency!A:B, 2, FALSE)</f>
        <v>INR</v>
      </c>
      <c r="X224" t="str">
        <f t="shared" si="70"/>
        <v>Accepted</v>
      </c>
      <c r="Y224">
        <f>IFERROR(VLOOKUP(N224, Payment_Terms!A:B, 2, FALSE), "Payment term not found!")</f>
        <v>60</v>
      </c>
      <c r="Z224" t="str">
        <f>IFERROR(VLOOKUP(R224, Item_Category!A:B, 2, FALSE), "Uncategorized")</f>
        <v>CROSSCARMELLOSE SODIUM</v>
      </c>
      <c r="AA224" s="5">
        <f t="shared" si="56"/>
        <v>0</v>
      </c>
      <c r="AB224">
        <f t="shared" si="57"/>
        <v>5</v>
      </c>
      <c r="AC224" s="10">
        <f t="shared" si="58"/>
        <v>11</v>
      </c>
      <c r="AD224">
        <f t="shared" si="59"/>
        <v>1</v>
      </c>
      <c r="AE224" s="10">
        <f t="shared" si="60"/>
        <v>26</v>
      </c>
      <c r="AF224" s="5">
        <f t="shared" si="53"/>
        <v>1</v>
      </c>
      <c r="AG224" s="5">
        <f t="shared" si="54"/>
        <v>1</v>
      </c>
      <c r="AH224" s="5">
        <f t="shared" si="61"/>
        <v>0</v>
      </c>
      <c r="AI224">
        <f>IF(B224&lt;&gt;"", COUNTIFS($B$2:B224, B224), "")</f>
        <v>2</v>
      </c>
      <c r="AJ224">
        <f t="shared" si="62"/>
        <v>5</v>
      </c>
      <c r="AK224">
        <f t="shared" si="55"/>
        <v>4</v>
      </c>
      <c r="AL224">
        <f t="shared" si="63"/>
        <v>7</v>
      </c>
      <c r="AM224" t="str">
        <f t="shared" si="64"/>
        <v>July</v>
      </c>
      <c r="AN224">
        <f t="shared" si="65"/>
        <v>2023</v>
      </c>
      <c r="AO224" t="str">
        <f t="shared" si="66"/>
        <v>&gt;3</v>
      </c>
      <c r="AP224" t="str">
        <f t="shared" si="67"/>
        <v>&gt;3</v>
      </c>
      <c r="AQ224" t="str">
        <f t="shared" si="68"/>
        <v>&lt;=3</v>
      </c>
    </row>
    <row r="225" spans="1:43" x14ac:dyDescent="0.3">
      <c r="A225" t="s">
        <v>33</v>
      </c>
      <c r="B225" t="s">
        <v>44</v>
      </c>
      <c r="C225" t="s">
        <v>45</v>
      </c>
      <c r="D225">
        <v>2483</v>
      </c>
      <c r="E225">
        <v>23120047</v>
      </c>
      <c r="F225" t="s">
        <v>46</v>
      </c>
      <c r="G225" t="s">
        <v>47</v>
      </c>
      <c r="H225">
        <v>600</v>
      </c>
      <c r="I225">
        <v>70</v>
      </c>
      <c r="J225">
        <v>42000</v>
      </c>
      <c r="K225" s="7" t="str">
        <f>IFERROR(IF(B225&lt;&gt;"", TEXT(VLOOKUP(B225, 'Expected Date'!A:B, 2, FALSE) + DATE(RIGHT(C225,2),MID(C225,4,2),LEFT(C225,2)), "dd/mm/yy"), ""), "")</f>
        <v>22/06/23</v>
      </c>
      <c r="L225" t="s">
        <v>38</v>
      </c>
      <c r="M225" t="s">
        <v>48</v>
      </c>
      <c r="N225" t="s">
        <v>49</v>
      </c>
      <c r="O225" t="s">
        <v>198</v>
      </c>
      <c r="P225">
        <v>23190749</v>
      </c>
      <c r="Q225" t="s">
        <v>46</v>
      </c>
      <c r="R225" t="s">
        <v>47</v>
      </c>
      <c r="S225">
        <v>300</v>
      </c>
      <c r="T225">
        <v>70</v>
      </c>
      <c r="U225">
        <v>21000</v>
      </c>
      <c r="V225" t="str">
        <f t="shared" si="69"/>
        <v>Hyderabad</v>
      </c>
      <c r="W225" t="str">
        <f>VLOOKUP(B225, Currency!A:B, 2, FALSE)</f>
        <v>INR</v>
      </c>
      <c r="X225" t="str">
        <f t="shared" si="70"/>
        <v>Accepted</v>
      </c>
      <c r="Y225">
        <f>IFERROR(VLOOKUP(N225, Payment_Terms!A:B, 2, FALSE), "Payment term not found!")</f>
        <v>30</v>
      </c>
      <c r="Z225" t="str">
        <f>IFERROR(VLOOKUP(R225, Item_Category!A:B, 2, FALSE), "Uncategorized")</f>
        <v>Gas</v>
      </c>
      <c r="AA225" s="5">
        <f t="shared" si="56"/>
        <v>0</v>
      </c>
      <c r="AB225">
        <f t="shared" si="57"/>
        <v>5</v>
      </c>
      <c r="AC225" s="10">
        <f t="shared" si="58"/>
        <v>39</v>
      </c>
      <c r="AD225">
        <f t="shared" si="59"/>
        <v>1</v>
      </c>
      <c r="AE225" s="10">
        <f t="shared" si="60"/>
        <v>44</v>
      </c>
      <c r="AF225" s="5">
        <f t="shared" si="53"/>
        <v>1</v>
      </c>
      <c r="AG225" s="5">
        <f t="shared" si="54"/>
        <v>1</v>
      </c>
      <c r="AH225" s="5">
        <f t="shared" si="61"/>
        <v>0</v>
      </c>
      <c r="AI225">
        <f>IF(B225&lt;&gt;"", COUNTIFS($B$2:B225, B225), "")</f>
        <v>9</v>
      </c>
      <c r="AJ225">
        <f t="shared" si="62"/>
        <v>5</v>
      </c>
      <c r="AK225">
        <f t="shared" si="55"/>
        <v>4</v>
      </c>
      <c r="AL225">
        <f t="shared" si="63"/>
        <v>6</v>
      </c>
      <c r="AM225" t="str">
        <f t="shared" si="64"/>
        <v>June</v>
      </c>
      <c r="AN225">
        <f t="shared" si="65"/>
        <v>2023</v>
      </c>
      <c r="AO225" t="str">
        <f t="shared" si="66"/>
        <v>&gt;3</v>
      </c>
      <c r="AP225" t="str">
        <f t="shared" si="67"/>
        <v>&gt;3</v>
      </c>
      <c r="AQ225" t="str">
        <f t="shared" si="68"/>
        <v>&lt;=3</v>
      </c>
    </row>
    <row r="226" spans="1:43" x14ac:dyDescent="0.3">
      <c r="A226" t="str">
        <f>A202</f>
        <v>Woodpulp</v>
      </c>
      <c r="B226" t="s">
        <v>140</v>
      </c>
      <c r="C226" t="s">
        <v>249</v>
      </c>
      <c r="D226">
        <v>2554</v>
      </c>
      <c r="E226">
        <v>23120053</v>
      </c>
      <c r="F226" t="s">
        <v>142</v>
      </c>
      <c r="G226" t="s">
        <v>360</v>
      </c>
      <c r="H226">
        <v>83</v>
      </c>
      <c r="I226">
        <v>830</v>
      </c>
      <c r="J226">
        <v>5628313</v>
      </c>
      <c r="K226" s="7" t="str">
        <f>IFERROR(IF(B226&lt;&gt;"", TEXT(VLOOKUP(B226, 'Expected Date'!A:B, 2, FALSE) + DATE(RIGHT(C226,2),MID(C226,4,2),LEFT(C226,2)), "dd/mm/yy"), ""), "")</f>
        <v>05/08/23</v>
      </c>
      <c r="L226" t="s">
        <v>68</v>
      </c>
      <c r="M226" t="str">
        <f>M149</f>
        <v>MT</v>
      </c>
      <c r="N226" t="s">
        <v>190</v>
      </c>
      <c r="O226" t="s">
        <v>294</v>
      </c>
      <c r="P226">
        <v>23190983</v>
      </c>
      <c r="Q226" t="s">
        <v>142</v>
      </c>
      <c r="R226" t="s">
        <v>360</v>
      </c>
      <c r="S226">
        <v>79.585999999999999</v>
      </c>
      <c r="T226">
        <v>830</v>
      </c>
      <c r="U226">
        <v>5429834.4400000004</v>
      </c>
      <c r="V226" t="str">
        <f t="shared" si="69"/>
        <v>Hyderabad</v>
      </c>
      <c r="W226" t="str">
        <f>VLOOKUP(B226, Currency!A:B, 2, FALSE)</f>
        <v>USD</v>
      </c>
      <c r="X226" t="str">
        <f t="shared" si="70"/>
        <v>Accepted</v>
      </c>
      <c r="Y226">
        <f>IFERROR(VLOOKUP(N226, Payment_Terms!A:B, 2, FALSE), "Payment term not found!")</f>
        <v>0</v>
      </c>
      <c r="Z226" t="str">
        <f>IFERROR(VLOOKUP(R226, Item_Category!A:B, 2, FALSE), "Uncategorized")</f>
        <v>Wood pulp</v>
      </c>
      <c r="AA226" s="5">
        <f t="shared" si="56"/>
        <v>4.1132530120481944E-2</v>
      </c>
      <c r="AB226">
        <f t="shared" si="57"/>
        <v>3</v>
      </c>
      <c r="AC226" s="10">
        <f t="shared" si="58"/>
        <v>18</v>
      </c>
      <c r="AD226">
        <f t="shared" si="59"/>
        <v>1</v>
      </c>
      <c r="AE226" s="10">
        <f t="shared" si="60"/>
        <v>63</v>
      </c>
      <c r="AF226" s="5">
        <f t="shared" si="53"/>
        <v>1</v>
      </c>
      <c r="AG226" s="5">
        <f t="shared" si="54"/>
        <v>1</v>
      </c>
      <c r="AH226" s="5">
        <f t="shared" si="61"/>
        <v>0</v>
      </c>
      <c r="AI226">
        <f>IF(B226&lt;&gt;"", COUNTIFS($B$2:B226, B226), "")</f>
        <v>15</v>
      </c>
      <c r="AJ226">
        <f t="shared" si="62"/>
        <v>5</v>
      </c>
      <c r="AK226">
        <f t="shared" si="55"/>
        <v>4</v>
      </c>
      <c r="AL226">
        <f t="shared" si="63"/>
        <v>6</v>
      </c>
      <c r="AM226" t="str">
        <f t="shared" si="64"/>
        <v>June</v>
      </c>
      <c r="AN226">
        <f t="shared" si="65"/>
        <v>2023</v>
      </c>
      <c r="AO226" t="str">
        <f t="shared" si="66"/>
        <v>&gt;3</v>
      </c>
      <c r="AP226" t="str">
        <f t="shared" si="67"/>
        <v>&lt;=3</v>
      </c>
      <c r="AQ226" t="str">
        <f t="shared" si="68"/>
        <v>&lt;=3</v>
      </c>
    </row>
    <row r="227" spans="1:43" x14ac:dyDescent="0.3">
      <c r="A227" t="s">
        <v>33</v>
      </c>
      <c r="B227" t="s">
        <v>51</v>
      </c>
      <c r="C227" t="s">
        <v>60</v>
      </c>
      <c r="D227">
        <v>2658</v>
      </c>
      <c r="E227">
        <v>23120061</v>
      </c>
      <c r="F227" t="s">
        <v>61</v>
      </c>
      <c r="G227" t="s">
        <v>62</v>
      </c>
      <c r="H227">
        <v>183</v>
      </c>
      <c r="I227">
        <v>7368.3239999999996</v>
      </c>
      <c r="J227">
        <v>1348403.29</v>
      </c>
      <c r="K227" s="7" t="str">
        <f>IFERROR(IF(B227&lt;&gt;"", TEXT(VLOOKUP(B227, 'Expected Date'!A:B, 2, FALSE) + DATE(RIGHT(C227,2),MID(C227,4,2),LEFT(C227,2)), "dd/mm/yy"), ""), "")</f>
        <v>16/07/23</v>
      </c>
      <c r="L227" t="s">
        <v>38</v>
      </c>
      <c r="M227" t="s">
        <v>48</v>
      </c>
      <c r="N227" t="s">
        <v>55</v>
      </c>
      <c r="O227" t="s">
        <v>324</v>
      </c>
      <c r="P227">
        <v>23190491</v>
      </c>
      <c r="Q227" t="s">
        <v>61</v>
      </c>
      <c r="R227" t="s">
        <v>62</v>
      </c>
      <c r="S227">
        <v>20</v>
      </c>
      <c r="T227">
        <v>7368.3239999999996</v>
      </c>
      <c r="U227">
        <v>147366.48000000001</v>
      </c>
      <c r="V227" t="str">
        <f t="shared" si="69"/>
        <v>Hyderabad</v>
      </c>
      <c r="W227" t="str">
        <f>VLOOKUP(B227, Currency!A:B, 2, FALSE)</f>
        <v>INR</v>
      </c>
      <c r="X227" t="str">
        <f t="shared" si="70"/>
        <v>Accepted</v>
      </c>
      <c r="Y227">
        <f>IFERROR(VLOOKUP(N227, Payment_Terms!A:B, 2, FALSE), "Payment term not found!")</f>
        <v>0</v>
      </c>
      <c r="Z227" t="str">
        <f>IFERROR(VLOOKUP(R227, Item_Category!A:B, 2, FALSE), "Uncategorized")</f>
        <v>Coal materials</v>
      </c>
      <c r="AA227" s="5">
        <f t="shared" si="56"/>
        <v>0</v>
      </c>
      <c r="AB227">
        <f t="shared" si="57"/>
        <v>5</v>
      </c>
      <c r="AC227" s="10">
        <f t="shared" si="58"/>
        <v>-26</v>
      </c>
      <c r="AD227">
        <f t="shared" si="59"/>
        <v>5</v>
      </c>
      <c r="AE227" s="10">
        <f t="shared" si="60"/>
        <v>6</v>
      </c>
      <c r="AF227" s="5">
        <f t="shared" si="53"/>
        <v>1</v>
      </c>
      <c r="AG227" s="5">
        <f t="shared" si="54"/>
        <v>1</v>
      </c>
      <c r="AH227" s="5">
        <f t="shared" si="61"/>
        <v>0</v>
      </c>
      <c r="AI227">
        <f>IF(B227&lt;&gt;"", COUNTIFS($B$2:B227, B227), "")</f>
        <v>65</v>
      </c>
      <c r="AJ227">
        <f t="shared" si="62"/>
        <v>5</v>
      </c>
      <c r="AK227">
        <f t="shared" si="55"/>
        <v>5</v>
      </c>
      <c r="AL227">
        <f t="shared" si="63"/>
        <v>6</v>
      </c>
      <c r="AM227" t="str">
        <f t="shared" si="64"/>
        <v>June</v>
      </c>
      <c r="AN227">
        <f t="shared" si="65"/>
        <v>2023</v>
      </c>
      <c r="AO227" t="str">
        <f t="shared" si="66"/>
        <v>&gt;3</v>
      </c>
      <c r="AP227" t="str">
        <f t="shared" si="67"/>
        <v>&gt;3</v>
      </c>
      <c r="AQ227" t="str">
        <f t="shared" si="68"/>
        <v>&gt;3</v>
      </c>
    </row>
    <row r="228" spans="1:43" x14ac:dyDescent="0.3">
      <c r="A228" t="s">
        <v>33</v>
      </c>
      <c r="B228" t="s">
        <v>51</v>
      </c>
      <c r="C228" t="s">
        <v>60</v>
      </c>
      <c r="D228">
        <v>2658</v>
      </c>
      <c r="E228">
        <v>23120061</v>
      </c>
      <c r="F228" t="s">
        <v>61</v>
      </c>
      <c r="G228" t="s">
        <v>62</v>
      </c>
      <c r="H228">
        <v>183</v>
      </c>
      <c r="I228">
        <v>7368.3239999999996</v>
      </c>
      <c r="J228">
        <v>1348403.29</v>
      </c>
      <c r="K228" s="7" t="str">
        <f>IFERROR(IF(B228&lt;&gt;"", TEXT(VLOOKUP(B228, 'Expected Date'!A:B, 2, FALSE) + DATE(RIGHT(C228,2),MID(C228,4,2),LEFT(C228,2)), "dd/mm/yy"), ""), "")</f>
        <v>16/07/23</v>
      </c>
      <c r="L228" t="s">
        <v>38</v>
      </c>
      <c r="M228" t="s">
        <v>48</v>
      </c>
      <c r="N228" t="s">
        <v>55</v>
      </c>
      <c r="O228" t="s">
        <v>324</v>
      </c>
      <c r="P228">
        <v>23190492</v>
      </c>
      <c r="Q228" t="s">
        <v>61</v>
      </c>
      <c r="R228" t="s">
        <v>62</v>
      </c>
      <c r="S228">
        <v>20</v>
      </c>
      <c r="T228">
        <v>7368.3239999999996</v>
      </c>
      <c r="U228">
        <v>147366.48000000001</v>
      </c>
      <c r="V228" t="str">
        <f t="shared" si="69"/>
        <v>Hyderabad</v>
      </c>
      <c r="W228" t="str">
        <f>VLOOKUP(B228, Currency!A:B, 2, FALSE)</f>
        <v>INR</v>
      </c>
      <c r="X228" t="str">
        <f t="shared" si="70"/>
        <v>Accepted</v>
      </c>
      <c r="Y228">
        <f>IFERROR(VLOOKUP(N228, Payment_Terms!A:B, 2, FALSE), "Payment term not found!")</f>
        <v>0</v>
      </c>
      <c r="Z228" t="str">
        <f>IFERROR(VLOOKUP(R228, Item_Category!A:B, 2, FALSE), "Uncategorized")</f>
        <v>Coal materials</v>
      </c>
      <c r="AA228" s="5">
        <f t="shared" si="56"/>
        <v>0</v>
      </c>
      <c r="AB228">
        <f t="shared" si="57"/>
        <v>5</v>
      </c>
      <c r="AC228" s="10">
        <f t="shared" si="58"/>
        <v>-26</v>
      </c>
      <c r="AD228">
        <f t="shared" si="59"/>
        <v>5</v>
      </c>
      <c r="AE228" s="10">
        <f t="shared" si="60"/>
        <v>6</v>
      </c>
      <c r="AF228" s="5">
        <f t="shared" si="53"/>
        <v>1</v>
      </c>
      <c r="AG228" s="5">
        <f t="shared" si="54"/>
        <v>1</v>
      </c>
      <c r="AH228" s="5">
        <f t="shared" si="61"/>
        <v>0</v>
      </c>
      <c r="AI228">
        <f>IF(B228&lt;&gt;"", COUNTIFS($B$2:B228, B228), "")</f>
        <v>66</v>
      </c>
      <c r="AJ228">
        <f t="shared" si="62"/>
        <v>5</v>
      </c>
      <c r="AK228">
        <f t="shared" si="55"/>
        <v>5</v>
      </c>
      <c r="AL228">
        <f t="shared" si="63"/>
        <v>6</v>
      </c>
      <c r="AM228" t="str">
        <f t="shared" si="64"/>
        <v>June</v>
      </c>
      <c r="AN228">
        <f t="shared" si="65"/>
        <v>2023</v>
      </c>
      <c r="AO228" t="str">
        <f t="shared" si="66"/>
        <v>&gt;3</v>
      </c>
      <c r="AP228" t="str">
        <f t="shared" si="67"/>
        <v>&gt;3</v>
      </c>
      <c r="AQ228" t="str">
        <f t="shared" si="68"/>
        <v>&gt;3</v>
      </c>
    </row>
    <row r="229" spans="1:43" x14ac:dyDescent="0.3">
      <c r="A229" t="s">
        <v>33</v>
      </c>
      <c r="B229" t="s">
        <v>51</v>
      </c>
      <c r="C229" t="s">
        <v>60</v>
      </c>
      <c r="D229">
        <v>2658</v>
      </c>
      <c r="E229">
        <v>23120061</v>
      </c>
      <c r="F229" t="s">
        <v>61</v>
      </c>
      <c r="G229" t="s">
        <v>62</v>
      </c>
      <c r="H229">
        <v>183</v>
      </c>
      <c r="I229">
        <v>7368.3239999999996</v>
      </c>
      <c r="J229">
        <v>1348403.29</v>
      </c>
      <c r="K229" s="7" t="str">
        <f>IFERROR(IF(B229&lt;&gt;"", TEXT(VLOOKUP(B229, 'Expected Date'!A:B, 2, FALSE) + DATE(RIGHT(C229,2),MID(C229,4,2),LEFT(C229,2)), "dd/mm/yy"), ""), "")</f>
        <v>16/07/23</v>
      </c>
      <c r="L229" t="s">
        <v>38</v>
      </c>
      <c r="M229" t="s">
        <v>48</v>
      </c>
      <c r="N229" t="s">
        <v>55</v>
      </c>
      <c r="O229" t="s">
        <v>249</v>
      </c>
      <c r="P229">
        <v>23190493</v>
      </c>
      <c r="Q229" t="s">
        <v>61</v>
      </c>
      <c r="R229" t="s">
        <v>62</v>
      </c>
      <c r="S229">
        <v>20</v>
      </c>
      <c r="T229">
        <v>7368.3239999999996</v>
      </c>
      <c r="U229">
        <v>147366.48000000001</v>
      </c>
      <c r="V229" t="str">
        <f t="shared" si="69"/>
        <v>Hyderabad</v>
      </c>
      <c r="W229" t="str">
        <f>VLOOKUP(B229, Currency!A:B, 2, FALSE)</f>
        <v>INR</v>
      </c>
      <c r="X229" t="str">
        <f t="shared" si="70"/>
        <v>Accepted</v>
      </c>
      <c r="Y229">
        <f>IFERROR(VLOOKUP(N229, Payment_Terms!A:B, 2, FALSE), "Payment term not found!")</f>
        <v>0</v>
      </c>
      <c r="Z229" t="str">
        <f>IFERROR(VLOOKUP(R229, Item_Category!A:B, 2, FALSE), "Uncategorized")</f>
        <v>Coal materials</v>
      </c>
      <c r="AA229" s="5">
        <f t="shared" si="56"/>
        <v>0</v>
      </c>
      <c r="AB229">
        <f t="shared" si="57"/>
        <v>5</v>
      </c>
      <c r="AC229" s="10">
        <f t="shared" si="58"/>
        <v>-25</v>
      </c>
      <c r="AD229">
        <f t="shared" si="59"/>
        <v>5</v>
      </c>
      <c r="AE229" s="10">
        <f t="shared" si="60"/>
        <v>5</v>
      </c>
      <c r="AF229" s="5">
        <f t="shared" si="53"/>
        <v>1</v>
      </c>
      <c r="AG229" s="5">
        <f t="shared" si="54"/>
        <v>1</v>
      </c>
      <c r="AH229" s="5">
        <f t="shared" si="61"/>
        <v>0</v>
      </c>
      <c r="AI229">
        <f>IF(B229&lt;&gt;"", COUNTIFS($B$2:B229, B229), "")</f>
        <v>67</v>
      </c>
      <c r="AJ229">
        <f t="shared" si="62"/>
        <v>5</v>
      </c>
      <c r="AK229">
        <f t="shared" si="55"/>
        <v>5</v>
      </c>
      <c r="AL229">
        <f t="shared" si="63"/>
        <v>6</v>
      </c>
      <c r="AM229" t="str">
        <f t="shared" si="64"/>
        <v>June</v>
      </c>
      <c r="AN229">
        <f t="shared" si="65"/>
        <v>2023</v>
      </c>
      <c r="AO229" t="str">
        <f t="shared" si="66"/>
        <v>&gt;3</v>
      </c>
      <c r="AP229" t="str">
        <f t="shared" si="67"/>
        <v>&gt;3</v>
      </c>
      <c r="AQ229" t="str">
        <f t="shared" si="68"/>
        <v>&gt;3</v>
      </c>
    </row>
    <row r="230" spans="1:43" x14ac:dyDescent="0.3">
      <c r="A230" t="s">
        <v>33</v>
      </c>
      <c r="B230" t="s">
        <v>51</v>
      </c>
      <c r="C230" t="s">
        <v>60</v>
      </c>
      <c r="D230">
        <v>2658</v>
      </c>
      <c r="E230">
        <v>23120061</v>
      </c>
      <c r="F230" t="s">
        <v>61</v>
      </c>
      <c r="G230" t="s">
        <v>62</v>
      </c>
      <c r="H230">
        <v>183</v>
      </c>
      <c r="I230">
        <v>7368.3239999999996</v>
      </c>
      <c r="J230">
        <v>1348403.29</v>
      </c>
      <c r="K230" s="7" t="str">
        <f>IFERROR(IF(B230&lt;&gt;"", TEXT(VLOOKUP(B230, 'Expected Date'!A:B, 2, FALSE) + DATE(RIGHT(C230,2),MID(C230,4,2),LEFT(C230,2)), "dd/mm/yy"), ""), "")</f>
        <v>16/07/23</v>
      </c>
      <c r="L230" t="s">
        <v>38</v>
      </c>
      <c r="M230" t="s">
        <v>48</v>
      </c>
      <c r="N230" t="s">
        <v>55</v>
      </c>
      <c r="O230" t="s">
        <v>249</v>
      </c>
      <c r="P230">
        <v>23190494</v>
      </c>
      <c r="Q230" t="s">
        <v>61</v>
      </c>
      <c r="R230" t="s">
        <v>62</v>
      </c>
      <c r="S230">
        <v>20</v>
      </c>
      <c r="T230">
        <v>7368.3239999999996</v>
      </c>
      <c r="U230">
        <v>147366.48000000001</v>
      </c>
      <c r="V230" t="str">
        <f t="shared" si="69"/>
        <v>Hyderabad</v>
      </c>
      <c r="W230" t="str">
        <f>VLOOKUP(B230, Currency!A:B, 2, FALSE)</f>
        <v>INR</v>
      </c>
      <c r="X230" t="str">
        <f t="shared" si="70"/>
        <v>Accepted</v>
      </c>
      <c r="Y230">
        <f>IFERROR(VLOOKUP(N230, Payment_Terms!A:B, 2, FALSE), "Payment term not found!")</f>
        <v>0</v>
      </c>
      <c r="Z230" t="str">
        <f>IFERROR(VLOOKUP(R230, Item_Category!A:B, 2, FALSE), "Uncategorized")</f>
        <v>Coal materials</v>
      </c>
      <c r="AA230" s="5">
        <f t="shared" si="56"/>
        <v>0</v>
      </c>
      <c r="AB230">
        <f t="shared" si="57"/>
        <v>5</v>
      </c>
      <c r="AC230" s="10">
        <f t="shared" si="58"/>
        <v>-25</v>
      </c>
      <c r="AD230">
        <f t="shared" si="59"/>
        <v>5</v>
      </c>
      <c r="AE230" s="10">
        <f t="shared" si="60"/>
        <v>5</v>
      </c>
      <c r="AF230" s="5">
        <f t="shared" si="53"/>
        <v>1</v>
      </c>
      <c r="AG230" s="5">
        <f t="shared" si="54"/>
        <v>1</v>
      </c>
      <c r="AH230" s="5">
        <f t="shared" si="61"/>
        <v>0</v>
      </c>
      <c r="AI230">
        <f>IF(B230&lt;&gt;"", COUNTIFS($B$2:B230, B230), "")</f>
        <v>68</v>
      </c>
      <c r="AJ230">
        <f t="shared" si="62"/>
        <v>5</v>
      </c>
      <c r="AK230">
        <f t="shared" si="55"/>
        <v>5</v>
      </c>
      <c r="AL230">
        <f t="shared" si="63"/>
        <v>6</v>
      </c>
      <c r="AM230" t="str">
        <f t="shared" si="64"/>
        <v>June</v>
      </c>
      <c r="AN230">
        <f t="shared" si="65"/>
        <v>2023</v>
      </c>
      <c r="AO230" t="str">
        <f t="shared" si="66"/>
        <v>&gt;3</v>
      </c>
      <c r="AP230" t="str">
        <f t="shared" si="67"/>
        <v>&gt;3</v>
      </c>
      <c r="AQ230" t="str">
        <f t="shared" si="68"/>
        <v>&gt;3</v>
      </c>
    </row>
    <row r="231" spans="1:43" x14ac:dyDescent="0.3">
      <c r="A231" t="s">
        <v>33</v>
      </c>
      <c r="B231" t="s">
        <v>51</v>
      </c>
      <c r="C231" t="s">
        <v>60</v>
      </c>
      <c r="D231">
        <v>2658</v>
      </c>
      <c r="E231">
        <v>23120061</v>
      </c>
      <c r="F231" t="s">
        <v>61</v>
      </c>
      <c r="G231" t="s">
        <v>62</v>
      </c>
      <c r="H231">
        <v>183</v>
      </c>
      <c r="I231">
        <v>7368.3239999999996</v>
      </c>
      <c r="J231">
        <v>1348403.29</v>
      </c>
      <c r="K231" s="7" t="str">
        <f>IFERROR(IF(B231&lt;&gt;"", TEXT(VLOOKUP(B231, 'Expected Date'!A:B, 2, FALSE) + DATE(RIGHT(C231,2),MID(C231,4,2),LEFT(C231,2)), "dd/mm/yy"), ""), "")</f>
        <v>16/07/23</v>
      </c>
      <c r="L231" t="s">
        <v>38</v>
      </c>
      <c r="M231" t="s">
        <v>48</v>
      </c>
      <c r="N231" t="s">
        <v>55</v>
      </c>
      <c r="O231" t="s">
        <v>71</v>
      </c>
      <c r="P231">
        <v>23190495</v>
      </c>
      <c r="Q231" t="s">
        <v>61</v>
      </c>
      <c r="R231" t="s">
        <v>62</v>
      </c>
      <c r="S231">
        <v>21</v>
      </c>
      <c r="T231">
        <v>7368.3239999999996</v>
      </c>
      <c r="U231">
        <v>154734.79999999999</v>
      </c>
      <c r="V231" t="str">
        <f t="shared" si="69"/>
        <v>Hyderabad</v>
      </c>
      <c r="W231" t="str">
        <f>VLOOKUP(B231, Currency!A:B, 2, FALSE)</f>
        <v>INR</v>
      </c>
      <c r="X231" t="str">
        <f t="shared" si="70"/>
        <v>Accepted</v>
      </c>
      <c r="Y231">
        <f>IFERROR(VLOOKUP(N231, Payment_Terms!A:B, 2, FALSE), "Payment term not found!")</f>
        <v>0</v>
      </c>
      <c r="Z231" t="str">
        <f>IFERROR(VLOOKUP(R231, Item_Category!A:B, 2, FALSE), "Uncategorized")</f>
        <v>Coal materials</v>
      </c>
      <c r="AA231" s="5">
        <f t="shared" si="56"/>
        <v>0</v>
      </c>
      <c r="AB231">
        <f t="shared" si="57"/>
        <v>5</v>
      </c>
      <c r="AC231" s="10">
        <f t="shared" si="58"/>
        <v>-24</v>
      </c>
      <c r="AD231">
        <f t="shared" si="59"/>
        <v>5</v>
      </c>
      <c r="AE231" s="10">
        <f t="shared" si="60"/>
        <v>4</v>
      </c>
      <c r="AF231" s="5">
        <f t="shared" si="53"/>
        <v>1</v>
      </c>
      <c r="AG231" s="5">
        <f t="shared" si="54"/>
        <v>1</v>
      </c>
      <c r="AH231" s="5">
        <f t="shared" si="61"/>
        <v>0</v>
      </c>
      <c r="AI231">
        <f>IF(B231&lt;&gt;"", COUNTIFS($B$2:B231, B231), "")</f>
        <v>69</v>
      </c>
      <c r="AJ231">
        <f t="shared" si="62"/>
        <v>5</v>
      </c>
      <c r="AK231">
        <f t="shared" si="55"/>
        <v>5</v>
      </c>
      <c r="AL231">
        <f t="shared" si="63"/>
        <v>6</v>
      </c>
      <c r="AM231" t="str">
        <f t="shared" si="64"/>
        <v>June</v>
      </c>
      <c r="AN231">
        <f t="shared" si="65"/>
        <v>2023</v>
      </c>
      <c r="AO231" t="str">
        <f t="shared" si="66"/>
        <v>&gt;3</v>
      </c>
      <c r="AP231" t="str">
        <f t="shared" si="67"/>
        <v>&gt;3</v>
      </c>
      <c r="AQ231" t="str">
        <f t="shared" si="68"/>
        <v>&gt;3</v>
      </c>
    </row>
    <row r="232" spans="1:43" x14ac:dyDescent="0.3">
      <c r="A232" t="s">
        <v>33</v>
      </c>
      <c r="B232" t="s">
        <v>51</v>
      </c>
      <c r="C232" t="s">
        <v>60</v>
      </c>
      <c r="D232">
        <v>2658</v>
      </c>
      <c r="E232">
        <v>23120061</v>
      </c>
      <c r="F232" t="s">
        <v>61</v>
      </c>
      <c r="G232" t="s">
        <v>62</v>
      </c>
      <c r="H232">
        <v>183</v>
      </c>
      <c r="I232">
        <v>7368.3239999999996</v>
      </c>
      <c r="J232">
        <v>1348403.29</v>
      </c>
      <c r="K232" s="7" t="str">
        <f>IFERROR(IF(B232&lt;&gt;"", TEXT(VLOOKUP(B232, 'Expected Date'!A:B, 2, FALSE) + DATE(RIGHT(C232,2),MID(C232,4,2),LEFT(C232,2)), "dd/mm/yy"), ""), "")</f>
        <v>16/07/23</v>
      </c>
      <c r="L232" t="s">
        <v>38</v>
      </c>
      <c r="M232" t="s">
        <v>48</v>
      </c>
      <c r="N232" t="s">
        <v>55</v>
      </c>
      <c r="O232" t="s">
        <v>71</v>
      </c>
      <c r="P232">
        <v>23190496</v>
      </c>
      <c r="Q232" t="s">
        <v>61</v>
      </c>
      <c r="R232" t="s">
        <v>62</v>
      </c>
      <c r="S232">
        <v>21</v>
      </c>
      <c r="T232">
        <v>7368.3239999999996</v>
      </c>
      <c r="U232">
        <v>154734.79999999999</v>
      </c>
      <c r="V232" t="str">
        <f t="shared" si="69"/>
        <v>Hyderabad</v>
      </c>
      <c r="W232" t="str">
        <f>VLOOKUP(B232, Currency!A:B, 2, FALSE)</f>
        <v>INR</v>
      </c>
      <c r="X232" t="str">
        <f t="shared" si="70"/>
        <v>Accepted</v>
      </c>
      <c r="Y232">
        <f>IFERROR(VLOOKUP(N232, Payment_Terms!A:B, 2, FALSE), "Payment term not found!")</f>
        <v>0</v>
      </c>
      <c r="Z232" t="str">
        <f>IFERROR(VLOOKUP(R232, Item_Category!A:B, 2, FALSE), "Uncategorized")</f>
        <v>Coal materials</v>
      </c>
      <c r="AA232" s="5">
        <f t="shared" si="56"/>
        <v>0</v>
      </c>
      <c r="AB232">
        <f t="shared" si="57"/>
        <v>5</v>
      </c>
      <c r="AC232" s="10">
        <f t="shared" si="58"/>
        <v>-24</v>
      </c>
      <c r="AD232">
        <f t="shared" si="59"/>
        <v>5</v>
      </c>
      <c r="AE232" s="10">
        <f t="shared" si="60"/>
        <v>4</v>
      </c>
      <c r="AF232" s="5">
        <f t="shared" si="53"/>
        <v>1</v>
      </c>
      <c r="AG232" s="5">
        <f t="shared" si="54"/>
        <v>1</v>
      </c>
      <c r="AH232" s="5">
        <f t="shared" si="61"/>
        <v>0</v>
      </c>
      <c r="AI232">
        <f>IF(B232&lt;&gt;"", COUNTIFS($B$2:B232, B232), "")</f>
        <v>70</v>
      </c>
      <c r="AJ232">
        <f t="shared" si="62"/>
        <v>5</v>
      </c>
      <c r="AK232">
        <f t="shared" si="55"/>
        <v>5</v>
      </c>
      <c r="AL232">
        <f t="shared" si="63"/>
        <v>6</v>
      </c>
      <c r="AM232" t="str">
        <f t="shared" si="64"/>
        <v>June</v>
      </c>
      <c r="AN232">
        <f t="shared" si="65"/>
        <v>2023</v>
      </c>
      <c r="AO232" t="str">
        <f t="shared" si="66"/>
        <v>&gt;3</v>
      </c>
      <c r="AP232" t="str">
        <f t="shared" si="67"/>
        <v>&gt;3</v>
      </c>
      <c r="AQ232" t="str">
        <f t="shared" si="68"/>
        <v>&gt;3</v>
      </c>
    </row>
    <row r="233" spans="1:43" x14ac:dyDescent="0.3">
      <c r="A233" t="s">
        <v>33</v>
      </c>
      <c r="B233" t="s">
        <v>44</v>
      </c>
      <c r="C233" t="s">
        <v>202</v>
      </c>
      <c r="D233">
        <v>3635</v>
      </c>
      <c r="E233">
        <v>23120098</v>
      </c>
      <c r="F233" t="s">
        <v>46</v>
      </c>
      <c r="G233" t="s">
        <v>47</v>
      </c>
      <c r="H233">
        <v>600</v>
      </c>
      <c r="I233">
        <v>65</v>
      </c>
      <c r="J233">
        <v>39000</v>
      </c>
      <c r="K233" s="7" t="str">
        <f>IFERROR(IF(B233&lt;&gt;"", TEXT(VLOOKUP(B233, 'Expected Date'!A:B, 2, FALSE) + DATE(RIGHT(C233,2),MID(C233,4,2),LEFT(C233,2)), "dd/mm/yy"), ""), "")</f>
        <v>14/08/23</v>
      </c>
      <c r="L233" t="s">
        <v>38</v>
      </c>
      <c r="M233" t="s">
        <v>48</v>
      </c>
      <c r="N233" t="s">
        <v>49</v>
      </c>
      <c r="O233" t="s">
        <v>163</v>
      </c>
      <c r="P233">
        <v>23190986</v>
      </c>
      <c r="Q233" t="s">
        <v>46</v>
      </c>
      <c r="R233" t="s">
        <v>47</v>
      </c>
      <c r="S233">
        <v>300</v>
      </c>
      <c r="T233">
        <v>65</v>
      </c>
      <c r="U233">
        <v>19500</v>
      </c>
      <c r="V233" t="str">
        <f t="shared" si="69"/>
        <v>Hyderabad</v>
      </c>
      <c r="W233" t="str">
        <f>VLOOKUP(B233, Currency!A:B, 2, FALSE)</f>
        <v>INR</v>
      </c>
      <c r="X233" t="str">
        <f t="shared" si="70"/>
        <v>Accepted</v>
      </c>
      <c r="Y233">
        <f>IFERROR(VLOOKUP(N233, Payment_Terms!A:B, 2, FALSE), "Payment term not found!")</f>
        <v>30</v>
      </c>
      <c r="Z233" t="str">
        <f>IFERROR(VLOOKUP(R233, Item_Category!A:B, 2, FALSE), "Uncategorized")</f>
        <v>Gas</v>
      </c>
      <c r="AA233" s="5">
        <f t="shared" si="56"/>
        <v>0</v>
      </c>
      <c r="AB233">
        <f t="shared" si="57"/>
        <v>5</v>
      </c>
      <c r="AC233" s="10">
        <f t="shared" si="58"/>
        <v>16</v>
      </c>
      <c r="AD233">
        <f t="shared" si="59"/>
        <v>1</v>
      </c>
      <c r="AE233" s="10">
        <f t="shared" si="60"/>
        <v>21</v>
      </c>
      <c r="AF233" s="5">
        <f t="shared" si="53"/>
        <v>1</v>
      </c>
      <c r="AG233" s="5">
        <f t="shared" si="54"/>
        <v>1</v>
      </c>
      <c r="AH233" s="5">
        <f t="shared" si="61"/>
        <v>0</v>
      </c>
      <c r="AI233">
        <f>IF(B233&lt;&gt;"", COUNTIFS($B$2:B233, B233), "")</f>
        <v>10</v>
      </c>
      <c r="AJ233">
        <f t="shared" si="62"/>
        <v>5</v>
      </c>
      <c r="AK233">
        <f t="shared" si="55"/>
        <v>4</v>
      </c>
      <c r="AL233">
        <f t="shared" si="63"/>
        <v>8</v>
      </c>
      <c r="AM233" t="str">
        <f t="shared" si="64"/>
        <v>August</v>
      </c>
      <c r="AN233">
        <f t="shared" si="65"/>
        <v>2023</v>
      </c>
      <c r="AO233" t="str">
        <f t="shared" si="66"/>
        <v>&gt;3</v>
      </c>
      <c r="AP233" t="str">
        <f t="shared" si="67"/>
        <v>&gt;3</v>
      </c>
      <c r="AQ233" t="str">
        <f t="shared" si="68"/>
        <v>&lt;=3</v>
      </c>
    </row>
    <row r="234" spans="1:43" x14ac:dyDescent="0.3">
      <c r="A234" t="s">
        <v>33</v>
      </c>
      <c r="B234" t="s">
        <v>147</v>
      </c>
      <c r="C234" t="s">
        <v>45</v>
      </c>
      <c r="D234">
        <v>2484</v>
      </c>
      <c r="E234">
        <v>23120048</v>
      </c>
      <c r="F234" t="s">
        <v>148</v>
      </c>
      <c r="G234" t="s">
        <v>149</v>
      </c>
      <c r="H234">
        <v>1500</v>
      </c>
      <c r="I234">
        <v>225</v>
      </c>
      <c r="J234">
        <v>337500</v>
      </c>
      <c r="K234" s="7" t="str">
        <f>IFERROR(IF(B234&lt;&gt;"", TEXT(VLOOKUP(B234, 'Expected Date'!A:B, 2, FALSE) + DATE(RIGHT(C234,2),MID(C234,4,2),LEFT(C234,2)), "dd/mm/yy"), ""), "")</f>
        <v>27/06/23</v>
      </c>
      <c r="L234" t="s">
        <v>38</v>
      </c>
      <c r="M234" t="s">
        <v>39</v>
      </c>
      <c r="N234" t="s">
        <v>49</v>
      </c>
      <c r="O234" t="s">
        <v>163</v>
      </c>
      <c r="P234">
        <v>23190990</v>
      </c>
      <c r="Q234" t="s">
        <v>148</v>
      </c>
      <c r="R234" t="s">
        <v>149</v>
      </c>
      <c r="S234">
        <v>513</v>
      </c>
      <c r="T234">
        <v>225</v>
      </c>
      <c r="U234">
        <v>115425</v>
      </c>
      <c r="V234" t="str">
        <f t="shared" si="69"/>
        <v>Hyderabad</v>
      </c>
      <c r="W234" t="str">
        <f>VLOOKUP(B234, Currency!A:B, 2, FALSE)</f>
        <v>INR</v>
      </c>
      <c r="X234" t="str">
        <f t="shared" si="70"/>
        <v>Accepted</v>
      </c>
      <c r="Y234">
        <f>IFERROR(VLOOKUP(N234, Payment_Terms!A:B, 2, FALSE), "Payment term not found!")</f>
        <v>30</v>
      </c>
      <c r="Z234" t="str">
        <f>IFERROR(VLOOKUP(R234, Item_Category!A:B, 2, FALSE), "Uncategorized")</f>
        <v>Fibre drum</v>
      </c>
      <c r="AA234" s="5">
        <f t="shared" si="56"/>
        <v>0</v>
      </c>
      <c r="AB234">
        <f t="shared" si="57"/>
        <v>5</v>
      </c>
      <c r="AC234" s="10">
        <f t="shared" si="58"/>
        <v>64</v>
      </c>
      <c r="AD234">
        <f t="shared" si="59"/>
        <v>1</v>
      </c>
      <c r="AE234" s="10">
        <f t="shared" si="60"/>
        <v>74</v>
      </c>
      <c r="AF234" s="5">
        <f t="shared" si="53"/>
        <v>1</v>
      </c>
      <c r="AG234" s="5">
        <f t="shared" si="54"/>
        <v>1</v>
      </c>
      <c r="AH234" s="5">
        <f t="shared" si="61"/>
        <v>0</v>
      </c>
      <c r="AI234">
        <f>IF(B234&lt;&gt;"", COUNTIFS($B$2:B234, B234), "")</f>
        <v>7</v>
      </c>
      <c r="AJ234">
        <f t="shared" si="62"/>
        <v>5</v>
      </c>
      <c r="AK234">
        <f t="shared" si="55"/>
        <v>4</v>
      </c>
      <c r="AL234">
        <f t="shared" si="63"/>
        <v>6</v>
      </c>
      <c r="AM234" t="str">
        <f t="shared" si="64"/>
        <v>June</v>
      </c>
      <c r="AN234">
        <f t="shared" si="65"/>
        <v>2023</v>
      </c>
      <c r="AO234" t="str">
        <f t="shared" si="66"/>
        <v>&gt;3</v>
      </c>
      <c r="AP234" t="str">
        <f t="shared" si="67"/>
        <v>&gt;3</v>
      </c>
      <c r="AQ234" t="str">
        <f t="shared" si="68"/>
        <v>&lt;=3</v>
      </c>
    </row>
    <row r="235" spans="1:43" x14ac:dyDescent="0.3">
      <c r="A235" t="s">
        <v>33</v>
      </c>
      <c r="B235" t="s">
        <v>107</v>
      </c>
      <c r="C235" t="s">
        <v>228</v>
      </c>
      <c r="D235">
        <v>4550</v>
      </c>
      <c r="E235">
        <v>23120127</v>
      </c>
      <c r="F235" t="s">
        <v>212</v>
      </c>
      <c r="G235" t="s">
        <v>213</v>
      </c>
      <c r="H235">
        <v>2000</v>
      </c>
      <c r="I235">
        <v>33.75</v>
      </c>
      <c r="J235">
        <v>67500</v>
      </c>
      <c r="K235" s="7" t="str">
        <f>IFERROR(IF(B235&lt;&gt;"", TEXT(VLOOKUP(B235, 'Expected Date'!A:B, 2, FALSE) + DATE(RIGHT(C235,2),MID(C235,4,2),LEFT(C235,2)), "dd/mm/yy"), ""), "")</f>
        <v>02/10/23</v>
      </c>
      <c r="L235" t="s">
        <v>38</v>
      </c>
      <c r="M235" t="s">
        <v>39</v>
      </c>
      <c r="N235" t="s">
        <v>109</v>
      </c>
      <c r="O235" t="s">
        <v>325</v>
      </c>
      <c r="P235">
        <v>23191353</v>
      </c>
      <c r="Q235" t="s">
        <v>212</v>
      </c>
      <c r="R235" t="s">
        <v>213</v>
      </c>
      <c r="S235">
        <v>2000</v>
      </c>
      <c r="T235">
        <v>33.75</v>
      </c>
      <c r="U235">
        <v>67500</v>
      </c>
      <c r="V235" t="str">
        <f t="shared" si="69"/>
        <v>Hyderabad</v>
      </c>
      <c r="W235" t="str">
        <f>VLOOKUP(B235, Currency!A:B, 2, FALSE)</f>
        <v>INR</v>
      </c>
      <c r="X235" t="str">
        <f t="shared" si="70"/>
        <v>Accepted</v>
      </c>
      <c r="Y235">
        <f>IFERROR(VLOOKUP(N235, Payment_Terms!A:B, 2, FALSE), "Payment term not found!")</f>
        <v>0</v>
      </c>
      <c r="Z235" t="str">
        <f>IFERROR(VLOOKUP(R235, Item_Category!A:B, 2, FALSE), "Uncategorized")</f>
        <v>Bags</v>
      </c>
      <c r="AA235" s="5">
        <f t="shared" si="56"/>
        <v>0</v>
      </c>
      <c r="AB235">
        <f t="shared" si="57"/>
        <v>5</v>
      </c>
      <c r="AC235" s="10">
        <f t="shared" si="58"/>
        <v>14</v>
      </c>
      <c r="AD235">
        <f t="shared" si="59"/>
        <v>1</v>
      </c>
      <c r="AE235" s="10">
        <f t="shared" si="60"/>
        <v>24</v>
      </c>
      <c r="AF235" s="5">
        <f t="shared" si="53"/>
        <v>1</v>
      </c>
      <c r="AG235" s="5">
        <f t="shared" si="54"/>
        <v>1</v>
      </c>
      <c r="AH235" s="5">
        <f t="shared" si="61"/>
        <v>0</v>
      </c>
      <c r="AI235">
        <f>IF(B235&lt;&gt;"", COUNTIFS($B$2:B235, B235), "")</f>
        <v>19</v>
      </c>
      <c r="AJ235">
        <f t="shared" si="62"/>
        <v>5</v>
      </c>
      <c r="AK235">
        <f t="shared" si="55"/>
        <v>4</v>
      </c>
      <c r="AL235">
        <f t="shared" si="63"/>
        <v>9</v>
      </c>
      <c r="AM235" t="str">
        <f t="shared" si="64"/>
        <v>September</v>
      </c>
      <c r="AN235">
        <f t="shared" si="65"/>
        <v>2023</v>
      </c>
      <c r="AO235" t="str">
        <f t="shared" si="66"/>
        <v>&gt;3</v>
      </c>
      <c r="AP235" t="str">
        <f t="shared" si="67"/>
        <v>&gt;3</v>
      </c>
      <c r="AQ235" t="str">
        <f t="shared" si="68"/>
        <v>&lt;=3</v>
      </c>
    </row>
    <row r="236" spans="1:43" x14ac:dyDescent="0.3">
      <c r="A236" t="s">
        <v>33</v>
      </c>
      <c r="B236" t="s">
        <v>107</v>
      </c>
      <c r="C236" t="s">
        <v>228</v>
      </c>
      <c r="D236">
        <v>4550</v>
      </c>
      <c r="E236">
        <v>23120127</v>
      </c>
      <c r="F236" t="s">
        <v>166</v>
      </c>
      <c r="G236" t="s">
        <v>167</v>
      </c>
      <c r="H236">
        <v>1000</v>
      </c>
      <c r="I236">
        <v>33.75</v>
      </c>
      <c r="J236">
        <v>33750</v>
      </c>
      <c r="K236" s="7" t="str">
        <f>IFERROR(IF(B236&lt;&gt;"", TEXT(VLOOKUP(B236, 'Expected Date'!A:B, 2, FALSE) + DATE(RIGHT(C236,2),MID(C236,4,2),LEFT(C236,2)), "dd/mm/yy"), ""), "")</f>
        <v>02/10/23</v>
      </c>
      <c r="L236" t="s">
        <v>38</v>
      </c>
      <c r="M236" t="s">
        <v>39</v>
      </c>
      <c r="N236" t="s">
        <v>109</v>
      </c>
      <c r="O236" t="s">
        <v>325</v>
      </c>
      <c r="P236">
        <v>23191353</v>
      </c>
      <c r="Q236" t="s">
        <v>166</v>
      </c>
      <c r="R236" t="s">
        <v>167</v>
      </c>
      <c r="S236">
        <v>1520</v>
      </c>
      <c r="T236">
        <v>33.75</v>
      </c>
      <c r="U236">
        <v>51300</v>
      </c>
      <c r="V236" t="str">
        <f t="shared" si="69"/>
        <v>Hyderabad</v>
      </c>
      <c r="W236" t="str">
        <f>VLOOKUP(B236, Currency!A:B, 2, FALSE)</f>
        <v>INR</v>
      </c>
      <c r="X236" t="str">
        <f t="shared" si="70"/>
        <v>Accepted</v>
      </c>
      <c r="Y236">
        <f>IFERROR(VLOOKUP(N236, Payment_Terms!A:B, 2, FALSE), "Payment term not found!")</f>
        <v>0</v>
      </c>
      <c r="Z236" t="str">
        <f>IFERROR(VLOOKUP(R236, Item_Category!A:B, 2, FALSE), "Uncategorized")</f>
        <v>Bags</v>
      </c>
      <c r="AA236" s="5">
        <f t="shared" si="56"/>
        <v>0</v>
      </c>
      <c r="AB236">
        <f t="shared" si="57"/>
        <v>5</v>
      </c>
      <c r="AC236" s="10">
        <f t="shared" si="58"/>
        <v>14</v>
      </c>
      <c r="AD236">
        <f t="shared" si="59"/>
        <v>1</v>
      </c>
      <c r="AE236" s="10">
        <f t="shared" si="60"/>
        <v>24</v>
      </c>
      <c r="AF236" s="5">
        <f t="shared" si="53"/>
        <v>1</v>
      </c>
      <c r="AG236" s="5">
        <f t="shared" si="54"/>
        <v>1</v>
      </c>
      <c r="AH236" s="5">
        <f t="shared" si="61"/>
        <v>0</v>
      </c>
      <c r="AI236">
        <f>IF(B236&lt;&gt;"", COUNTIFS($B$2:B236, B236), "")</f>
        <v>20</v>
      </c>
      <c r="AJ236">
        <f t="shared" si="62"/>
        <v>5</v>
      </c>
      <c r="AK236">
        <f t="shared" si="55"/>
        <v>4</v>
      </c>
      <c r="AL236">
        <f t="shared" si="63"/>
        <v>9</v>
      </c>
      <c r="AM236" t="str">
        <f t="shared" si="64"/>
        <v>September</v>
      </c>
      <c r="AN236">
        <f t="shared" si="65"/>
        <v>2023</v>
      </c>
      <c r="AO236" t="str">
        <f t="shared" si="66"/>
        <v>&gt;3</v>
      </c>
      <c r="AP236" t="str">
        <f t="shared" si="67"/>
        <v>&gt;3</v>
      </c>
      <c r="AQ236" t="str">
        <f t="shared" si="68"/>
        <v>&lt;=3</v>
      </c>
    </row>
    <row r="237" spans="1:43" x14ac:dyDescent="0.3">
      <c r="A237" t="s">
        <v>33</v>
      </c>
      <c r="B237" t="s">
        <v>150</v>
      </c>
      <c r="C237" t="s">
        <v>151</v>
      </c>
      <c r="D237">
        <v>4381</v>
      </c>
      <c r="E237">
        <v>23120122</v>
      </c>
      <c r="F237" t="s">
        <v>152</v>
      </c>
      <c r="G237" t="s">
        <v>54</v>
      </c>
      <c r="H237">
        <v>200</v>
      </c>
      <c r="I237">
        <v>7900</v>
      </c>
      <c r="J237">
        <v>1580000</v>
      </c>
      <c r="K237" s="7" t="str">
        <f>IFERROR(IF(B237&lt;&gt;"", TEXT(VLOOKUP(B237, 'Expected Date'!A:B, 2, FALSE) + DATE(RIGHT(C237,2),MID(C237,4,2),LEFT(C237,2)), "dd/mm/yy"), ""), "")</f>
        <v>24/09/23</v>
      </c>
      <c r="L237" t="s">
        <v>38</v>
      </c>
      <c r="M237" t="s">
        <v>48</v>
      </c>
      <c r="N237" t="s">
        <v>155</v>
      </c>
      <c r="O237" t="s">
        <v>228</v>
      </c>
      <c r="P237">
        <v>23191142</v>
      </c>
      <c r="Q237" t="s">
        <v>152</v>
      </c>
      <c r="R237" t="s">
        <v>54</v>
      </c>
      <c r="S237">
        <v>31.32</v>
      </c>
      <c r="T237">
        <v>7900</v>
      </c>
      <c r="U237">
        <v>247428</v>
      </c>
      <c r="V237" t="str">
        <f t="shared" si="69"/>
        <v>Hyderabad</v>
      </c>
      <c r="W237" t="str">
        <f>VLOOKUP(B237, Currency!A:B, 2, FALSE)</f>
        <v>INR</v>
      </c>
      <c r="X237" t="str">
        <f t="shared" si="70"/>
        <v>Accepted</v>
      </c>
      <c r="Y237">
        <f>IFERROR(VLOOKUP(N237, Payment_Terms!A:B, 2, FALSE), "Payment term not found!")</f>
        <v>30</v>
      </c>
      <c r="Z237" t="str">
        <f>IFERROR(VLOOKUP(R237, Item_Category!A:B, 2, FALSE), "Uncategorized")</f>
        <v>Coal materials</v>
      </c>
      <c r="AA237" s="5">
        <f t="shared" si="56"/>
        <v>0</v>
      </c>
      <c r="AB237">
        <f t="shared" si="57"/>
        <v>5</v>
      </c>
      <c r="AC237" s="10">
        <f t="shared" si="58"/>
        <v>-2</v>
      </c>
      <c r="AD237">
        <f t="shared" si="59"/>
        <v>5</v>
      </c>
      <c r="AE237" s="10">
        <f t="shared" si="60"/>
        <v>8</v>
      </c>
      <c r="AF237" s="5">
        <f t="shared" si="53"/>
        <v>1</v>
      </c>
      <c r="AG237" s="5">
        <f t="shared" si="54"/>
        <v>1</v>
      </c>
      <c r="AH237" s="5">
        <f t="shared" si="61"/>
        <v>0</v>
      </c>
      <c r="AI237">
        <f>IF(B237&lt;&gt;"", COUNTIFS($B$2:B237, B237), "")</f>
        <v>11</v>
      </c>
      <c r="AJ237">
        <f t="shared" si="62"/>
        <v>5</v>
      </c>
      <c r="AK237">
        <f t="shared" si="55"/>
        <v>5</v>
      </c>
      <c r="AL237">
        <f t="shared" si="63"/>
        <v>9</v>
      </c>
      <c r="AM237" t="str">
        <f t="shared" si="64"/>
        <v>September</v>
      </c>
      <c r="AN237">
        <f t="shared" si="65"/>
        <v>2023</v>
      </c>
      <c r="AO237" t="str">
        <f t="shared" si="66"/>
        <v>&gt;3</v>
      </c>
      <c r="AP237" t="str">
        <f t="shared" si="67"/>
        <v>&gt;3</v>
      </c>
      <c r="AQ237" t="str">
        <f t="shared" si="68"/>
        <v>&gt;3</v>
      </c>
    </row>
    <row r="238" spans="1:43" x14ac:dyDescent="0.3">
      <c r="A238" t="s">
        <v>33</v>
      </c>
      <c r="B238" t="s">
        <v>150</v>
      </c>
      <c r="C238" t="s">
        <v>151</v>
      </c>
      <c r="D238">
        <v>4381</v>
      </c>
      <c r="E238">
        <v>23120122</v>
      </c>
      <c r="F238" t="s">
        <v>152</v>
      </c>
      <c r="G238" t="s">
        <v>54</v>
      </c>
      <c r="H238">
        <v>200</v>
      </c>
      <c r="I238">
        <v>7900</v>
      </c>
      <c r="J238">
        <v>1580000</v>
      </c>
      <c r="K238" s="7" t="str">
        <f>IFERROR(IF(B238&lt;&gt;"", TEXT(VLOOKUP(B238, 'Expected Date'!A:B, 2, FALSE) + DATE(RIGHT(C238,2),MID(C238,4,2),LEFT(C238,2)), "dd/mm/yy"), ""), "")</f>
        <v>24/09/23</v>
      </c>
      <c r="L238" t="s">
        <v>38</v>
      </c>
      <c r="M238" t="s">
        <v>48</v>
      </c>
      <c r="N238" t="s">
        <v>155</v>
      </c>
      <c r="O238" t="s">
        <v>272</v>
      </c>
      <c r="P238">
        <v>23191157</v>
      </c>
      <c r="Q238" t="s">
        <v>152</v>
      </c>
      <c r="R238" t="s">
        <v>54</v>
      </c>
      <c r="S238">
        <v>31.38</v>
      </c>
      <c r="T238">
        <v>7900</v>
      </c>
      <c r="U238">
        <v>247902</v>
      </c>
      <c r="V238" t="str">
        <f t="shared" si="69"/>
        <v>Hyderabad</v>
      </c>
      <c r="W238" t="str">
        <f>VLOOKUP(B238, Currency!A:B, 2, FALSE)</f>
        <v>INR</v>
      </c>
      <c r="X238" t="str">
        <f t="shared" si="70"/>
        <v>Accepted</v>
      </c>
      <c r="Y238">
        <f>IFERROR(VLOOKUP(N238, Payment_Terms!A:B, 2, FALSE), "Payment term not found!")</f>
        <v>30</v>
      </c>
      <c r="Z238" t="str">
        <f>IFERROR(VLOOKUP(R238, Item_Category!A:B, 2, FALSE), "Uncategorized")</f>
        <v>Coal materials</v>
      </c>
      <c r="AA238" s="5">
        <f t="shared" si="56"/>
        <v>0</v>
      </c>
      <c r="AB238">
        <f t="shared" si="57"/>
        <v>5</v>
      </c>
      <c r="AC238" s="10">
        <f t="shared" si="58"/>
        <v>1</v>
      </c>
      <c r="AD238">
        <f t="shared" si="59"/>
        <v>5</v>
      </c>
      <c r="AE238" s="10">
        <f t="shared" si="60"/>
        <v>11</v>
      </c>
      <c r="AF238" s="5">
        <f t="shared" si="53"/>
        <v>1</v>
      </c>
      <c r="AG238" s="5">
        <f t="shared" si="54"/>
        <v>1</v>
      </c>
      <c r="AH238" s="5">
        <f t="shared" si="61"/>
        <v>0</v>
      </c>
      <c r="AI238">
        <f>IF(B238&lt;&gt;"", COUNTIFS($B$2:B238, B238), "")</f>
        <v>12</v>
      </c>
      <c r="AJ238">
        <f t="shared" si="62"/>
        <v>5</v>
      </c>
      <c r="AK238">
        <f t="shared" si="55"/>
        <v>5</v>
      </c>
      <c r="AL238">
        <f t="shared" si="63"/>
        <v>9</v>
      </c>
      <c r="AM238" t="str">
        <f t="shared" si="64"/>
        <v>September</v>
      </c>
      <c r="AN238">
        <f t="shared" si="65"/>
        <v>2023</v>
      </c>
      <c r="AO238" t="str">
        <f t="shared" si="66"/>
        <v>&gt;3</v>
      </c>
      <c r="AP238" t="str">
        <f t="shared" si="67"/>
        <v>&gt;3</v>
      </c>
      <c r="AQ238" t="str">
        <f t="shared" si="68"/>
        <v>&gt;3</v>
      </c>
    </row>
    <row r="239" spans="1:43" x14ac:dyDescent="0.3">
      <c r="A239" t="s">
        <v>33</v>
      </c>
      <c r="B239" t="s">
        <v>276</v>
      </c>
      <c r="C239" t="s">
        <v>45</v>
      </c>
      <c r="D239">
        <v>2482</v>
      </c>
      <c r="E239">
        <v>23120046</v>
      </c>
      <c r="F239" t="s">
        <v>326</v>
      </c>
      <c r="G239" t="s">
        <v>327</v>
      </c>
      <c r="H239">
        <v>2000</v>
      </c>
      <c r="I239">
        <v>365</v>
      </c>
      <c r="J239">
        <v>730000</v>
      </c>
      <c r="K239" s="7" t="str">
        <f>IFERROR(IF(B239&lt;&gt;"", TEXT(VLOOKUP(B239, 'Expected Date'!A:B, 2, FALSE) + DATE(RIGHT(C239,2),MID(C239,4,2),LEFT(C239,2)), "dd/mm/yy"), ""), "")</f>
        <v>02/07/23</v>
      </c>
      <c r="L239" t="s">
        <v>38</v>
      </c>
      <c r="M239" t="s">
        <v>48</v>
      </c>
      <c r="N239" t="s">
        <v>49</v>
      </c>
      <c r="O239" t="s">
        <v>249</v>
      </c>
      <c r="P239">
        <v>23190470</v>
      </c>
      <c r="Q239" t="s">
        <v>326</v>
      </c>
      <c r="R239" t="s">
        <v>327</v>
      </c>
      <c r="S239">
        <v>2000</v>
      </c>
      <c r="T239">
        <v>365</v>
      </c>
      <c r="U239">
        <v>730000</v>
      </c>
      <c r="V239" t="str">
        <f t="shared" si="69"/>
        <v>Hyderabad</v>
      </c>
      <c r="W239" t="str">
        <f>VLOOKUP(B239, Currency!A:B, 2, FALSE)</f>
        <v>INR</v>
      </c>
      <c r="X239" t="str">
        <f t="shared" si="70"/>
        <v>Accepted</v>
      </c>
      <c r="Y239">
        <f>IFERROR(VLOOKUP(N239, Payment_Terms!A:B, 2, FALSE), "Payment term not found!")</f>
        <v>30</v>
      </c>
      <c r="Z239" t="str">
        <f>IFERROR(VLOOKUP(R239, Item_Category!A:B, 2, FALSE), "Uncategorized")</f>
        <v>CMC</v>
      </c>
      <c r="AA239" s="5">
        <f t="shared" si="56"/>
        <v>0</v>
      </c>
      <c r="AB239">
        <f t="shared" si="57"/>
        <v>5</v>
      </c>
      <c r="AC239" s="10">
        <f t="shared" si="58"/>
        <v>-11</v>
      </c>
      <c r="AD239">
        <f t="shared" si="59"/>
        <v>5</v>
      </c>
      <c r="AE239" s="10">
        <f t="shared" si="60"/>
        <v>4</v>
      </c>
      <c r="AF239" s="5">
        <f t="shared" si="53"/>
        <v>1</v>
      </c>
      <c r="AG239" s="5">
        <f t="shared" si="54"/>
        <v>1</v>
      </c>
      <c r="AH239" s="5">
        <f t="shared" si="61"/>
        <v>0</v>
      </c>
      <c r="AI239">
        <f>IF(B239&lt;&gt;"", COUNTIFS($B$2:B239, B239), "")</f>
        <v>2</v>
      </c>
      <c r="AJ239">
        <f t="shared" si="62"/>
        <v>5</v>
      </c>
      <c r="AK239">
        <f t="shared" si="55"/>
        <v>5</v>
      </c>
      <c r="AL239">
        <f t="shared" si="63"/>
        <v>6</v>
      </c>
      <c r="AM239" t="str">
        <f t="shared" si="64"/>
        <v>June</v>
      </c>
      <c r="AN239">
        <f t="shared" si="65"/>
        <v>2023</v>
      </c>
      <c r="AO239" t="str">
        <f t="shared" si="66"/>
        <v>&gt;3</v>
      </c>
      <c r="AP239" t="str">
        <f t="shared" si="67"/>
        <v>&gt;3</v>
      </c>
      <c r="AQ239" t="str">
        <f t="shared" si="68"/>
        <v>&gt;3</v>
      </c>
    </row>
    <row r="240" spans="1:43" x14ac:dyDescent="0.3">
      <c r="A240" t="s">
        <v>33</v>
      </c>
      <c r="B240" t="s">
        <v>51</v>
      </c>
      <c r="C240" t="s">
        <v>320</v>
      </c>
      <c r="D240">
        <v>4682</v>
      </c>
      <c r="E240">
        <v>23120138</v>
      </c>
      <c r="F240" t="s">
        <v>61</v>
      </c>
      <c r="G240" t="s">
        <v>62</v>
      </c>
      <c r="H240">
        <v>162</v>
      </c>
      <c r="I240">
        <v>6564.46</v>
      </c>
      <c r="J240">
        <v>1063442.52</v>
      </c>
      <c r="K240" s="7" t="str">
        <f>IFERROR(IF(B240&lt;&gt;"", TEXT(VLOOKUP(B240, 'Expected Date'!A:B, 2, FALSE) + DATE(RIGHT(C240,2),MID(C240,4,2),LEFT(C240,2)), "dd/mm/yy"), ""), "")</f>
        <v>18/10/23</v>
      </c>
      <c r="L240" t="s">
        <v>38</v>
      </c>
      <c r="M240" t="s">
        <v>48</v>
      </c>
      <c r="N240" t="s">
        <v>55</v>
      </c>
      <c r="O240" t="s">
        <v>154</v>
      </c>
      <c r="P240">
        <v>23191189</v>
      </c>
      <c r="Q240" t="s">
        <v>61</v>
      </c>
      <c r="R240" t="s">
        <v>62</v>
      </c>
      <c r="S240">
        <v>20</v>
      </c>
      <c r="T240">
        <v>6564.46</v>
      </c>
      <c r="U240">
        <v>131289.20000000001</v>
      </c>
      <c r="V240" t="str">
        <f t="shared" si="69"/>
        <v>Hyderabad</v>
      </c>
      <c r="W240" t="str">
        <f>VLOOKUP(B240, Currency!A:B, 2, FALSE)</f>
        <v>INR</v>
      </c>
      <c r="X240" t="str">
        <f t="shared" si="70"/>
        <v>Accepted</v>
      </c>
      <c r="Y240">
        <f>IFERROR(VLOOKUP(N240, Payment_Terms!A:B, 2, FALSE), "Payment term not found!")</f>
        <v>0</v>
      </c>
      <c r="Z240" t="str">
        <f>IFERROR(VLOOKUP(R240, Item_Category!A:B, 2, FALSE), "Uncategorized")</f>
        <v>Coal materials</v>
      </c>
      <c r="AA240" s="5">
        <f t="shared" si="56"/>
        <v>0</v>
      </c>
      <c r="AB240">
        <f t="shared" si="57"/>
        <v>5</v>
      </c>
      <c r="AC240" s="10">
        <f t="shared" si="58"/>
        <v>-28</v>
      </c>
      <c r="AD240">
        <f t="shared" si="59"/>
        <v>5</v>
      </c>
      <c r="AE240" s="10">
        <f t="shared" si="60"/>
        <v>8</v>
      </c>
      <c r="AF240" s="5">
        <f t="shared" si="53"/>
        <v>1</v>
      </c>
      <c r="AG240" s="5">
        <f t="shared" si="54"/>
        <v>1</v>
      </c>
      <c r="AH240" s="5">
        <f t="shared" si="61"/>
        <v>0</v>
      </c>
      <c r="AI240">
        <f>IF(B240&lt;&gt;"", COUNTIFS($B$2:B240, B240), "")</f>
        <v>71</v>
      </c>
      <c r="AJ240">
        <f t="shared" si="62"/>
        <v>5</v>
      </c>
      <c r="AK240">
        <f t="shared" si="55"/>
        <v>5</v>
      </c>
      <c r="AL240">
        <f t="shared" si="63"/>
        <v>9</v>
      </c>
      <c r="AM240" t="str">
        <f t="shared" si="64"/>
        <v>September</v>
      </c>
      <c r="AN240">
        <f t="shared" si="65"/>
        <v>2023</v>
      </c>
      <c r="AO240" t="str">
        <f t="shared" si="66"/>
        <v>&gt;3</v>
      </c>
      <c r="AP240" t="str">
        <f t="shared" si="67"/>
        <v>&gt;3</v>
      </c>
      <c r="AQ240" t="str">
        <f t="shared" si="68"/>
        <v>&gt;3</v>
      </c>
    </row>
    <row r="241" spans="1:43" x14ac:dyDescent="0.3">
      <c r="A241" t="s">
        <v>33</v>
      </c>
      <c r="B241" t="s">
        <v>51</v>
      </c>
      <c r="C241" t="s">
        <v>320</v>
      </c>
      <c r="D241">
        <v>4682</v>
      </c>
      <c r="E241">
        <v>23120138</v>
      </c>
      <c r="F241" t="s">
        <v>61</v>
      </c>
      <c r="G241" t="s">
        <v>62</v>
      </c>
      <c r="H241">
        <v>162</v>
      </c>
      <c r="I241">
        <v>6564.46</v>
      </c>
      <c r="J241">
        <v>1063442.52</v>
      </c>
      <c r="K241" s="7" t="str">
        <f>IFERROR(IF(B241&lt;&gt;"", TEXT(VLOOKUP(B241, 'Expected Date'!A:B, 2, FALSE) + DATE(RIGHT(C241,2),MID(C241,4,2),LEFT(C241,2)), "dd/mm/yy"), ""), "")</f>
        <v>18/10/23</v>
      </c>
      <c r="L241" t="s">
        <v>38</v>
      </c>
      <c r="M241" t="s">
        <v>48</v>
      </c>
      <c r="N241" t="s">
        <v>55</v>
      </c>
      <c r="O241" t="s">
        <v>154</v>
      </c>
      <c r="P241">
        <v>23191190</v>
      </c>
      <c r="Q241" t="s">
        <v>61</v>
      </c>
      <c r="R241" t="s">
        <v>62</v>
      </c>
      <c r="S241">
        <v>20</v>
      </c>
      <c r="T241">
        <v>6564.46</v>
      </c>
      <c r="U241">
        <v>131289.20000000001</v>
      </c>
      <c r="V241" t="str">
        <f t="shared" si="69"/>
        <v>Hyderabad</v>
      </c>
      <c r="W241" t="str">
        <f>VLOOKUP(B241, Currency!A:B, 2, FALSE)</f>
        <v>INR</v>
      </c>
      <c r="X241" t="str">
        <f t="shared" si="70"/>
        <v>Accepted</v>
      </c>
      <c r="Y241">
        <f>IFERROR(VLOOKUP(N241, Payment_Terms!A:B, 2, FALSE), "Payment term not found!")</f>
        <v>0</v>
      </c>
      <c r="Z241" t="str">
        <f>IFERROR(VLOOKUP(R241, Item_Category!A:B, 2, FALSE), "Uncategorized")</f>
        <v>Coal materials</v>
      </c>
      <c r="AA241" s="5">
        <f t="shared" si="56"/>
        <v>0</v>
      </c>
      <c r="AB241">
        <f t="shared" si="57"/>
        <v>5</v>
      </c>
      <c r="AC241" s="10">
        <f t="shared" si="58"/>
        <v>-28</v>
      </c>
      <c r="AD241">
        <f t="shared" si="59"/>
        <v>5</v>
      </c>
      <c r="AE241" s="10">
        <f t="shared" si="60"/>
        <v>8</v>
      </c>
      <c r="AF241" s="5">
        <f t="shared" si="53"/>
        <v>1</v>
      </c>
      <c r="AG241" s="5">
        <f t="shared" si="54"/>
        <v>1</v>
      </c>
      <c r="AH241" s="5">
        <f t="shared" si="61"/>
        <v>0</v>
      </c>
      <c r="AI241">
        <f>IF(B241&lt;&gt;"", COUNTIFS($B$2:B241, B241), "")</f>
        <v>72</v>
      </c>
      <c r="AJ241">
        <f t="shared" si="62"/>
        <v>5</v>
      </c>
      <c r="AK241">
        <f t="shared" si="55"/>
        <v>5</v>
      </c>
      <c r="AL241">
        <f t="shared" si="63"/>
        <v>9</v>
      </c>
      <c r="AM241" t="str">
        <f t="shared" si="64"/>
        <v>September</v>
      </c>
      <c r="AN241">
        <f t="shared" si="65"/>
        <v>2023</v>
      </c>
      <c r="AO241" t="str">
        <f t="shared" si="66"/>
        <v>&gt;3</v>
      </c>
      <c r="AP241" t="str">
        <f t="shared" si="67"/>
        <v>&gt;3</v>
      </c>
      <c r="AQ241" t="str">
        <f t="shared" si="68"/>
        <v>&gt;3</v>
      </c>
    </row>
    <row r="242" spans="1:43" x14ac:dyDescent="0.3">
      <c r="A242" t="s">
        <v>33</v>
      </c>
      <c r="B242" t="s">
        <v>107</v>
      </c>
      <c r="C242" t="s">
        <v>65</v>
      </c>
      <c r="D242">
        <v>1389</v>
      </c>
      <c r="E242">
        <v>23110050</v>
      </c>
      <c r="F242" t="s">
        <v>36</v>
      </c>
      <c r="G242" t="s">
        <v>37</v>
      </c>
      <c r="H242">
        <v>2000</v>
      </c>
      <c r="I242">
        <v>33.799999999999997</v>
      </c>
      <c r="J242">
        <v>67600</v>
      </c>
      <c r="K242" s="7" t="str">
        <f>IFERROR(IF(B242&lt;&gt;"", TEXT(VLOOKUP(B242, 'Expected Date'!A:B, 2, FALSE) + DATE(RIGHT(C242,2),MID(C242,4,2),LEFT(C242,2)), "dd/mm/yy"), ""), "")</f>
        <v>29/04/23</v>
      </c>
      <c r="L242" t="s">
        <v>38</v>
      </c>
      <c r="M242" t="s">
        <v>39</v>
      </c>
      <c r="N242" t="s">
        <v>109</v>
      </c>
      <c r="O242" t="s">
        <v>300</v>
      </c>
      <c r="P242">
        <v>23190237</v>
      </c>
      <c r="Q242" t="s">
        <v>36</v>
      </c>
      <c r="R242" t="s">
        <v>37</v>
      </c>
      <c r="S242">
        <v>2136</v>
      </c>
      <c r="T242">
        <v>33.799999999999997</v>
      </c>
      <c r="U242">
        <v>72196.800000000003</v>
      </c>
      <c r="V242" t="str">
        <f t="shared" si="69"/>
        <v>Hyderabad</v>
      </c>
      <c r="W242" t="str">
        <f>VLOOKUP(B242, Currency!A:B, 2, FALSE)</f>
        <v>INR</v>
      </c>
      <c r="X242" t="str">
        <f t="shared" si="70"/>
        <v>Accepted</v>
      </c>
      <c r="Y242">
        <f>IFERROR(VLOOKUP(N242, Payment_Terms!A:B, 2, FALSE), "Payment term not found!")</f>
        <v>0</v>
      </c>
      <c r="Z242" t="str">
        <f>IFERROR(VLOOKUP(R242, Item_Category!A:B, 2, FALSE), "Uncategorized")</f>
        <v>Bags</v>
      </c>
      <c r="AA242" s="5">
        <f t="shared" si="56"/>
        <v>0</v>
      </c>
      <c r="AB242">
        <f t="shared" si="57"/>
        <v>5</v>
      </c>
      <c r="AC242" s="10">
        <f t="shared" si="58"/>
        <v>13</v>
      </c>
      <c r="AD242">
        <f t="shared" si="59"/>
        <v>1</v>
      </c>
      <c r="AE242" s="10">
        <f t="shared" si="60"/>
        <v>23</v>
      </c>
      <c r="AF242" s="5">
        <f t="shared" si="53"/>
        <v>1</v>
      </c>
      <c r="AG242" s="5">
        <f t="shared" si="54"/>
        <v>1</v>
      </c>
      <c r="AH242" s="5">
        <f t="shared" si="61"/>
        <v>0</v>
      </c>
      <c r="AI242">
        <f>IF(B242&lt;&gt;"", COUNTIFS($B$2:B242, B242), "")</f>
        <v>21</v>
      </c>
      <c r="AJ242">
        <f t="shared" si="62"/>
        <v>5</v>
      </c>
      <c r="AK242">
        <f t="shared" si="55"/>
        <v>4</v>
      </c>
      <c r="AL242">
        <f t="shared" si="63"/>
        <v>4</v>
      </c>
      <c r="AM242" t="str">
        <f t="shared" si="64"/>
        <v>April</v>
      </c>
      <c r="AN242">
        <f t="shared" si="65"/>
        <v>2023</v>
      </c>
      <c r="AO242" t="str">
        <f t="shared" si="66"/>
        <v>&gt;3</v>
      </c>
      <c r="AP242" t="str">
        <f t="shared" si="67"/>
        <v>&gt;3</v>
      </c>
      <c r="AQ242" t="str">
        <f t="shared" si="68"/>
        <v>&lt;=3</v>
      </c>
    </row>
    <row r="243" spans="1:43" x14ac:dyDescent="0.3">
      <c r="A243" t="s">
        <v>33</v>
      </c>
      <c r="B243" t="s">
        <v>248</v>
      </c>
      <c r="C243" t="s">
        <v>328</v>
      </c>
      <c r="D243">
        <v>2420</v>
      </c>
      <c r="E243">
        <v>23120044</v>
      </c>
      <c r="F243" t="s">
        <v>250</v>
      </c>
      <c r="G243" t="s">
        <v>251</v>
      </c>
      <c r="H243">
        <v>400</v>
      </c>
      <c r="I243">
        <v>438</v>
      </c>
      <c r="J243">
        <v>175200</v>
      </c>
      <c r="K243" s="7" t="str">
        <f>IFERROR(IF(B243&lt;&gt;"", TEXT(VLOOKUP(B243, 'Expected Date'!A:B, 2, FALSE) + DATE(RIGHT(C243,2),MID(C243,4,2),LEFT(C243,2)), "dd/mm/yy"), ""), "")</f>
        <v>24/06/23</v>
      </c>
      <c r="L243" t="s">
        <v>38</v>
      </c>
      <c r="M243" t="s">
        <v>39</v>
      </c>
      <c r="N243" t="s">
        <v>109</v>
      </c>
      <c r="O243" t="s">
        <v>328</v>
      </c>
      <c r="P243">
        <v>23190431</v>
      </c>
      <c r="Q243" t="s">
        <v>250</v>
      </c>
      <c r="R243" t="s">
        <v>251</v>
      </c>
      <c r="S243">
        <v>400</v>
      </c>
      <c r="T243">
        <v>438</v>
      </c>
      <c r="U243">
        <v>175200</v>
      </c>
      <c r="V243" t="str">
        <f t="shared" si="69"/>
        <v>Hyderabad</v>
      </c>
      <c r="W243" t="str">
        <f>VLOOKUP(B243, Currency!A:B, 2, FALSE)</f>
        <v>INR</v>
      </c>
      <c r="X243" t="str">
        <f t="shared" si="70"/>
        <v>Accepted</v>
      </c>
      <c r="Y243">
        <f>IFERROR(VLOOKUP(N243, Payment_Terms!A:B, 2, FALSE), "Payment term not found!")</f>
        <v>0</v>
      </c>
      <c r="Z243" t="str">
        <f>IFERROR(VLOOKUP(R243, Item_Category!A:B, 2, FALSE), "Uncategorized")</f>
        <v>HDPE</v>
      </c>
      <c r="AA243" s="5">
        <f t="shared" si="56"/>
        <v>0</v>
      </c>
      <c r="AB243">
        <f t="shared" si="57"/>
        <v>5</v>
      </c>
      <c r="AC243" s="10">
        <f t="shared" si="58"/>
        <v>-10</v>
      </c>
      <c r="AD243">
        <f t="shared" si="59"/>
        <v>5</v>
      </c>
      <c r="AE243" s="10">
        <f t="shared" si="60"/>
        <v>0</v>
      </c>
      <c r="AF243" s="5">
        <f t="shared" si="53"/>
        <v>1</v>
      </c>
      <c r="AG243" s="5">
        <f t="shared" si="54"/>
        <v>1</v>
      </c>
      <c r="AH243" s="5">
        <f t="shared" si="61"/>
        <v>0</v>
      </c>
      <c r="AI243">
        <f>IF(B243&lt;&gt;"", COUNTIFS($B$2:B243, B243), "")</f>
        <v>3</v>
      </c>
      <c r="AJ243">
        <f t="shared" si="62"/>
        <v>5</v>
      </c>
      <c r="AK243">
        <f t="shared" si="55"/>
        <v>5</v>
      </c>
      <c r="AL243">
        <f t="shared" si="63"/>
        <v>6</v>
      </c>
      <c r="AM243" t="str">
        <f t="shared" si="64"/>
        <v>June</v>
      </c>
      <c r="AN243">
        <f t="shared" si="65"/>
        <v>2023</v>
      </c>
      <c r="AO243" t="str">
        <f t="shared" si="66"/>
        <v>&gt;3</v>
      </c>
      <c r="AP243" t="str">
        <f t="shared" si="67"/>
        <v>&gt;3</v>
      </c>
      <c r="AQ243" t="str">
        <f t="shared" si="68"/>
        <v>&gt;3</v>
      </c>
    </row>
    <row r="244" spans="1:43" x14ac:dyDescent="0.3">
      <c r="A244" t="str">
        <f>A197</f>
        <v>Woodpulp</v>
      </c>
      <c r="B244" t="s">
        <v>289</v>
      </c>
      <c r="C244" t="s">
        <v>163</v>
      </c>
      <c r="D244">
        <v>4111</v>
      </c>
      <c r="E244">
        <v>23120112</v>
      </c>
      <c r="F244" t="s">
        <v>290</v>
      </c>
      <c r="G244" t="s">
        <v>291</v>
      </c>
      <c r="H244">
        <v>100</v>
      </c>
      <c r="I244">
        <v>47800</v>
      </c>
      <c r="J244">
        <v>4780000</v>
      </c>
      <c r="K244" s="7" t="str">
        <f>IFERROR(IF(B244&lt;&gt;"", TEXT(VLOOKUP(B244, 'Expected Date'!A:B, 2, FALSE) + DATE(RIGHT(C244,2),MID(C244,4,2),LEFT(C244,2)), "dd/mm/yy"), ""), "")</f>
        <v>29/09/23</v>
      </c>
      <c r="L244" t="s">
        <v>38</v>
      </c>
      <c r="M244" t="str">
        <f>M197</f>
        <v>MT</v>
      </c>
      <c r="N244" t="s">
        <v>292</v>
      </c>
      <c r="O244" t="s">
        <v>294</v>
      </c>
      <c r="P244">
        <v>23190991</v>
      </c>
      <c r="Q244" t="s">
        <v>290</v>
      </c>
      <c r="R244" t="s">
        <v>291</v>
      </c>
      <c r="S244">
        <v>25.234000000000002</v>
      </c>
      <c r="T244">
        <v>47800</v>
      </c>
      <c r="U244">
        <v>1206185.2</v>
      </c>
      <c r="V244" t="str">
        <f t="shared" si="69"/>
        <v>Hyderabad</v>
      </c>
      <c r="W244" t="str">
        <f>VLOOKUP(B244, Currency!A:B, 2, FALSE)</f>
        <v>INR</v>
      </c>
      <c r="X244" t="str">
        <f t="shared" si="70"/>
        <v>Accepted</v>
      </c>
      <c r="Y244">
        <f>IFERROR(VLOOKUP(N244, Payment_Terms!A:B, 2, FALSE), "Payment term not found!")</f>
        <v>0</v>
      </c>
      <c r="Z244" t="str">
        <f>IFERROR(VLOOKUP(R244, Item_Category!A:B, 2, FALSE), "Uncategorized")</f>
        <v>Wood pulp</v>
      </c>
      <c r="AA244" s="5">
        <f t="shared" si="56"/>
        <v>0</v>
      </c>
      <c r="AB244">
        <f t="shared" si="57"/>
        <v>5</v>
      </c>
      <c r="AC244" s="10">
        <f t="shared" si="58"/>
        <v>-37</v>
      </c>
      <c r="AD244">
        <f t="shared" si="59"/>
        <v>5</v>
      </c>
      <c r="AE244" s="10">
        <f t="shared" si="60"/>
        <v>7</v>
      </c>
      <c r="AF244" s="5">
        <f t="shared" si="53"/>
        <v>1</v>
      </c>
      <c r="AG244" s="5">
        <f t="shared" si="54"/>
        <v>1</v>
      </c>
      <c r="AH244" s="5">
        <f t="shared" si="61"/>
        <v>0</v>
      </c>
      <c r="AI244">
        <f>IF(B244&lt;&gt;"", COUNTIFS($B$2:B244, B244), "")</f>
        <v>9</v>
      </c>
      <c r="AJ244">
        <f t="shared" si="62"/>
        <v>5</v>
      </c>
      <c r="AK244">
        <f t="shared" si="55"/>
        <v>5</v>
      </c>
      <c r="AL244">
        <f t="shared" si="63"/>
        <v>8</v>
      </c>
      <c r="AM244" t="str">
        <f t="shared" si="64"/>
        <v>August</v>
      </c>
      <c r="AN244">
        <f t="shared" si="65"/>
        <v>2023</v>
      </c>
      <c r="AO244" t="str">
        <f t="shared" si="66"/>
        <v>&gt;3</v>
      </c>
      <c r="AP244" t="str">
        <f t="shared" si="67"/>
        <v>&gt;3</v>
      </c>
      <c r="AQ244" t="str">
        <f t="shared" si="68"/>
        <v>&gt;3</v>
      </c>
    </row>
    <row r="245" spans="1:43" x14ac:dyDescent="0.3">
      <c r="A245" t="str">
        <f>A244</f>
        <v>Woodpulp</v>
      </c>
      <c r="B245" t="s">
        <v>289</v>
      </c>
      <c r="C245" t="s">
        <v>163</v>
      </c>
      <c r="D245">
        <v>4111</v>
      </c>
      <c r="E245">
        <v>23120112</v>
      </c>
      <c r="F245" t="s">
        <v>290</v>
      </c>
      <c r="G245" t="s">
        <v>291</v>
      </c>
      <c r="H245">
        <v>100</v>
      </c>
      <c r="I245">
        <v>47800</v>
      </c>
      <c r="J245">
        <v>4780000</v>
      </c>
      <c r="K245" s="7" t="str">
        <f>IFERROR(IF(B245&lt;&gt;"", TEXT(VLOOKUP(B245, 'Expected Date'!A:B, 2, FALSE) + DATE(RIGHT(C245,2),MID(C245,4,2),LEFT(C245,2)), "dd/mm/yy"), ""), "")</f>
        <v>29/09/23</v>
      </c>
      <c r="L245" t="s">
        <v>38</v>
      </c>
      <c r="M245" t="str">
        <f>M197</f>
        <v>MT</v>
      </c>
      <c r="N245" t="s">
        <v>292</v>
      </c>
      <c r="O245" t="s">
        <v>294</v>
      </c>
      <c r="P245">
        <v>23190992</v>
      </c>
      <c r="Q245" t="s">
        <v>290</v>
      </c>
      <c r="R245" t="s">
        <v>291</v>
      </c>
      <c r="S245">
        <v>25.234000000000002</v>
      </c>
      <c r="T245">
        <v>47800</v>
      </c>
      <c r="U245">
        <v>1206185.2</v>
      </c>
      <c r="V245" t="str">
        <f t="shared" si="69"/>
        <v>Hyderabad</v>
      </c>
      <c r="W245" t="str">
        <f>VLOOKUP(B245, Currency!A:B, 2, FALSE)</f>
        <v>INR</v>
      </c>
      <c r="X245" t="str">
        <f t="shared" si="70"/>
        <v>Accepted</v>
      </c>
      <c r="Y245">
        <f>IFERROR(VLOOKUP(N245, Payment_Terms!A:B, 2, FALSE), "Payment term not found!")</f>
        <v>0</v>
      </c>
      <c r="Z245" t="str">
        <f>IFERROR(VLOOKUP(R245, Item_Category!A:B, 2, FALSE), "Uncategorized")</f>
        <v>Wood pulp</v>
      </c>
      <c r="AA245" s="5">
        <f t="shared" si="56"/>
        <v>0</v>
      </c>
      <c r="AB245">
        <f t="shared" si="57"/>
        <v>5</v>
      </c>
      <c r="AC245" s="10">
        <f t="shared" si="58"/>
        <v>-37</v>
      </c>
      <c r="AD245">
        <f t="shared" si="59"/>
        <v>5</v>
      </c>
      <c r="AE245" s="10">
        <f t="shared" si="60"/>
        <v>7</v>
      </c>
      <c r="AF245" s="5">
        <f t="shared" si="53"/>
        <v>1</v>
      </c>
      <c r="AG245" s="5">
        <f t="shared" si="54"/>
        <v>1</v>
      </c>
      <c r="AH245" s="5">
        <f t="shared" si="61"/>
        <v>0</v>
      </c>
      <c r="AI245">
        <f>IF(B245&lt;&gt;"", COUNTIFS($B$2:B245, B245), "")</f>
        <v>10</v>
      </c>
      <c r="AJ245">
        <f t="shared" si="62"/>
        <v>5</v>
      </c>
      <c r="AK245">
        <f t="shared" si="55"/>
        <v>5</v>
      </c>
      <c r="AL245">
        <f t="shared" si="63"/>
        <v>8</v>
      </c>
      <c r="AM245" t="str">
        <f t="shared" si="64"/>
        <v>August</v>
      </c>
      <c r="AN245">
        <f t="shared" si="65"/>
        <v>2023</v>
      </c>
      <c r="AO245" t="str">
        <f t="shared" si="66"/>
        <v>&gt;3</v>
      </c>
      <c r="AP245" t="str">
        <f t="shared" si="67"/>
        <v>&gt;3</v>
      </c>
      <c r="AQ245" t="str">
        <f t="shared" si="68"/>
        <v>&gt;3</v>
      </c>
    </row>
    <row r="246" spans="1:43" x14ac:dyDescent="0.3">
      <c r="A246" t="str">
        <f>A244</f>
        <v>Woodpulp</v>
      </c>
      <c r="B246" t="s">
        <v>289</v>
      </c>
      <c r="C246" t="s">
        <v>163</v>
      </c>
      <c r="D246">
        <v>4111</v>
      </c>
      <c r="E246">
        <v>23120112</v>
      </c>
      <c r="F246" t="s">
        <v>290</v>
      </c>
      <c r="G246" t="s">
        <v>291</v>
      </c>
      <c r="H246">
        <v>100</v>
      </c>
      <c r="I246">
        <v>47800</v>
      </c>
      <c r="J246">
        <v>4780000</v>
      </c>
      <c r="K246" s="7" t="str">
        <f>IFERROR(IF(B246&lt;&gt;"", TEXT(VLOOKUP(B246, 'Expected Date'!A:B, 2, FALSE) + DATE(RIGHT(C246,2),MID(C246,4,2),LEFT(C246,2)), "dd/mm/yy"), ""), "")</f>
        <v>29/09/23</v>
      </c>
      <c r="L246" t="s">
        <v>38</v>
      </c>
      <c r="M246" t="str">
        <f>M197</f>
        <v>MT</v>
      </c>
      <c r="N246" t="s">
        <v>292</v>
      </c>
      <c r="O246" t="s">
        <v>105</v>
      </c>
      <c r="P246">
        <v>23190993</v>
      </c>
      <c r="Q246" t="s">
        <v>290</v>
      </c>
      <c r="R246" t="s">
        <v>291</v>
      </c>
      <c r="S246">
        <v>25.234000000000002</v>
      </c>
      <c r="T246">
        <v>47800</v>
      </c>
      <c r="U246">
        <v>1206185.2</v>
      </c>
      <c r="V246" t="str">
        <f t="shared" si="69"/>
        <v>Hyderabad</v>
      </c>
      <c r="W246" t="str">
        <f>VLOOKUP(B246, Currency!A:B, 2, FALSE)</f>
        <v>INR</v>
      </c>
      <c r="X246" t="str">
        <f t="shared" si="70"/>
        <v>Accepted</v>
      </c>
      <c r="Y246">
        <f>IFERROR(VLOOKUP(N246, Payment_Terms!A:B, 2, FALSE), "Payment term not found!")</f>
        <v>0</v>
      </c>
      <c r="Z246" t="str">
        <f>IFERROR(VLOOKUP(R246, Item_Category!A:B, 2, FALSE), "Uncategorized")</f>
        <v>Wood pulp</v>
      </c>
      <c r="AA246" s="5">
        <f t="shared" si="56"/>
        <v>0</v>
      </c>
      <c r="AB246">
        <f t="shared" si="57"/>
        <v>5</v>
      </c>
      <c r="AC246" s="10">
        <f t="shared" si="58"/>
        <v>-35</v>
      </c>
      <c r="AD246">
        <f t="shared" si="59"/>
        <v>5</v>
      </c>
      <c r="AE246" s="10">
        <f t="shared" si="60"/>
        <v>5</v>
      </c>
      <c r="AF246" s="5">
        <f t="shared" si="53"/>
        <v>1</v>
      </c>
      <c r="AG246" s="5">
        <f t="shared" si="54"/>
        <v>1</v>
      </c>
      <c r="AH246" s="5">
        <f t="shared" si="61"/>
        <v>0</v>
      </c>
      <c r="AI246">
        <f>IF(B246&lt;&gt;"", COUNTIFS($B$2:B246, B246), "")</f>
        <v>11</v>
      </c>
      <c r="AJ246">
        <f t="shared" si="62"/>
        <v>5</v>
      </c>
      <c r="AK246">
        <f t="shared" si="55"/>
        <v>5</v>
      </c>
      <c r="AL246">
        <f t="shared" si="63"/>
        <v>8</v>
      </c>
      <c r="AM246" t="str">
        <f t="shared" si="64"/>
        <v>August</v>
      </c>
      <c r="AN246">
        <f t="shared" si="65"/>
        <v>2023</v>
      </c>
      <c r="AO246" t="str">
        <f t="shared" si="66"/>
        <v>&gt;3</v>
      </c>
      <c r="AP246" t="str">
        <f t="shared" si="67"/>
        <v>&gt;3</v>
      </c>
      <c r="AQ246" t="str">
        <f t="shared" si="68"/>
        <v>&gt;3</v>
      </c>
    </row>
    <row r="247" spans="1:43" x14ac:dyDescent="0.3">
      <c r="A247" t="s">
        <v>33</v>
      </c>
      <c r="B247" t="s">
        <v>51</v>
      </c>
      <c r="C247" t="s">
        <v>60</v>
      </c>
      <c r="D247">
        <v>2658</v>
      </c>
      <c r="E247">
        <v>23120061</v>
      </c>
      <c r="F247" t="s">
        <v>61</v>
      </c>
      <c r="G247" t="s">
        <v>62</v>
      </c>
      <c r="H247">
        <v>183</v>
      </c>
      <c r="I247">
        <v>7368.3239999999996</v>
      </c>
      <c r="J247">
        <v>1348403.29</v>
      </c>
      <c r="K247" s="7" t="str">
        <f>IFERROR(IF(B247&lt;&gt;"", TEXT(VLOOKUP(B247, 'Expected Date'!A:B, 2, FALSE) + DATE(RIGHT(C247,2),MID(C247,4,2),LEFT(C247,2)), "dd/mm/yy"), ""), "")</f>
        <v>16/07/23</v>
      </c>
      <c r="L247" t="s">
        <v>38</v>
      </c>
      <c r="M247" t="s">
        <v>48</v>
      </c>
      <c r="N247" t="s">
        <v>55</v>
      </c>
      <c r="O247" t="s">
        <v>72</v>
      </c>
      <c r="P247">
        <v>23190497</v>
      </c>
      <c r="Q247" t="s">
        <v>61</v>
      </c>
      <c r="R247" t="s">
        <v>62</v>
      </c>
      <c r="S247">
        <v>21</v>
      </c>
      <c r="T247">
        <v>7368.3239999999996</v>
      </c>
      <c r="U247">
        <v>154734.79999999999</v>
      </c>
      <c r="V247" t="str">
        <f t="shared" si="69"/>
        <v>Hyderabad</v>
      </c>
      <c r="W247" t="str">
        <f>VLOOKUP(B247, Currency!A:B, 2, FALSE)</f>
        <v>INR</v>
      </c>
      <c r="X247" t="str">
        <f t="shared" si="70"/>
        <v>Accepted</v>
      </c>
      <c r="Y247">
        <f>IFERROR(VLOOKUP(N247, Payment_Terms!A:B, 2, FALSE), "Payment term not found!")</f>
        <v>0</v>
      </c>
      <c r="Z247" t="str">
        <f>IFERROR(VLOOKUP(R247, Item_Category!A:B, 2, FALSE), "Uncategorized")</f>
        <v>Coal materials</v>
      </c>
      <c r="AA247" s="5">
        <f t="shared" si="56"/>
        <v>0</v>
      </c>
      <c r="AB247">
        <f t="shared" si="57"/>
        <v>5</v>
      </c>
      <c r="AC247" s="10">
        <f t="shared" si="58"/>
        <v>-23</v>
      </c>
      <c r="AD247">
        <f t="shared" si="59"/>
        <v>5</v>
      </c>
      <c r="AE247" s="10">
        <f t="shared" si="60"/>
        <v>3</v>
      </c>
      <c r="AF247" s="5">
        <f t="shared" si="53"/>
        <v>1</v>
      </c>
      <c r="AG247" s="5">
        <f t="shared" si="54"/>
        <v>1</v>
      </c>
      <c r="AH247" s="5">
        <f t="shared" si="61"/>
        <v>0</v>
      </c>
      <c r="AI247">
        <f>IF(B247&lt;&gt;"", COUNTIFS($B$2:B247, B247), "")</f>
        <v>73</v>
      </c>
      <c r="AJ247">
        <f t="shared" si="62"/>
        <v>5</v>
      </c>
      <c r="AK247">
        <f t="shared" si="55"/>
        <v>5</v>
      </c>
      <c r="AL247">
        <f t="shared" si="63"/>
        <v>6</v>
      </c>
      <c r="AM247" t="str">
        <f t="shared" si="64"/>
        <v>June</v>
      </c>
      <c r="AN247">
        <f t="shared" si="65"/>
        <v>2023</v>
      </c>
      <c r="AO247" t="str">
        <f t="shared" si="66"/>
        <v>&gt;3</v>
      </c>
      <c r="AP247" t="str">
        <f t="shared" si="67"/>
        <v>&gt;3</v>
      </c>
      <c r="AQ247" t="str">
        <f t="shared" si="68"/>
        <v>&gt;3</v>
      </c>
    </row>
    <row r="248" spans="1:43" x14ac:dyDescent="0.3">
      <c r="A248" t="s">
        <v>33</v>
      </c>
      <c r="B248" t="s">
        <v>51</v>
      </c>
      <c r="C248" t="s">
        <v>60</v>
      </c>
      <c r="D248">
        <v>2658</v>
      </c>
      <c r="E248">
        <v>23120061</v>
      </c>
      <c r="F248" t="s">
        <v>61</v>
      </c>
      <c r="G248" t="s">
        <v>62</v>
      </c>
      <c r="H248">
        <v>183</v>
      </c>
      <c r="I248">
        <v>7368.3239999999996</v>
      </c>
      <c r="J248">
        <v>1348403.29</v>
      </c>
      <c r="K248" s="7" t="str">
        <f>IFERROR(IF(B248&lt;&gt;"", TEXT(VLOOKUP(B248, 'Expected Date'!A:B, 2, FALSE) + DATE(RIGHT(C248,2),MID(C248,4,2),LEFT(C248,2)), "dd/mm/yy"), ""), "")</f>
        <v>16/07/23</v>
      </c>
      <c r="L248" t="s">
        <v>38</v>
      </c>
      <c r="M248" t="s">
        <v>48</v>
      </c>
      <c r="N248" t="s">
        <v>55</v>
      </c>
      <c r="O248" t="s">
        <v>63</v>
      </c>
      <c r="P248">
        <v>23190498</v>
      </c>
      <c r="Q248" t="s">
        <v>61</v>
      </c>
      <c r="R248" t="s">
        <v>62</v>
      </c>
      <c r="S248">
        <v>20</v>
      </c>
      <c r="T248">
        <v>7368.3239999999996</v>
      </c>
      <c r="U248">
        <v>147366.48000000001</v>
      </c>
      <c r="V248" t="str">
        <f t="shared" si="69"/>
        <v>Hyderabad</v>
      </c>
      <c r="W248" t="str">
        <f>VLOOKUP(B248, Currency!A:B, 2, FALSE)</f>
        <v>INR</v>
      </c>
      <c r="X248" t="str">
        <f t="shared" si="70"/>
        <v>Accepted</v>
      </c>
      <c r="Y248">
        <f>IFERROR(VLOOKUP(N248, Payment_Terms!A:B, 2, FALSE), "Payment term not found!")</f>
        <v>0</v>
      </c>
      <c r="Z248" t="str">
        <f>IFERROR(VLOOKUP(R248, Item_Category!A:B, 2, FALSE), "Uncategorized")</f>
        <v>Coal materials</v>
      </c>
      <c r="AA248" s="5">
        <f t="shared" si="56"/>
        <v>0</v>
      </c>
      <c r="AB248">
        <f t="shared" si="57"/>
        <v>5</v>
      </c>
      <c r="AC248" s="10">
        <f t="shared" si="58"/>
        <v>-22</v>
      </c>
      <c r="AD248">
        <f t="shared" si="59"/>
        <v>5</v>
      </c>
      <c r="AE248" s="10">
        <f t="shared" si="60"/>
        <v>2</v>
      </c>
      <c r="AF248" s="5">
        <f t="shared" si="53"/>
        <v>1</v>
      </c>
      <c r="AG248" s="5">
        <f t="shared" si="54"/>
        <v>1</v>
      </c>
      <c r="AH248" s="5">
        <f t="shared" si="61"/>
        <v>0</v>
      </c>
      <c r="AI248">
        <f>IF(B248&lt;&gt;"", COUNTIFS($B$2:B248, B248), "")</f>
        <v>74</v>
      </c>
      <c r="AJ248">
        <f t="shared" si="62"/>
        <v>5</v>
      </c>
      <c r="AK248">
        <f t="shared" si="55"/>
        <v>5</v>
      </c>
      <c r="AL248">
        <f t="shared" si="63"/>
        <v>6</v>
      </c>
      <c r="AM248" t="str">
        <f t="shared" si="64"/>
        <v>June</v>
      </c>
      <c r="AN248">
        <f t="shared" si="65"/>
        <v>2023</v>
      </c>
      <c r="AO248" t="str">
        <f t="shared" si="66"/>
        <v>&gt;3</v>
      </c>
      <c r="AP248" t="str">
        <f t="shared" si="67"/>
        <v>&gt;3</v>
      </c>
      <c r="AQ248" t="str">
        <f t="shared" si="68"/>
        <v>&gt;3</v>
      </c>
    </row>
    <row r="249" spans="1:43" x14ac:dyDescent="0.3">
      <c r="A249" t="s">
        <v>33</v>
      </c>
      <c r="B249" t="s">
        <v>51</v>
      </c>
      <c r="C249" t="s">
        <v>60</v>
      </c>
      <c r="D249">
        <v>2658</v>
      </c>
      <c r="E249">
        <v>23120061</v>
      </c>
      <c r="F249" t="s">
        <v>61</v>
      </c>
      <c r="G249" t="s">
        <v>62</v>
      </c>
      <c r="H249">
        <v>183</v>
      </c>
      <c r="I249">
        <v>7368.3239999999996</v>
      </c>
      <c r="J249">
        <v>1348403.29</v>
      </c>
      <c r="K249" s="7" t="str">
        <f>IFERROR(IF(B249&lt;&gt;"", TEXT(VLOOKUP(B249, 'Expected Date'!A:B, 2, FALSE) + DATE(RIGHT(C249,2),MID(C249,4,2),LEFT(C249,2)), "dd/mm/yy"), ""), "")</f>
        <v>16/07/23</v>
      </c>
      <c r="L249" t="s">
        <v>38</v>
      </c>
      <c r="M249" t="s">
        <v>48</v>
      </c>
      <c r="N249" t="s">
        <v>55</v>
      </c>
      <c r="O249" t="s">
        <v>329</v>
      </c>
      <c r="P249">
        <v>23190499</v>
      </c>
      <c r="Q249" t="s">
        <v>61</v>
      </c>
      <c r="R249" t="s">
        <v>62</v>
      </c>
      <c r="S249">
        <v>20</v>
      </c>
      <c r="T249">
        <v>7368.3239999999996</v>
      </c>
      <c r="U249">
        <v>147366.48000000001</v>
      </c>
      <c r="V249" t="str">
        <f t="shared" si="69"/>
        <v>Hyderabad</v>
      </c>
      <c r="W249" t="str">
        <f>VLOOKUP(B249, Currency!A:B, 2, FALSE)</f>
        <v>INR</v>
      </c>
      <c r="X249" t="str">
        <f t="shared" si="70"/>
        <v>Accepted</v>
      </c>
      <c r="Y249">
        <f>IFERROR(VLOOKUP(N249, Payment_Terms!A:B, 2, FALSE), "Payment term not found!")</f>
        <v>0</v>
      </c>
      <c r="Z249" t="str">
        <f>IFERROR(VLOOKUP(R249, Item_Category!A:B, 2, FALSE), "Uncategorized")</f>
        <v>Coal materials</v>
      </c>
      <c r="AA249" s="5">
        <f t="shared" si="56"/>
        <v>0</v>
      </c>
      <c r="AB249">
        <f t="shared" si="57"/>
        <v>5</v>
      </c>
      <c r="AC249" s="10">
        <f t="shared" si="58"/>
        <v>-21</v>
      </c>
      <c r="AD249">
        <f t="shared" si="59"/>
        <v>5</v>
      </c>
      <c r="AE249" s="10">
        <f t="shared" si="60"/>
        <v>1</v>
      </c>
      <c r="AF249" s="5">
        <f t="shared" si="53"/>
        <v>1</v>
      </c>
      <c r="AG249" s="5">
        <f t="shared" si="54"/>
        <v>1</v>
      </c>
      <c r="AH249" s="5">
        <f t="shared" si="61"/>
        <v>0</v>
      </c>
      <c r="AI249">
        <f>IF(B249&lt;&gt;"", COUNTIFS($B$2:B249, B249), "")</f>
        <v>75</v>
      </c>
      <c r="AJ249">
        <f t="shared" si="62"/>
        <v>5</v>
      </c>
      <c r="AK249">
        <f t="shared" si="55"/>
        <v>5</v>
      </c>
      <c r="AL249">
        <f t="shared" si="63"/>
        <v>6</v>
      </c>
      <c r="AM249" t="str">
        <f t="shared" si="64"/>
        <v>June</v>
      </c>
      <c r="AN249">
        <f t="shared" si="65"/>
        <v>2023</v>
      </c>
      <c r="AO249" t="str">
        <f t="shared" si="66"/>
        <v>&gt;3</v>
      </c>
      <c r="AP249" t="str">
        <f t="shared" si="67"/>
        <v>&gt;3</v>
      </c>
      <c r="AQ249" t="str">
        <f t="shared" si="68"/>
        <v>&gt;3</v>
      </c>
    </row>
    <row r="250" spans="1:43" x14ac:dyDescent="0.3">
      <c r="A250" t="s">
        <v>33</v>
      </c>
      <c r="B250" t="s">
        <v>150</v>
      </c>
      <c r="C250" t="s">
        <v>151</v>
      </c>
      <c r="D250">
        <v>4381</v>
      </c>
      <c r="E250">
        <v>23120122</v>
      </c>
      <c r="F250" t="s">
        <v>152</v>
      </c>
      <c r="G250" t="s">
        <v>54</v>
      </c>
      <c r="H250">
        <v>200</v>
      </c>
      <c r="I250">
        <v>7900</v>
      </c>
      <c r="J250">
        <v>1580000</v>
      </c>
      <c r="K250" s="7" t="str">
        <f>IFERROR(IF(B250&lt;&gt;"", TEXT(VLOOKUP(B250, 'Expected Date'!A:B, 2, FALSE) + DATE(RIGHT(C250,2),MID(C250,4,2),LEFT(C250,2)), "dd/mm/yy"), ""), "")</f>
        <v>24/09/23</v>
      </c>
      <c r="L250" t="s">
        <v>38</v>
      </c>
      <c r="M250" t="s">
        <v>48</v>
      </c>
      <c r="N250" t="s">
        <v>155</v>
      </c>
      <c r="O250" t="s">
        <v>272</v>
      </c>
      <c r="P250">
        <v>23191164</v>
      </c>
      <c r="Q250" t="s">
        <v>152</v>
      </c>
      <c r="R250" t="s">
        <v>54</v>
      </c>
      <c r="S250">
        <v>30.31</v>
      </c>
      <c r="T250">
        <v>7900</v>
      </c>
      <c r="U250">
        <v>239449</v>
      </c>
      <c r="V250" t="str">
        <f t="shared" si="69"/>
        <v>Hyderabad</v>
      </c>
      <c r="W250" t="str">
        <f>VLOOKUP(B250, Currency!A:B, 2, FALSE)</f>
        <v>INR</v>
      </c>
      <c r="X250" t="str">
        <f t="shared" si="70"/>
        <v>Accepted</v>
      </c>
      <c r="Y250">
        <f>IFERROR(VLOOKUP(N250, Payment_Terms!A:B, 2, FALSE), "Payment term not found!")</f>
        <v>30</v>
      </c>
      <c r="Z250" t="str">
        <f>IFERROR(VLOOKUP(R250, Item_Category!A:B, 2, FALSE), "Uncategorized")</f>
        <v>Coal materials</v>
      </c>
      <c r="AA250" s="5">
        <f t="shared" si="56"/>
        <v>0</v>
      </c>
      <c r="AB250">
        <f t="shared" si="57"/>
        <v>5</v>
      </c>
      <c r="AC250" s="10">
        <f t="shared" si="58"/>
        <v>1</v>
      </c>
      <c r="AD250">
        <f t="shared" si="59"/>
        <v>5</v>
      </c>
      <c r="AE250" s="10">
        <f t="shared" si="60"/>
        <v>11</v>
      </c>
      <c r="AF250" s="5">
        <f t="shared" si="53"/>
        <v>1</v>
      </c>
      <c r="AG250" s="5">
        <f t="shared" si="54"/>
        <v>1</v>
      </c>
      <c r="AH250" s="5">
        <f t="shared" si="61"/>
        <v>0</v>
      </c>
      <c r="AI250">
        <f>IF(B250&lt;&gt;"", COUNTIFS($B$2:B250, B250), "")</f>
        <v>13</v>
      </c>
      <c r="AJ250">
        <f t="shared" si="62"/>
        <v>5</v>
      </c>
      <c r="AK250">
        <f t="shared" si="55"/>
        <v>5</v>
      </c>
      <c r="AL250">
        <f t="shared" si="63"/>
        <v>9</v>
      </c>
      <c r="AM250" t="str">
        <f t="shared" si="64"/>
        <v>September</v>
      </c>
      <c r="AN250">
        <f t="shared" si="65"/>
        <v>2023</v>
      </c>
      <c r="AO250" t="str">
        <f t="shared" si="66"/>
        <v>&gt;3</v>
      </c>
      <c r="AP250" t="str">
        <f t="shared" si="67"/>
        <v>&gt;3</v>
      </c>
      <c r="AQ250" t="str">
        <f t="shared" si="68"/>
        <v>&gt;3</v>
      </c>
    </row>
    <row r="251" spans="1:43" x14ac:dyDescent="0.3">
      <c r="A251" t="s">
        <v>33</v>
      </c>
      <c r="B251" t="s">
        <v>51</v>
      </c>
      <c r="C251" t="s">
        <v>320</v>
      </c>
      <c r="D251">
        <v>4682</v>
      </c>
      <c r="E251">
        <v>23120138</v>
      </c>
      <c r="F251" t="s">
        <v>61</v>
      </c>
      <c r="G251" t="s">
        <v>62</v>
      </c>
      <c r="H251">
        <v>162</v>
      </c>
      <c r="I251">
        <v>6564.46</v>
      </c>
      <c r="J251">
        <v>1063442.52</v>
      </c>
      <c r="K251" s="7" t="str">
        <f>IFERROR(IF(B251&lt;&gt;"", TEXT(VLOOKUP(B251, 'Expected Date'!A:B, 2, FALSE) + DATE(RIGHT(C251,2),MID(C251,4,2),LEFT(C251,2)), "dd/mm/yy"), ""), "")</f>
        <v>18/10/23</v>
      </c>
      <c r="L251" t="s">
        <v>38</v>
      </c>
      <c r="M251" t="s">
        <v>48</v>
      </c>
      <c r="N251" t="s">
        <v>55</v>
      </c>
      <c r="O251" t="s">
        <v>154</v>
      </c>
      <c r="P251">
        <v>23191191</v>
      </c>
      <c r="Q251" t="s">
        <v>61</v>
      </c>
      <c r="R251" t="s">
        <v>62</v>
      </c>
      <c r="S251">
        <v>20</v>
      </c>
      <c r="T251">
        <v>6564.46</v>
      </c>
      <c r="U251">
        <v>131289.20000000001</v>
      </c>
      <c r="V251" t="str">
        <f t="shared" si="69"/>
        <v>Hyderabad</v>
      </c>
      <c r="W251" t="str">
        <f>VLOOKUP(B251, Currency!A:B, 2, FALSE)</f>
        <v>INR</v>
      </c>
      <c r="X251" t="str">
        <f t="shared" si="70"/>
        <v>Accepted</v>
      </c>
      <c r="Y251">
        <f>IFERROR(VLOOKUP(N251, Payment_Terms!A:B, 2, FALSE), "Payment term not found!")</f>
        <v>0</v>
      </c>
      <c r="Z251" t="str">
        <f>IFERROR(VLOOKUP(R251, Item_Category!A:B, 2, FALSE), "Uncategorized")</f>
        <v>Coal materials</v>
      </c>
      <c r="AA251" s="5">
        <f t="shared" si="56"/>
        <v>0</v>
      </c>
      <c r="AB251">
        <f t="shared" si="57"/>
        <v>5</v>
      </c>
      <c r="AC251" s="10">
        <f t="shared" si="58"/>
        <v>-28</v>
      </c>
      <c r="AD251">
        <f t="shared" si="59"/>
        <v>5</v>
      </c>
      <c r="AE251" s="10">
        <f t="shared" si="60"/>
        <v>8</v>
      </c>
      <c r="AF251" s="5">
        <f t="shared" si="53"/>
        <v>1</v>
      </c>
      <c r="AG251" s="5">
        <f t="shared" si="54"/>
        <v>1</v>
      </c>
      <c r="AH251" s="5">
        <f t="shared" si="61"/>
        <v>0</v>
      </c>
      <c r="AI251">
        <f>IF(B251&lt;&gt;"", COUNTIFS($B$2:B251, B251), "")</f>
        <v>76</v>
      </c>
      <c r="AJ251">
        <f t="shared" si="62"/>
        <v>5</v>
      </c>
      <c r="AK251">
        <f t="shared" si="55"/>
        <v>5</v>
      </c>
      <c r="AL251">
        <f t="shared" si="63"/>
        <v>9</v>
      </c>
      <c r="AM251" t="str">
        <f t="shared" si="64"/>
        <v>September</v>
      </c>
      <c r="AN251">
        <f t="shared" si="65"/>
        <v>2023</v>
      </c>
      <c r="AO251" t="str">
        <f t="shared" si="66"/>
        <v>&gt;3</v>
      </c>
      <c r="AP251" t="str">
        <f t="shared" si="67"/>
        <v>&gt;3</v>
      </c>
      <c r="AQ251" t="str">
        <f t="shared" si="68"/>
        <v>&gt;3</v>
      </c>
    </row>
    <row r="252" spans="1:43" x14ac:dyDescent="0.3">
      <c r="A252" t="s">
        <v>33</v>
      </c>
      <c r="B252" t="s">
        <v>51</v>
      </c>
      <c r="C252" t="s">
        <v>320</v>
      </c>
      <c r="D252">
        <v>4682</v>
      </c>
      <c r="E252">
        <v>23120138</v>
      </c>
      <c r="F252" t="s">
        <v>61</v>
      </c>
      <c r="G252" t="s">
        <v>62</v>
      </c>
      <c r="H252">
        <v>162</v>
      </c>
      <c r="I252">
        <v>6564.46</v>
      </c>
      <c r="J252">
        <v>1063442.52</v>
      </c>
      <c r="K252" s="7" t="str">
        <f>IFERROR(IF(B252&lt;&gt;"", TEXT(VLOOKUP(B252, 'Expected Date'!A:B, 2, FALSE) + DATE(RIGHT(C252,2),MID(C252,4,2),LEFT(C252,2)), "dd/mm/yy"), ""), "")</f>
        <v>18/10/23</v>
      </c>
      <c r="L252" t="s">
        <v>38</v>
      </c>
      <c r="M252" t="s">
        <v>48</v>
      </c>
      <c r="N252" t="s">
        <v>55</v>
      </c>
      <c r="O252" t="s">
        <v>279</v>
      </c>
      <c r="P252">
        <v>23191192</v>
      </c>
      <c r="Q252" t="s">
        <v>61</v>
      </c>
      <c r="R252" t="s">
        <v>62</v>
      </c>
      <c r="S252">
        <v>20</v>
      </c>
      <c r="T252">
        <v>6564.46</v>
      </c>
      <c r="U252">
        <v>131289.20000000001</v>
      </c>
      <c r="V252" t="str">
        <f t="shared" si="69"/>
        <v>Hyderabad</v>
      </c>
      <c r="W252" t="str">
        <f>VLOOKUP(B252, Currency!A:B, 2, FALSE)</f>
        <v>INR</v>
      </c>
      <c r="X252" t="str">
        <f t="shared" si="70"/>
        <v>Accepted</v>
      </c>
      <c r="Y252">
        <f>IFERROR(VLOOKUP(N252, Payment_Terms!A:B, 2, FALSE), "Payment term not found!")</f>
        <v>0</v>
      </c>
      <c r="Z252" t="str">
        <f>IFERROR(VLOOKUP(R252, Item_Category!A:B, 2, FALSE), "Uncategorized")</f>
        <v>Coal materials</v>
      </c>
      <c r="AA252" s="5">
        <f t="shared" si="56"/>
        <v>0</v>
      </c>
      <c r="AB252">
        <f t="shared" si="57"/>
        <v>5</v>
      </c>
      <c r="AC252" s="10">
        <f t="shared" si="58"/>
        <v>-29</v>
      </c>
      <c r="AD252">
        <f t="shared" si="59"/>
        <v>5</v>
      </c>
      <c r="AE252" s="10">
        <f t="shared" si="60"/>
        <v>9</v>
      </c>
      <c r="AF252" s="5">
        <f t="shared" si="53"/>
        <v>1</v>
      </c>
      <c r="AG252" s="5">
        <f t="shared" si="54"/>
        <v>1</v>
      </c>
      <c r="AH252" s="5">
        <f t="shared" si="61"/>
        <v>0</v>
      </c>
      <c r="AI252">
        <f>IF(B252&lt;&gt;"", COUNTIFS($B$2:B252, B252), "")</f>
        <v>77</v>
      </c>
      <c r="AJ252">
        <f t="shared" si="62"/>
        <v>5</v>
      </c>
      <c r="AK252">
        <f t="shared" si="55"/>
        <v>5</v>
      </c>
      <c r="AL252">
        <f t="shared" si="63"/>
        <v>9</v>
      </c>
      <c r="AM252" t="str">
        <f t="shared" si="64"/>
        <v>September</v>
      </c>
      <c r="AN252">
        <f t="shared" si="65"/>
        <v>2023</v>
      </c>
      <c r="AO252" t="str">
        <f t="shared" si="66"/>
        <v>&gt;3</v>
      </c>
      <c r="AP252" t="str">
        <f t="shared" si="67"/>
        <v>&gt;3</v>
      </c>
      <c r="AQ252" t="str">
        <f t="shared" si="68"/>
        <v>&gt;3</v>
      </c>
    </row>
    <row r="253" spans="1:43" x14ac:dyDescent="0.3">
      <c r="A253" t="s">
        <v>33</v>
      </c>
      <c r="B253" t="s">
        <v>51</v>
      </c>
      <c r="C253" t="s">
        <v>320</v>
      </c>
      <c r="D253">
        <v>4682</v>
      </c>
      <c r="E253">
        <v>23120138</v>
      </c>
      <c r="F253" t="s">
        <v>61</v>
      </c>
      <c r="G253" t="s">
        <v>62</v>
      </c>
      <c r="H253">
        <v>162</v>
      </c>
      <c r="I253">
        <v>6564.46</v>
      </c>
      <c r="J253">
        <v>1063442.52</v>
      </c>
      <c r="K253" s="7" t="str">
        <f>IFERROR(IF(B253&lt;&gt;"", TEXT(VLOOKUP(B253, 'Expected Date'!A:B, 2, FALSE) + DATE(RIGHT(C253,2),MID(C253,4,2),LEFT(C253,2)), "dd/mm/yy"), ""), "")</f>
        <v>18/10/23</v>
      </c>
      <c r="L253" t="s">
        <v>38</v>
      </c>
      <c r="M253" t="s">
        <v>48</v>
      </c>
      <c r="N253" t="s">
        <v>55</v>
      </c>
      <c r="O253" t="s">
        <v>228</v>
      </c>
      <c r="P253">
        <v>23191193</v>
      </c>
      <c r="Q253" t="s">
        <v>61</v>
      </c>
      <c r="R253" t="s">
        <v>62</v>
      </c>
      <c r="S253">
        <v>20</v>
      </c>
      <c r="T253">
        <v>6564.46</v>
      </c>
      <c r="U253">
        <v>131289.20000000001</v>
      </c>
      <c r="V253" t="str">
        <f t="shared" si="69"/>
        <v>Hyderabad</v>
      </c>
      <c r="W253" t="str">
        <f>VLOOKUP(B253, Currency!A:B, 2, FALSE)</f>
        <v>INR</v>
      </c>
      <c r="X253" t="str">
        <f t="shared" si="70"/>
        <v>Accepted</v>
      </c>
      <c r="Y253">
        <f>IFERROR(VLOOKUP(N253, Payment_Terms!A:B, 2, FALSE), "Payment term not found!")</f>
        <v>0</v>
      </c>
      <c r="Z253" t="str">
        <f>IFERROR(VLOOKUP(R253, Item_Category!A:B, 2, FALSE), "Uncategorized")</f>
        <v>Coal materials</v>
      </c>
      <c r="AA253" s="5">
        <f t="shared" si="56"/>
        <v>0</v>
      </c>
      <c r="AB253">
        <f t="shared" si="57"/>
        <v>5</v>
      </c>
      <c r="AC253" s="10">
        <f t="shared" si="58"/>
        <v>-26</v>
      </c>
      <c r="AD253">
        <f t="shared" si="59"/>
        <v>5</v>
      </c>
      <c r="AE253" s="10">
        <f t="shared" si="60"/>
        <v>6</v>
      </c>
      <c r="AF253" s="5">
        <f t="shared" si="53"/>
        <v>1</v>
      </c>
      <c r="AG253" s="5">
        <f t="shared" si="54"/>
        <v>1</v>
      </c>
      <c r="AH253" s="5">
        <f t="shared" si="61"/>
        <v>0</v>
      </c>
      <c r="AI253">
        <f>IF(B253&lt;&gt;"", COUNTIFS($B$2:B253, B253), "")</f>
        <v>78</v>
      </c>
      <c r="AJ253">
        <f t="shared" si="62"/>
        <v>5</v>
      </c>
      <c r="AK253">
        <f t="shared" si="55"/>
        <v>5</v>
      </c>
      <c r="AL253">
        <f t="shared" si="63"/>
        <v>9</v>
      </c>
      <c r="AM253" t="str">
        <f t="shared" si="64"/>
        <v>September</v>
      </c>
      <c r="AN253">
        <f t="shared" si="65"/>
        <v>2023</v>
      </c>
      <c r="AO253" t="str">
        <f t="shared" si="66"/>
        <v>&gt;3</v>
      </c>
      <c r="AP253" t="str">
        <f t="shared" si="67"/>
        <v>&gt;3</v>
      </c>
      <c r="AQ253" t="str">
        <f t="shared" si="68"/>
        <v>&gt;3</v>
      </c>
    </row>
    <row r="254" spans="1:43" x14ac:dyDescent="0.3">
      <c r="A254" t="s">
        <v>33</v>
      </c>
      <c r="B254" t="s">
        <v>51</v>
      </c>
      <c r="C254" t="s">
        <v>320</v>
      </c>
      <c r="D254">
        <v>4682</v>
      </c>
      <c r="E254">
        <v>23120138</v>
      </c>
      <c r="F254" t="s">
        <v>61</v>
      </c>
      <c r="G254" t="s">
        <v>62</v>
      </c>
      <c r="H254">
        <v>162</v>
      </c>
      <c r="I254">
        <v>6564.46</v>
      </c>
      <c r="J254">
        <v>1063442.52</v>
      </c>
      <c r="K254" s="7" t="str">
        <f>IFERROR(IF(B254&lt;&gt;"", TEXT(VLOOKUP(B254, 'Expected Date'!A:B, 2, FALSE) + DATE(RIGHT(C254,2),MID(C254,4,2),LEFT(C254,2)), "dd/mm/yy"), ""), "")</f>
        <v>18/10/23</v>
      </c>
      <c r="L254" t="s">
        <v>38</v>
      </c>
      <c r="M254" t="s">
        <v>48</v>
      </c>
      <c r="N254" t="s">
        <v>55</v>
      </c>
      <c r="O254" t="s">
        <v>330</v>
      </c>
      <c r="P254">
        <v>23191194</v>
      </c>
      <c r="Q254" t="s">
        <v>61</v>
      </c>
      <c r="R254" t="s">
        <v>62</v>
      </c>
      <c r="S254">
        <v>21</v>
      </c>
      <c r="T254">
        <v>6564.46</v>
      </c>
      <c r="U254">
        <v>137853.66</v>
      </c>
      <c r="V254" t="str">
        <f t="shared" si="69"/>
        <v>Hyderabad</v>
      </c>
      <c r="W254" t="str">
        <f>VLOOKUP(B254, Currency!A:B, 2, FALSE)</f>
        <v>INR</v>
      </c>
      <c r="X254" t="str">
        <f t="shared" si="70"/>
        <v>Accepted</v>
      </c>
      <c r="Y254">
        <f>IFERROR(VLOOKUP(N254, Payment_Terms!A:B, 2, FALSE), "Payment term not found!")</f>
        <v>0</v>
      </c>
      <c r="Z254" t="str">
        <f>IFERROR(VLOOKUP(R254, Item_Category!A:B, 2, FALSE), "Uncategorized")</f>
        <v>Coal materials</v>
      </c>
      <c r="AA254" s="5">
        <f t="shared" si="56"/>
        <v>0</v>
      </c>
      <c r="AB254">
        <f t="shared" si="57"/>
        <v>5</v>
      </c>
      <c r="AC254" s="10">
        <f t="shared" si="58"/>
        <v>-25</v>
      </c>
      <c r="AD254">
        <f t="shared" si="59"/>
        <v>5</v>
      </c>
      <c r="AE254" s="10">
        <f t="shared" si="60"/>
        <v>5</v>
      </c>
      <c r="AF254" s="5">
        <f t="shared" si="53"/>
        <v>1</v>
      </c>
      <c r="AG254" s="5">
        <f t="shared" si="54"/>
        <v>1</v>
      </c>
      <c r="AH254" s="5">
        <f t="shared" si="61"/>
        <v>0</v>
      </c>
      <c r="AI254">
        <f>IF(B254&lt;&gt;"", COUNTIFS($B$2:B254, B254), "")</f>
        <v>79</v>
      </c>
      <c r="AJ254">
        <f t="shared" si="62"/>
        <v>5</v>
      </c>
      <c r="AK254">
        <f t="shared" si="55"/>
        <v>5</v>
      </c>
      <c r="AL254">
        <f t="shared" si="63"/>
        <v>9</v>
      </c>
      <c r="AM254" t="str">
        <f t="shared" si="64"/>
        <v>September</v>
      </c>
      <c r="AN254">
        <f t="shared" si="65"/>
        <v>2023</v>
      </c>
      <c r="AO254" t="str">
        <f t="shared" si="66"/>
        <v>&gt;3</v>
      </c>
      <c r="AP254" t="str">
        <f t="shared" si="67"/>
        <v>&gt;3</v>
      </c>
      <c r="AQ254" t="str">
        <f t="shared" si="68"/>
        <v>&gt;3</v>
      </c>
    </row>
    <row r="255" spans="1:43" x14ac:dyDescent="0.3">
      <c r="A255" t="s">
        <v>33</v>
      </c>
      <c r="B255" t="s">
        <v>51</v>
      </c>
      <c r="C255" t="s">
        <v>320</v>
      </c>
      <c r="D255">
        <v>4682</v>
      </c>
      <c r="E255">
        <v>23120138</v>
      </c>
      <c r="F255" t="s">
        <v>61</v>
      </c>
      <c r="G255" t="s">
        <v>62</v>
      </c>
      <c r="H255">
        <v>162</v>
      </c>
      <c r="I255">
        <v>6564.46</v>
      </c>
      <c r="J255">
        <v>1063442.52</v>
      </c>
      <c r="K255" s="7" t="str">
        <f>IFERROR(IF(B255&lt;&gt;"", TEXT(VLOOKUP(B255, 'Expected Date'!A:B, 2, FALSE) + DATE(RIGHT(C255,2),MID(C255,4,2),LEFT(C255,2)), "dd/mm/yy"), ""), "")</f>
        <v>18/10/23</v>
      </c>
      <c r="L255" t="s">
        <v>38</v>
      </c>
      <c r="M255" t="s">
        <v>48</v>
      </c>
      <c r="N255" t="s">
        <v>55</v>
      </c>
      <c r="O255" t="s">
        <v>330</v>
      </c>
      <c r="P255">
        <v>23191195</v>
      </c>
      <c r="Q255" t="s">
        <v>61</v>
      </c>
      <c r="R255" t="s">
        <v>62</v>
      </c>
      <c r="S255">
        <v>21</v>
      </c>
      <c r="T255">
        <v>6564.46</v>
      </c>
      <c r="U255">
        <v>137853.66</v>
      </c>
      <c r="V255" t="str">
        <f t="shared" si="69"/>
        <v>Hyderabad</v>
      </c>
      <c r="W255" t="str">
        <f>VLOOKUP(B255, Currency!A:B, 2, FALSE)</f>
        <v>INR</v>
      </c>
      <c r="X255" t="str">
        <f t="shared" si="70"/>
        <v>Accepted</v>
      </c>
      <c r="Y255">
        <f>IFERROR(VLOOKUP(N255, Payment_Terms!A:B, 2, FALSE), "Payment term not found!")</f>
        <v>0</v>
      </c>
      <c r="Z255" t="str">
        <f>IFERROR(VLOOKUP(R255, Item_Category!A:B, 2, FALSE), "Uncategorized")</f>
        <v>Coal materials</v>
      </c>
      <c r="AA255" s="5">
        <f t="shared" si="56"/>
        <v>0</v>
      </c>
      <c r="AB255">
        <f t="shared" si="57"/>
        <v>5</v>
      </c>
      <c r="AC255" s="10">
        <f t="shared" si="58"/>
        <v>-25</v>
      </c>
      <c r="AD255">
        <f t="shared" si="59"/>
        <v>5</v>
      </c>
      <c r="AE255" s="10">
        <f t="shared" si="60"/>
        <v>5</v>
      </c>
      <c r="AF255" s="5">
        <f t="shared" si="53"/>
        <v>1</v>
      </c>
      <c r="AG255" s="5">
        <f t="shared" si="54"/>
        <v>1</v>
      </c>
      <c r="AH255" s="5">
        <f t="shared" si="61"/>
        <v>0</v>
      </c>
      <c r="AI255">
        <f>IF(B255&lt;&gt;"", COUNTIFS($B$2:B255, B255), "")</f>
        <v>80</v>
      </c>
      <c r="AJ255">
        <f t="shared" si="62"/>
        <v>5</v>
      </c>
      <c r="AK255">
        <f t="shared" si="55"/>
        <v>5</v>
      </c>
      <c r="AL255">
        <f t="shared" si="63"/>
        <v>9</v>
      </c>
      <c r="AM255" t="str">
        <f t="shared" si="64"/>
        <v>September</v>
      </c>
      <c r="AN255">
        <f t="shared" si="65"/>
        <v>2023</v>
      </c>
      <c r="AO255" t="str">
        <f t="shared" si="66"/>
        <v>&gt;3</v>
      </c>
      <c r="AP255" t="str">
        <f t="shared" si="67"/>
        <v>&gt;3</v>
      </c>
      <c r="AQ255" t="str">
        <f t="shared" si="68"/>
        <v>&gt;3</v>
      </c>
    </row>
    <row r="256" spans="1:43" x14ac:dyDescent="0.3">
      <c r="A256" t="s">
        <v>33</v>
      </c>
      <c r="B256" t="s">
        <v>51</v>
      </c>
      <c r="C256" t="s">
        <v>320</v>
      </c>
      <c r="D256">
        <v>4682</v>
      </c>
      <c r="E256">
        <v>23120138</v>
      </c>
      <c r="F256" t="s">
        <v>61</v>
      </c>
      <c r="G256" t="s">
        <v>62</v>
      </c>
      <c r="H256">
        <v>162</v>
      </c>
      <c r="I256">
        <v>6564.46</v>
      </c>
      <c r="J256">
        <v>1063442.52</v>
      </c>
      <c r="K256" s="7" t="str">
        <f>IFERROR(IF(B256&lt;&gt;"", TEXT(VLOOKUP(B256, 'Expected Date'!A:B, 2, FALSE) + DATE(RIGHT(C256,2),MID(C256,4,2),LEFT(C256,2)), "dd/mm/yy"), ""), "")</f>
        <v>18/10/23</v>
      </c>
      <c r="L256" t="s">
        <v>38</v>
      </c>
      <c r="M256" t="s">
        <v>48</v>
      </c>
      <c r="N256" t="s">
        <v>55</v>
      </c>
      <c r="O256" t="s">
        <v>330</v>
      </c>
      <c r="P256">
        <v>23191196</v>
      </c>
      <c r="Q256" t="s">
        <v>61</v>
      </c>
      <c r="R256" t="s">
        <v>62</v>
      </c>
      <c r="S256">
        <v>20</v>
      </c>
      <c r="T256">
        <v>6564.46</v>
      </c>
      <c r="U256">
        <v>131289.20000000001</v>
      </c>
      <c r="V256" t="str">
        <f t="shared" si="69"/>
        <v>Hyderabad</v>
      </c>
      <c r="W256" t="str">
        <f>VLOOKUP(B256, Currency!A:B, 2, FALSE)</f>
        <v>INR</v>
      </c>
      <c r="X256" t="str">
        <f t="shared" si="70"/>
        <v>Accepted</v>
      </c>
      <c r="Y256">
        <f>IFERROR(VLOOKUP(N256, Payment_Terms!A:B, 2, FALSE), "Payment term not found!")</f>
        <v>0</v>
      </c>
      <c r="Z256" t="str">
        <f>IFERROR(VLOOKUP(R256, Item_Category!A:B, 2, FALSE), "Uncategorized")</f>
        <v>Coal materials</v>
      </c>
      <c r="AA256" s="5">
        <f t="shared" si="56"/>
        <v>0</v>
      </c>
      <c r="AB256">
        <f t="shared" si="57"/>
        <v>5</v>
      </c>
      <c r="AC256" s="10">
        <f t="shared" si="58"/>
        <v>-25</v>
      </c>
      <c r="AD256">
        <f t="shared" si="59"/>
        <v>5</v>
      </c>
      <c r="AE256" s="10">
        <f t="shared" si="60"/>
        <v>5</v>
      </c>
      <c r="AF256" s="5">
        <f t="shared" si="53"/>
        <v>1</v>
      </c>
      <c r="AG256" s="5">
        <f t="shared" si="54"/>
        <v>1</v>
      </c>
      <c r="AH256" s="5">
        <f t="shared" si="61"/>
        <v>0</v>
      </c>
      <c r="AI256">
        <f>IF(B256&lt;&gt;"", COUNTIFS($B$2:B256, B256), "")</f>
        <v>81</v>
      </c>
      <c r="AJ256">
        <f t="shared" si="62"/>
        <v>5</v>
      </c>
      <c r="AK256">
        <f t="shared" si="55"/>
        <v>5</v>
      </c>
      <c r="AL256">
        <f t="shared" si="63"/>
        <v>9</v>
      </c>
      <c r="AM256" t="str">
        <f t="shared" si="64"/>
        <v>September</v>
      </c>
      <c r="AN256">
        <f t="shared" si="65"/>
        <v>2023</v>
      </c>
      <c r="AO256" t="str">
        <f t="shared" si="66"/>
        <v>&gt;3</v>
      </c>
      <c r="AP256" t="str">
        <f t="shared" si="67"/>
        <v>&gt;3</v>
      </c>
      <c r="AQ256" t="str">
        <f t="shared" si="68"/>
        <v>&gt;3</v>
      </c>
    </row>
    <row r="257" spans="1:43" x14ac:dyDescent="0.3">
      <c r="A257" t="s">
        <v>33</v>
      </c>
      <c r="B257" t="s">
        <v>64</v>
      </c>
      <c r="C257" t="s">
        <v>226</v>
      </c>
      <c r="D257">
        <v>4296</v>
      </c>
      <c r="E257">
        <v>23120120</v>
      </c>
      <c r="F257" t="s">
        <v>186</v>
      </c>
      <c r="G257" t="s">
        <v>187</v>
      </c>
      <c r="H257">
        <v>2000</v>
      </c>
      <c r="I257">
        <v>124</v>
      </c>
      <c r="J257">
        <v>248000</v>
      </c>
      <c r="K257" s="7" t="str">
        <f>IFERROR(IF(B257&lt;&gt;"", TEXT(VLOOKUP(B257, 'Expected Date'!A:B, 2, FALSE) + DATE(RIGHT(C257,2),MID(C257,4,2),LEFT(C257,2)), "dd/mm/yy"), ""), "")</f>
        <v>21/09/23</v>
      </c>
      <c r="L257" t="s">
        <v>38</v>
      </c>
      <c r="M257" t="s">
        <v>48</v>
      </c>
      <c r="N257" t="s">
        <v>188</v>
      </c>
      <c r="O257" t="s">
        <v>331</v>
      </c>
      <c r="P257">
        <v>23191354</v>
      </c>
      <c r="Q257" t="s">
        <v>186</v>
      </c>
      <c r="R257" t="s">
        <v>187</v>
      </c>
      <c r="S257">
        <v>2822.5</v>
      </c>
      <c r="T257">
        <v>124</v>
      </c>
      <c r="U257">
        <v>349990</v>
      </c>
      <c r="V257" t="str">
        <f t="shared" si="69"/>
        <v>Hyderabad</v>
      </c>
      <c r="W257" t="str">
        <f>VLOOKUP(B257, Currency!A:B, 2, FALSE)</f>
        <v>INR</v>
      </c>
      <c r="X257" t="str">
        <f t="shared" si="70"/>
        <v>Accepted</v>
      </c>
      <c r="Y257">
        <f>IFERROR(VLOOKUP(N257, Payment_Terms!A:B, 2, FALSE), "Payment term not found!")</f>
        <v>30</v>
      </c>
      <c r="Z257" t="str">
        <f>IFERROR(VLOOKUP(R257, Item_Category!A:B, 2, FALSE), "Uncategorized")</f>
        <v>Liner</v>
      </c>
      <c r="AA257" s="5">
        <f t="shared" si="56"/>
        <v>0</v>
      </c>
      <c r="AB257">
        <f t="shared" si="57"/>
        <v>5</v>
      </c>
      <c r="AC257" s="10">
        <f t="shared" si="58"/>
        <v>26</v>
      </c>
      <c r="AD257">
        <f t="shared" si="59"/>
        <v>1</v>
      </c>
      <c r="AE257" s="10">
        <f t="shared" si="60"/>
        <v>36</v>
      </c>
      <c r="AF257" s="5">
        <f t="shared" si="53"/>
        <v>1</v>
      </c>
      <c r="AG257" s="5">
        <f t="shared" si="54"/>
        <v>1</v>
      </c>
      <c r="AH257" s="5">
        <f t="shared" si="61"/>
        <v>0</v>
      </c>
      <c r="AI257">
        <f>IF(B257&lt;&gt;"", COUNTIFS($B$2:B257, B257), "")</f>
        <v>21</v>
      </c>
      <c r="AJ257">
        <f t="shared" si="62"/>
        <v>5</v>
      </c>
      <c r="AK257">
        <f t="shared" si="55"/>
        <v>4</v>
      </c>
      <c r="AL257">
        <f t="shared" si="63"/>
        <v>9</v>
      </c>
      <c r="AM257" t="str">
        <f t="shared" si="64"/>
        <v>September</v>
      </c>
      <c r="AN257">
        <f t="shared" si="65"/>
        <v>2023</v>
      </c>
      <c r="AO257" t="str">
        <f t="shared" si="66"/>
        <v>&gt;3</v>
      </c>
      <c r="AP257" t="str">
        <f t="shared" si="67"/>
        <v>&gt;3</v>
      </c>
      <c r="AQ257" t="str">
        <f t="shared" si="68"/>
        <v>&lt;=3</v>
      </c>
    </row>
    <row r="258" spans="1:43" x14ac:dyDescent="0.3">
      <c r="A258" t="str">
        <f>A244</f>
        <v>Woodpulp</v>
      </c>
      <c r="B258" t="s">
        <v>289</v>
      </c>
      <c r="C258" t="s">
        <v>163</v>
      </c>
      <c r="D258">
        <v>4111</v>
      </c>
      <c r="E258">
        <v>23120112</v>
      </c>
      <c r="F258" t="s">
        <v>290</v>
      </c>
      <c r="G258" t="s">
        <v>291</v>
      </c>
      <c r="H258">
        <v>100</v>
      </c>
      <c r="I258">
        <v>47800</v>
      </c>
      <c r="J258">
        <v>4780000</v>
      </c>
      <c r="K258" s="7" t="str">
        <f>IFERROR(IF(B258&lt;&gt;"", TEXT(VLOOKUP(B258, 'Expected Date'!A:B, 2, FALSE) + DATE(RIGHT(C258,2),MID(C258,4,2),LEFT(C258,2)), "dd/mm/yy"), ""), "")</f>
        <v>29/09/23</v>
      </c>
      <c r="L258" t="s">
        <v>38</v>
      </c>
      <c r="M258" t="str">
        <f>M197</f>
        <v>MT</v>
      </c>
      <c r="N258" t="s">
        <v>292</v>
      </c>
      <c r="O258" t="s">
        <v>105</v>
      </c>
      <c r="P258">
        <v>23190994</v>
      </c>
      <c r="Q258" t="s">
        <v>290</v>
      </c>
      <c r="R258" t="s">
        <v>291</v>
      </c>
      <c r="S258">
        <v>25.234000000000002</v>
      </c>
      <c r="T258">
        <v>47800</v>
      </c>
      <c r="U258">
        <v>1206185.2</v>
      </c>
      <c r="V258" t="str">
        <f t="shared" si="69"/>
        <v>Hyderabad</v>
      </c>
      <c r="W258" t="str">
        <f>VLOOKUP(B258, Currency!A:B, 2, FALSE)</f>
        <v>INR</v>
      </c>
      <c r="X258" t="str">
        <f t="shared" si="70"/>
        <v>Accepted</v>
      </c>
      <c r="Y258">
        <f>IFERROR(VLOOKUP(N258, Payment_Terms!A:B, 2, FALSE), "Payment term not found!")</f>
        <v>0</v>
      </c>
      <c r="Z258" t="str">
        <f>IFERROR(VLOOKUP(R258, Item_Category!A:B, 2, FALSE), "Uncategorized")</f>
        <v>Wood pulp</v>
      </c>
      <c r="AA258" s="5">
        <f t="shared" si="56"/>
        <v>0</v>
      </c>
      <c r="AB258">
        <f t="shared" si="57"/>
        <v>5</v>
      </c>
      <c r="AC258" s="10">
        <f t="shared" si="58"/>
        <v>-35</v>
      </c>
      <c r="AD258">
        <f t="shared" si="59"/>
        <v>5</v>
      </c>
      <c r="AE258" s="10">
        <f t="shared" si="60"/>
        <v>5</v>
      </c>
      <c r="AF258" s="5">
        <f t="shared" ref="AF258:AF321" si="71">IF(X258="Accepted",1,0)</f>
        <v>1</v>
      </c>
      <c r="AG258" s="5">
        <f t="shared" ref="AG258:AG321" si="72">ROUNDUP((SUMIFS(S:S, B:B, B258, X:X, "Accepted")/SUMIF(B:B,B258,S:S)),2)</f>
        <v>1</v>
      </c>
      <c r="AH258" s="5">
        <f t="shared" si="61"/>
        <v>0</v>
      </c>
      <c r="AI258">
        <f>IF(B258&lt;&gt;"", COUNTIFS($B$2:B258, B258), "")</f>
        <v>12</v>
      </c>
      <c r="AJ258">
        <f t="shared" si="62"/>
        <v>5</v>
      </c>
      <c r="AK258">
        <f t="shared" ref="AK258:AK321" si="73">_xlfn.CEILING.MATH(((0.4*AJ258)+(0.3*AD258)+(0.3*AB258)),1)</f>
        <v>5</v>
      </c>
      <c r="AL258">
        <f t="shared" si="63"/>
        <v>8</v>
      </c>
      <c r="AM258" t="str">
        <f t="shared" si="64"/>
        <v>August</v>
      </c>
      <c r="AN258">
        <f t="shared" si="65"/>
        <v>2023</v>
      </c>
      <c r="AO258" t="str">
        <f t="shared" si="66"/>
        <v>&gt;3</v>
      </c>
      <c r="AP258" t="str">
        <f t="shared" si="67"/>
        <v>&gt;3</v>
      </c>
      <c r="AQ258" t="str">
        <f t="shared" si="68"/>
        <v>&gt;3</v>
      </c>
    </row>
    <row r="259" spans="1:43" x14ac:dyDescent="0.3">
      <c r="A259" t="s">
        <v>33</v>
      </c>
      <c r="B259" t="s">
        <v>73</v>
      </c>
      <c r="C259" t="s">
        <v>198</v>
      </c>
      <c r="D259">
        <v>3461</v>
      </c>
      <c r="E259">
        <v>23120095</v>
      </c>
      <c r="F259" t="s">
        <v>75</v>
      </c>
      <c r="G259" t="s">
        <v>76</v>
      </c>
      <c r="H259">
        <v>1600</v>
      </c>
      <c r="I259">
        <v>900</v>
      </c>
      <c r="J259">
        <v>1440000</v>
      </c>
      <c r="K259" s="7" t="str">
        <f>IFERROR(IF(B259&lt;&gt;"", TEXT(VLOOKUP(B259, 'Expected Date'!A:B, 2, FALSE) + DATE(RIGHT(C259,2),MID(C259,4,2),LEFT(C259,2)), "dd/mm/yy"), ""), "")</f>
        <v>20/08/23</v>
      </c>
      <c r="L259" t="s">
        <v>38</v>
      </c>
      <c r="M259" t="s">
        <v>39</v>
      </c>
      <c r="N259" t="s">
        <v>77</v>
      </c>
      <c r="O259" t="s">
        <v>332</v>
      </c>
      <c r="P259">
        <v>23190972</v>
      </c>
      <c r="Q259" t="s">
        <v>75</v>
      </c>
      <c r="R259" t="s">
        <v>76</v>
      </c>
      <c r="S259">
        <v>450</v>
      </c>
      <c r="T259">
        <v>900</v>
      </c>
      <c r="U259">
        <v>405000</v>
      </c>
      <c r="V259" t="str">
        <f t="shared" si="69"/>
        <v>Hyderabad</v>
      </c>
      <c r="W259" t="str">
        <f>VLOOKUP(B259, Currency!A:B, 2, FALSE)</f>
        <v>INR</v>
      </c>
      <c r="X259" t="str">
        <f t="shared" si="70"/>
        <v>Accepted</v>
      </c>
      <c r="Y259">
        <f>IFERROR(VLOOKUP(N259, Payment_Terms!A:B, 2, FALSE), "Payment term not found!")</f>
        <v>0</v>
      </c>
      <c r="Z259" t="str">
        <f>IFERROR(VLOOKUP(R259, Item_Category!A:B, 2, FALSE), "Uncategorized")</f>
        <v>Pallets</v>
      </c>
      <c r="AA259" s="5">
        <f t="shared" ref="AA259:AA322" si="74">IFERROR(IF(AND(E259&lt;&gt;"", G259&lt;&gt;""), MAX(0, (H259-SUMIFS(S:S, E:E, E259, G:G, G259))/H259), ""), (H259-S259)/H259)</f>
        <v>0</v>
      </c>
      <c r="AB259">
        <f t="shared" ref="AB259:AB322" si="75">IF(AA259&lt;=0%,5,(IF(AND(AA259&gt;0%,AA259&lt;=2%),4,IF(AND(AA259&gt;2%,AA259&lt;=5%),3,IF(AND(AA259&gt;5%,AA259&lt;10%),2,1)))))</f>
        <v>5</v>
      </c>
      <c r="AC259" s="10">
        <f t="shared" ref="AC259:AC322" si="76">DATE(RIGHT(O259,2),MID(O259,4,2),LEFT(O259,2)) - DATE(RIGHT(K259,2),MID(K259,4,2),LEFT(K259,2))</f>
        <v>9</v>
      </c>
      <c r="AD259">
        <f t="shared" ref="AD259:AD322" si="77">IF(AC259 &lt;= 2, 5, IF(AC259 &lt;= 4, 4, IF(AC259 &lt;= 7, 3, IF(AC259&lt;=10,2,1))))</f>
        <v>2</v>
      </c>
      <c r="AE259" s="10">
        <f t="shared" ref="AE259:AE322" si="78">ABS(DATE(RIGHT(O259,2),MID(O259,4,2),LEFT(O259,2)) - DATE(RIGHT(C259,2),MID(C259,4,2),LEFT(C259,2)))</f>
        <v>29</v>
      </c>
      <c r="AF259" s="5">
        <f t="shared" si="71"/>
        <v>1</v>
      </c>
      <c r="AG259" s="5">
        <f t="shared" si="72"/>
        <v>1</v>
      </c>
      <c r="AH259" s="5">
        <f t="shared" ref="AH259:AH322" si="79">ROUNDUP(ABS(100%-AG259),2)</f>
        <v>0</v>
      </c>
      <c r="AI259">
        <f>IF(B259&lt;&gt;"", COUNTIFS($B$2:B259, B259), "")</f>
        <v>15</v>
      </c>
      <c r="AJ259">
        <f t="shared" ref="AJ259:AJ322" si="80">IF(AH259=0%,5,IF(AND(AH259&gt;0%,AH259&lt;=2%),4,IF(AND(AH259&gt;2%,AH259&lt;=5%),3,IF(AND(AH259&gt;5%,AH259&lt;10%),2,1))))</f>
        <v>5</v>
      </c>
      <c r="AK259">
        <f t="shared" si="73"/>
        <v>5</v>
      </c>
      <c r="AL259">
        <f t="shared" ref="AL259:AL322" si="81">MONTH(DATE(RIGHT(C259,2),MID(C259,4,2),LEFT(C259,2)))</f>
        <v>7</v>
      </c>
      <c r="AM259" t="str">
        <f t="shared" ref="AM259:AM322" si="82">TEXT(DATE(RIGHT(C259,2),MID(C259,4,2),LEFT(C259,2)),"mmmm")</f>
        <v>July</v>
      </c>
      <c r="AN259">
        <f t="shared" ref="AN259:AN322" si="83">YEAR(DATE(VALUE(MID(C259,7,2))+2000, MID(C259,4,2), MID(C259,1,2)))</f>
        <v>2023</v>
      </c>
      <c r="AO259" t="str">
        <f t="shared" ref="AO259:AO322" si="84">IF(AJ259&lt;=3,"&lt;=3","&gt;3")</f>
        <v>&gt;3</v>
      </c>
      <c r="AP259" t="str">
        <f t="shared" ref="AP259:AP322" si="85">IF(AB259&lt;=3,"&lt;=3","&gt;3")</f>
        <v>&gt;3</v>
      </c>
      <c r="AQ259" t="str">
        <f t="shared" ref="AQ259:AQ322" si="86">IF(AD259&lt;=3,"&lt;=3","&gt;3")</f>
        <v>&lt;=3</v>
      </c>
    </row>
    <row r="260" spans="1:43" x14ac:dyDescent="0.3">
      <c r="A260" t="s">
        <v>33</v>
      </c>
      <c r="B260" t="s">
        <v>34</v>
      </c>
      <c r="C260" t="s">
        <v>35</v>
      </c>
      <c r="D260">
        <v>1661</v>
      </c>
      <c r="E260">
        <v>23120014</v>
      </c>
      <c r="F260" t="s">
        <v>316</v>
      </c>
      <c r="G260" t="s">
        <v>317</v>
      </c>
      <c r="H260">
        <v>2028</v>
      </c>
      <c r="I260">
        <v>35.75</v>
      </c>
      <c r="J260">
        <v>72501</v>
      </c>
      <c r="K260" s="7" t="str">
        <f>IFERROR(IF(B260&lt;&gt;"", TEXT(VLOOKUP(B260, 'Expected Date'!A:B, 2, FALSE) + DATE(RIGHT(C260,2),MID(C260,4,2),LEFT(C260,2)), "dd/mm/yy"), ""), "")</f>
        <v>07/05/23</v>
      </c>
      <c r="L260" t="s">
        <v>38</v>
      </c>
      <c r="M260" t="s">
        <v>39</v>
      </c>
      <c r="N260" t="s">
        <v>40</v>
      </c>
      <c r="O260" t="s">
        <v>41</v>
      </c>
      <c r="P260">
        <v>23190139</v>
      </c>
      <c r="Q260" t="s">
        <v>316</v>
      </c>
      <c r="R260" t="s">
        <v>317</v>
      </c>
      <c r="S260">
        <v>2028</v>
      </c>
      <c r="T260">
        <v>35.75</v>
      </c>
      <c r="U260">
        <v>72501</v>
      </c>
      <c r="V260" t="str">
        <f t="shared" ref="V260:V283" si="87">V259</f>
        <v>Hyderabad</v>
      </c>
      <c r="W260" t="str">
        <f>VLOOKUP(B260, Currency!A:B, 2, FALSE)</f>
        <v>INR</v>
      </c>
      <c r="X260" t="str">
        <f t="shared" ref="X260:X283" si="88">X259</f>
        <v>Accepted</v>
      </c>
      <c r="Y260">
        <f>IFERROR(VLOOKUP(N260, Payment_Terms!A:B, 2, FALSE), "Payment term not found!")</f>
        <v>30</v>
      </c>
      <c r="Z260" t="str">
        <f>IFERROR(VLOOKUP(R260, Item_Category!A:B, 2, FALSE), "Uncategorized")</f>
        <v>Bags</v>
      </c>
      <c r="AA260" s="5">
        <f t="shared" si="74"/>
        <v>0</v>
      </c>
      <c r="AB260">
        <f t="shared" si="75"/>
        <v>5</v>
      </c>
      <c r="AC260" s="10">
        <f t="shared" si="76"/>
        <v>-8</v>
      </c>
      <c r="AD260">
        <f t="shared" si="77"/>
        <v>5</v>
      </c>
      <c r="AE260" s="10">
        <f t="shared" si="78"/>
        <v>2</v>
      </c>
      <c r="AF260" s="5">
        <f t="shared" si="71"/>
        <v>1</v>
      </c>
      <c r="AG260" s="5">
        <f t="shared" si="72"/>
        <v>1</v>
      </c>
      <c r="AH260" s="5">
        <f t="shared" si="79"/>
        <v>0</v>
      </c>
      <c r="AI260">
        <f>IF(B260&lt;&gt;"", COUNTIFS($B$2:B260, B260), "")</f>
        <v>15</v>
      </c>
      <c r="AJ260">
        <f t="shared" si="80"/>
        <v>5</v>
      </c>
      <c r="AK260">
        <f t="shared" si="73"/>
        <v>5</v>
      </c>
      <c r="AL260">
        <f t="shared" si="81"/>
        <v>4</v>
      </c>
      <c r="AM260" t="str">
        <f t="shared" si="82"/>
        <v>April</v>
      </c>
      <c r="AN260">
        <f t="shared" si="83"/>
        <v>2023</v>
      </c>
      <c r="AO260" t="str">
        <f t="shared" si="84"/>
        <v>&gt;3</v>
      </c>
      <c r="AP260" t="str">
        <f t="shared" si="85"/>
        <v>&gt;3</v>
      </c>
      <c r="AQ260" t="str">
        <f t="shared" si="86"/>
        <v>&gt;3</v>
      </c>
    </row>
    <row r="261" spans="1:43" x14ac:dyDescent="0.3">
      <c r="A261" t="s">
        <v>33</v>
      </c>
      <c r="B261" t="s">
        <v>34</v>
      </c>
      <c r="C261" t="s">
        <v>35</v>
      </c>
      <c r="D261">
        <v>1661</v>
      </c>
      <c r="E261">
        <v>23120014</v>
      </c>
      <c r="F261" t="s">
        <v>333</v>
      </c>
      <c r="G261" t="s">
        <v>334</v>
      </c>
      <c r="H261">
        <v>2036</v>
      </c>
      <c r="I261">
        <v>35.75</v>
      </c>
      <c r="J261">
        <v>72787</v>
      </c>
      <c r="K261" s="7" t="str">
        <f>IFERROR(IF(B261&lt;&gt;"", TEXT(VLOOKUP(B261, 'Expected Date'!A:B, 2, FALSE) + DATE(RIGHT(C261,2),MID(C261,4,2),LEFT(C261,2)), "dd/mm/yy"), ""), "")</f>
        <v>07/05/23</v>
      </c>
      <c r="L261" t="s">
        <v>38</v>
      </c>
      <c r="M261" t="s">
        <v>39</v>
      </c>
      <c r="N261" t="s">
        <v>40</v>
      </c>
      <c r="O261" t="s">
        <v>41</v>
      </c>
      <c r="P261">
        <v>23190139</v>
      </c>
      <c r="Q261" t="s">
        <v>333</v>
      </c>
      <c r="R261" t="s">
        <v>334</v>
      </c>
      <c r="S261">
        <v>2036</v>
      </c>
      <c r="T261">
        <v>35.75</v>
      </c>
      <c r="U261">
        <v>72787</v>
      </c>
      <c r="V261" t="str">
        <f t="shared" si="87"/>
        <v>Hyderabad</v>
      </c>
      <c r="W261" t="str">
        <f>VLOOKUP(B261, Currency!A:B, 2, FALSE)</f>
        <v>INR</v>
      </c>
      <c r="X261" t="str">
        <f t="shared" si="88"/>
        <v>Accepted</v>
      </c>
      <c r="Y261">
        <f>IFERROR(VLOOKUP(N261, Payment_Terms!A:B, 2, FALSE), "Payment term not found!")</f>
        <v>30</v>
      </c>
      <c r="Z261" t="str">
        <f>IFERROR(VLOOKUP(R261, Item_Category!A:B, 2, FALSE), "Uncategorized")</f>
        <v>SSG-Bags</v>
      </c>
      <c r="AA261" s="5">
        <f t="shared" si="74"/>
        <v>0</v>
      </c>
      <c r="AB261">
        <f t="shared" si="75"/>
        <v>5</v>
      </c>
      <c r="AC261" s="10">
        <f t="shared" si="76"/>
        <v>-8</v>
      </c>
      <c r="AD261">
        <f t="shared" si="77"/>
        <v>5</v>
      </c>
      <c r="AE261" s="10">
        <f t="shared" si="78"/>
        <v>2</v>
      </c>
      <c r="AF261" s="5">
        <f t="shared" si="71"/>
        <v>1</v>
      </c>
      <c r="AG261" s="5">
        <f t="shared" si="72"/>
        <v>1</v>
      </c>
      <c r="AH261" s="5">
        <f t="shared" si="79"/>
        <v>0</v>
      </c>
      <c r="AI261">
        <f>IF(B261&lt;&gt;"", COUNTIFS($B$2:B261, B261), "")</f>
        <v>16</v>
      </c>
      <c r="AJ261">
        <f t="shared" si="80"/>
        <v>5</v>
      </c>
      <c r="AK261">
        <f t="shared" si="73"/>
        <v>5</v>
      </c>
      <c r="AL261">
        <f t="shared" si="81"/>
        <v>4</v>
      </c>
      <c r="AM261" t="str">
        <f t="shared" si="82"/>
        <v>April</v>
      </c>
      <c r="AN261">
        <f t="shared" si="83"/>
        <v>2023</v>
      </c>
      <c r="AO261" t="str">
        <f t="shared" si="84"/>
        <v>&gt;3</v>
      </c>
      <c r="AP261" t="str">
        <f t="shared" si="85"/>
        <v>&gt;3</v>
      </c>
      <c r="AQ261" t="str">
        <f t="shared" si="86"/>
        <v>&gt;3</v>
      </c>
    </row>
    <row r="262" spans="1:43" x14ac:dyDescent="0.3">
      <c r="A262" t="s">
        <v>33</v>
      </c>
      <c r="B262" t="s">
        <v>64</v>
      </c>
      <c r="C262" t="s">
        <v>87</v>
      </c>
      <c r="D262">
        <v>3062</v>
      </c>
      <c r="E262">
        <v>23120088</v>
      </c>
      <c r="F262" t="s">
        <v>335</v>
      </c>
      <c r="G262" t="s">
        <v>336</v>
      </c>
      <c r="H262">
        <v>2000</v>
      </c>
      <c r="I262">
        <v>22.5</v>
      </c>
      <c r="J262">
        <v>45000</v>
      </c>
      <c r="K262" s="7" t="str">
        <f>IFERROR(IF(B262&lt;&gt;"", TEXT(VLOOKUP(B262, 'Expected Date'!A:B, 2, FALSE) + DATE(RIGHT(C262,2),MID(C262,4,2),LEFT(C262,2)), "dd/mm/yy"), ""), "")</f>
        <v>22/07/23</v>
      </c>
      <c r="L262" t="s">
        <v>38</v>
      </c>
      <c r="M262" t="s">
        <v>48</v>
      </c>
      <c r="N262" t="s">
        <v>69</v>
      </c>
      <c r="O262" t="s">
        <v>192</v>
      </c>
      <c r="P262">
        <v>23190837</v>
      </c>
      <c r="Q262" t="s">
        <v>335</v>
      </c>
      <c r="R262" t="s">
        <v>336</v>
      </c>
      <c r="S262">
        <v>2450</v>
      </c>
      <c r="T262">
        <v>22.5</v>
      </c>
      <c r="U262">
        <v>55125</v>
      </c>
      <c r="V262" t="str">
        <f t="shared" si="87"/>
        <v>Hyderabad</v>
      </c>
      <c r="W262" t="str">
        <f>VLOOKUP(B262, Currency!A:B, 2, FALSE)</f>
        <v>INR</v>
      </c>
      <c r="X262" t="str">
        <f t="shared" si="88"/>
        <v>Accepted</v>
      </c>
      <c r="Y262">
        <f>IFERROR(VLOOKUP(N262, Payment_Terms!A:B, 2, FALSE), "Payment term not found!")</f>
        <v>30</v>
      </c>
      <c r="Z262" t="str">
        <f>IFERROR(VLOOKUP(R262, Item_Category!A:B, 2, FALSE), "Uncategorized")</f>
        <v>Bags</v>
      </c>
      <c r="AA262" s="5">
        <f t="shared" si="74"/>
        <v>0</v>
      </c>
      <c r="AB262">
        <f t="shared" si="75"/>
        <v>5</v>
      </c>
      <c r="AC262" s="10">
        <f t="shared" si="76"/>
        <v>23</v>
      </c>
      <c r="AD262">
        <f t="shared" si="77"/>
        <v>1</v>
      </c>
      <c r="AE262" s="10">
        <f t="shared" si="78"/>
        <v>33</v>
      </c>
      <c r="AF262" s="5">
        <f t="shared" si="71"/>
        <v>1</v>
      </c>
      <c r="AG262" s="5">
        <f t="shared" si="72"/>
        <v>1</v>
      </c>
      <c r="AH262" s="5">
        <f t="shared" si="79"/>
        <v>0</v>
      </c>
      <c r="AI262">
        <f>IF(B262&lt;&gt;"", COUNTIFS($B$2:B262, B262), "")</f>
        <v>22</v>
      </c>
      <c r="AJ262">
        <f t="shared" si="80"/>
        <v>5</v>
      </c>
      <c r="AK262">
        <f t="shared" si="73"/>
        <v>4</v>
      </c>
      <c r="AL262">
        <f t="shared" si="81"/>
        <v>7</v>
      </c>
      <c r="AM262" t="str">
        <f t="shared" si="82"/>
        <v>July</v>
      </c>
      <c r="AN262">
        <f t="shared" si="83"/>
        <v>2023</v>
      </c>
      <c r="AO262" t="str">
        <f t="shared" si="84"/>
        <v>&gt;3</v>
      </c>
      <c r="AP262" t="str">
        <f t="shared" si="85"/>
        <v>&gt;3</v>
      </c>
      <c r="AQ262" t="str">
        <f t="shared" si="86"/>
        <v>&lt;=3</v>
      </c>
    </row>
    <row r="263" spans="1:43" x14ac:dyDescent="0.3">
      <c r="A263" t="s">
        <v>33</v>
      </c>
      <c r="B263" t="s">
        <v>64</v>
      </c>
      <c r="C263" t="s">
        <v>117</v>
      </c>
      <c r="D263">
        <v>2902</v>
      </c>
      <c r="E263">
        <v>23120086</v>
      </c>
      <c r="F263" t="s">
        <v>186</v>
      </c>
      <c r="G263" t="s">
        <v>187</v>
      </c>
      <c r="H263">
        <v>2000</v>
      </c>
      <c r="I263">
        <v>126</v>
      </c>
      <c r="J263">
        <v>252000</v>
      </c>
      <c r="K263" s="7" t="str">
        <f>IFERROR(IF(B263&lt;&gt;"", TEXT(VLOOKUP(B263, 'Expected Date'!A:B, 2, FALSE) + DATE(RIGHT(C263,2),MID(C263,4,2),LEFT(C263,2)), "dd/mm/yy"), ""), "")</f>
        <v>17/07/23</v>
      </c>
      <c r="L263" t="s">
        <v>38</v>
      </c>
      <c r="M263" t="s">
        <v>48</v>
      </c>
      <c r="N263" t="s">
        <v>188</v>
      </c>
      <c r="O263" t="s">
        <v>263</v>
      </c>
      <c r="P263">
        <v>23191252</v>
      </c>
      <c r="Q263" t="s">
        <v>186</v>
      </c>
      <c r="R263" t="s">
        <v>187</v>
      </c>
      <c r="S263">
        <v>2225</v>
      </c>
      <c r="T263">
        <v>126</v>
      </c>
      <c r="U263">
        <v>280350</v>
      </c>
      <c r="V263" t="str">
        <f t="shared" si="87"/>
        <v>Hyderabad</v>
      </c>
      <c r="W263" t="str">
        <f>VLOOKUP(B263, Currency!A:B, 2, FALSE)</f>
        <v>INR</v>
      </c>
      <c r="X263" t="str">
        <f t="shared" si="88"/>
        <v>Accepted</v>
      </c>
      <c r="Y263">
        <f>IFERROR(VLOOKUP(N263, Payment_Terms!A:B, 2, FALSE), "Payment term not found!")</f>
        <v>30</v>
      </c>
      <c r="Z263" t="str">
        <f>IFERROR(VLOOKUP(R263, Item_Category!A:B, 2, FALSE), "Uncategorized")</f>
        <v>Liner</v>
      </c>
      <c r="AA263" s="5">
        <f t="shared" si="74"/>
        <v>0</v>
      </c>
      <c r="AB263">
        <f t="shared" si="75"/>
        <v>5</v>
      </c>
      <c r="AC263" s="10">
        <f t="shared" si="76"/>
        <v>84</v>
      </c>
      <c r="AD263">
        <f t="shared" si="77"/>
        <v>1</v>
      </c>
      <c r="AE263" s="10">
        <f t="shared" si="78"/>
        <v>94</v>
      </c>
      <c r="AF263" s="5">
        <f t="shared" si="71"/>
        <v>1</v>
      </c>
      <c r="AG263" s="5">
        <f t="shared" si="72"/>
        <v>1</v>
      </c>
      <c r="AH263" s="5">
        <f t="shared" si="79"/>
        <v>0</v>
      </c>
      <c r="AI263">
        <f>IF(B263&lt;&gt;"", COUNTIFS($B$2:B263, B263), "")</f>
        <v>23</v>
      </c>
      <c r="AJ263">
        <f t="shared" si="80"/>
        <v>5</v>
      </c>
      <c r="AK263">
        <f t="shared" si="73"/>
        <v>4</v>
      </c>
      <c r="AL263">
        <f t="shared" si="81"/>
        <v>7</v>
      </c>
      <c r="AM263" t="str">
        <f t="shared" si="82"/>
        <v>July</v>
      </c>
      <c r="AN263">
        <f t="shared" si="83"/>
        <v>2023</v>
      </c>
      <c r="AO263" t="str">
        <f t="shared" si="84"/>
        <v>&gt;3</v>
      </c>
      <c r="AP263" t="str">
        <f t="shared" si="85"/>
        <v>&gt;3</v>
      </c>
      <c r="AQ263" t="str">
        <f t="shared" si="86"/>
        <v>&lt;=3</v>
      </c>
    </row>
    <row r="264" spans="1:43" x14ac:dyDescent="0.3">
      <c r="A264" t="str">
        <f>A244</f>
        <v>Woodpulp</v>
      </c>
      <c r="B264" t="s">
        <v>289</v>
      </c>
      <c r="C264" t="s">
        <v>249</v>
      </c>
      <c r="D264">
        <v>2552</v>
      </c>
      <c r="E264">
        <v>23120051</v>
      </c>
      <c r="F264" t="s">
        <v>290</v>
      </c>
      <c r="G264" t="s">
        <v>291</v>
      </c>
      <c r="H264">
        <v>100</v>
      </c>
      <c r="I264">
        <v>47800</v>
      </c>
      <c r="J264">
        <v>4780000</v>
      </c>
      <c r="K264" s="7" t="str">
        <f>IFERROR(IF(B264&lt;&gt;"", TEXT(VLOOKUP(B264, 'Expected Date'!A:B, 2, FALSE) + DATE(RIGHT(C264,2),MID(C264,4,2),LEFT(C264,2)), "dd/mm/yy"), ""), "")</f>
        <v>21/07/23</v>
      </c>
      <c r="L264" t="s">
        <v>38</v>
      </c>
      <c r="M264" t="str">
        <f>M197</f>
        <v>MT</v>
      </c>
      <c r="N264" t="s">
        <v>292</v>
      </c>
      <c r="O264" t="s">
        <v>293</v>
      </c>
      <c r="P264">
        <v>23190928</v>
      </c>
      <c r="Q264" t="s">
        <v>290</v>
      </c>
      <c r="R264" t="s">
        <v>291</v>
      </c>
      <c r="S264">
        <v>25.234000000000002</v>
      </c>
      <c r="T264">
        <v>47800</v>
      </c>
      <c r="U264">
        <v>1206185.2</v>
      </c>
      <c r="V264" t="str">
        <f t="shared" si="87"/>
        <v>Hyderabad</v>
      </c>
      <c r="W264" t="str">
        <f>VLOOKUP(B264, Currency!A:B, 2, FALSE)</f>
        <v>INR</v>
      </c>
      <c r="X264" t="str">
        <f t="shared" si="88"/>
        <v>Accepted</v>
      </c>
      <c r="Y264">
        <f>IFERROR(VLOOKUP(N264, Payment_Terms!A:B, 2, FALSE), "Payment term not found!")</f>
        <v>0</v>
      </c>
      <c r="Z264" t="str">
        <f>IFERROR(VLOOKUP(R264, Item_Category!A:B, 2, FALSE), "Uncategorized")</f>
        <v>Wood pulp</v>
      </c>
      <c r="AA264" s="5">
        <f t="shared" si="74"/>
        <v>0</v>
      </c>
      <c r="AB264">
        <f t="shared" si="75"/>
        <v>5</v>
      </c>
      <c r="AC264" s="10">
        <f t="shared" si="76"/>
        <v>32</v>
      </c>
      <c r="AD264">
        <f t="shared" si="77"/>
        <v>1</v>
      </c>
      <c r="AE264" s="10">
        <f t="shared" si="78"/>
        <v>62</v>
      </c>
      <c r="AF264" s="5">
        <f t="shared" si="71"/>
        <v>1</v>
      </c>
      <c r="AG264" s="5">
        <f t="shared" si="72"/>
        <v>1</v>
      </c>
      <c r="AH264" s="5">
        <f t="shared" si="79"/>
        <v>0</v>
      </c>
      <c r="AI264">
        <f>IF(B264&lt;&gt;"", COUNTIFS($B$2:B264, B264), "")</f>
        <v>13</v>
      </c>
      <c r="AJ264">
        <f t="shared" si="80"/>
        <v>5</v>
      </c>
      <c r="AK264">
        <f t="shared" si="73"/>
        <v>4</v>
      </c>
      <c r="AL264">
        <f t="shared" si="81"/>
        <v>6</v>
      </c>
      <c r="AM264" t="str">
        <f t="shared" si="82"/>
        <v>June</v>
      </c>
      <c r="AN264">
        <f t="shared" si="83"/>
        <v>2023</v>
      </c>
      <c r="AO264" t="str">
        <f t="shared" si="84"/>
        <v>&gt;3</v>
      </c>
      <c r="AP264" t="str">
        <f t="shared" si="85"/>
        <v>&gt;3</v>
      </c>
      <c r="AQ264" t="str">
        <f t="shared" si="86"/>
        <v>&lt;=3</v>
      </c>
    </row>
    <row r="265" spans="1:43" x14ac:dyDescent="0.3">
      <c r="A265" t="str">
        <f>A244</f>
        <v>Woodpulp</v>
      </c>
      <c r="B265" t="s">
        <v>289</v>
      </c>
      <c r="C265" t="s">
        <v>249</v>
      </c>
      <c r="D265">
        <v>2552</v>
      </c>
      <c r="E265">
        <v>23120051</v>
      </c>
      <c r="F265" t="s">
        <v>290</v>
      </c>
      <c r="G265" t="s">
        <v>291</v>
      </c>
      <c r="H265">
        <v>100</v>
      </c>
      <c r="I265">
        <v>47800</v>
      </c>
      <c r="J265">
        <v>4780000</v>
      </c>
      <c r="K265" s="7" t="str">
        <f>IFERROR(IF(B265&lt;&gt;"", TEXT(VLOOKUP(B265, 'Expected Date'!A:B, 2, FALSE) + DATE(RIGHT(C265,2),MID(C265,4,2),LEFT(C265,2)), "dd/mm/yy"), ""), "")</f>
        <v>21/07/23</v>
      </c>
      <c r="L265" t="s">
        <v>38</v>
      </c>
      <c r="M265" t="str">
        <f>M197</f>
        <v>MT</v>
      </c>
      <c r="N265" t="s">
        <v>292</v>
      </c>
      <c r="O265" t="s">
        <v>293</v>
      </c>
      <c r="P265">
        <v>23190929</v>
      </c>
      <c r="Q265" t="s">
        <v>290</v>
      </c>
      <c r="R265" t="s">
        <v>291</v>
      </c>
      <c r="S265">
        <v>25.234000000000002</v>
      </c>
      <c r="T265">
        <v>47800</v>
      </c>
      <c r="U265">
        <v>1206185.2</v>
      </c>
      <c r="V265" t="str">
        <f t="shared" si="87"/>
        <v>Hyderabad</v>
      </c>
      <c r="W265" t="str">
        <f>VLOOKUP(B265, Currency!A:B, 2, FALSE)</f>
        <v>INR</v>
      </c>
      <c r="X265" t="str">
        <f t="shared" si="88"/>
        <v>Accepted</v>
      </c>
      <c r="Y265">
        <f>IFERROR(VLOOKUP(N265, Payment_Terms!A:B, 2, FALSE), "Payment term not found!")</f>
        <v>0</v>
      </c>
      <c r="Z265" t="str">
        <f>IFERROR(VLOOKUP(R265, Item_Category!A:B, 2, FALSE), "Uncategorized")</f>
        <v>Wood pulp</v>
      </c>
      <c r="AA265" s="5">
        <f t="shared" si="74"/>
        <v>0</v>
      </c>
      <c r="AB265">
        <f t="shared" si="75"/>
        <v>5</v>
      </c>
      <c r="AC265" s="10">
        <f t="shared" si="76"/>
        <v>32</v>
      </c>
      <c r="AD265">
        <f t="shared" si="77"/>
        <v>1</v>
      </c>
      <c r="AE265" s="10">
        <f t="shared" si="78"/>
        <v>62</v>
      </c>
      <c r="AF265" s="5">
        <f t="shared" si="71"/>
        <v>1</v>
      </c>
      <c r="AG265" s="5">
        <f t="shared" si="72"/>
        <v>1</v>
      </c>
      <c r="AH265" s="5">
        <f t="shared" si="79"/>
        <v>0</v>
      </c>
      <c r="AI265">
        <f>IF(B265&lt;&gt;"", COUNTIFS($B$2:B265, B265), "")</f>
        <v>14</v>
      </c>
      <c r="AJ265">
        <f t="shared" si="80"/>
        <v>5</v>
      </c>
      <c r="AK265">
        <f t="shared" si="73"/>
        <v>4</v>
      </c>
      <c r="AL265">
        <f t="shared" si="81"/>
        <v>6</v>
      </c>
      <c r="AM265" t="str">
        <f t="shared" si="82"/>
        <v>June</v>
      </c>
      <c r="AN265">
        <f t="shared" si="83"/>
        <v>2023</v>
      </c>
      <c r="AO265" t="str">
        <f t="shared" si="84"/>
        <v>&gt;3</v>
      </c>
      <c r="AP265" t="str">
        <f t="shared" si="85"/>
        <v>&gt;3</v>
      </c>
      <c r="AQ265" t="str">
        <f t="shared" si="86"/>
        <v>&lt;=3</v>
      </c>
    </row>
    <row r="266" spans="1:43" x14ac:dyDescent="0.3">
      <c r="A266" t="str">
        <f>A258</f>
        <v>Woodpulp</v>
      </c>
      <c r="B266" t="s">
        <v>289</v>
      </c>
      <c r="C266" t="s">
        <v>249</v>
      </c>
      <c r="D266">
        <v>2552</v>
      </c>
      <c r="E266">
        <v>23120051</v>
      </c>
      <c r="F266" t="s">
        <v>290</v>
      </c>
      <c r="G266" t="s">
        <v>291</v>
      </c>
      <c r="H266">
        <v>100</v>
      </c>
      <c r="I266">
        <v>47800</v>
      </c>
      <c r="J266">
        <v>4780000</v>
      </c>
      <c r="K266" s="7" t="str">
        <f>IFERROR(IF(B266&lt;&gt;"", TEXT(VLOOKUP(B266, 'Expected Date'!A:B, 2, FALSE) + DATE(RIGHT(C266,2),MID(C266,4,2),LEFT(C266,2)), "dd/mm/yy"), ""), "")</f>
        <v>21/07/23</v>
      </c>
      <c r="L266" t="s">
        <v>38</v>
      </c>
      <c r="M266" t="str">
        <f>M197</f>
        <v>MT</v>
      </c>
      <c r="N266" t="s">
        <v>292</v>
      </c>
      <c r="O266" t="s">
        <v>293</v>
      </c>
      <c r="P266">
        <v>23190930</v>
      </c>
      <c r="Q266" t="s">
        <v>290</v>
      </c>
      <c r="R266" t="s">
        <v>291</v>
      </c>
      <c r="S266">
        <v>20.187000000000001</v>
      </c>
      <c r="T266">
        <v>47800</v>
      </c>
      <c r="U266">
        <v>964938.6</v>
      </c>
      <c r="V266" t="str">
        <f t="shared" si="87"/>
        <v>Hyderabad</v>
      </c>
      <c r="W266" t="str">
        <f>VLOOKUP(B266, Currency!A:B, 2, FALSE)</f>
        <v>INR</v>
      </c>
      <c r="X266" t="str">
        <f t="shared" si="88"/>
        <v>Accepted</v>
      </c>
      <c r="Y266">
        <f>IFERROR(VLOOKUP(N266, Payment_Terms!A:B, 2, FALSE), "Payment term not found!")</f>
        <v>0</v>
      </c>
      <c r="Z266" t="str">
        <f>IFERROR(VLOOKUP(R266, Item_Category!A:B, 2, FALSE), "Uncategorized")</f>
        <v>Wood pulp</v>
      </c>
      <c r="AA266" s="5">
        <f t="shared" si="74"/>
        <v>0</v>
      </c>
      <c r="AB266">
        <f t="shared" si="75"/>
        <v>5</v>
      </c>
      <c r="AC266" s="10">
        <f t="shared" si="76"/>
        <v>32</v>
      </c>
      <c r="AD266">
        <f t="shared" si="77"/>
        <v>1</v>
      </c>
      <c r="AE266" s="10">
        <f t="shared" si="78"/>
        <v>62</v>
      </c>
      <c r="AF266" s="5">
        <f t="shared" si="71"/>
        <v>1</v>
      </c>
      <c r="AG266" s="5">
        <f t="shared" si="72"/>
        <v>1</v>
      </c>
      <c r="AH266" s="5">
        <f t="shared" si="79"/>
        <v>0</v>
      </c>
      <c r="AI266">
        <f>IF(B266&lt;&gt;"", COUNTIFS($B$2:B266, B266), "")</f>
        <v>15</v>
      </c>
      <c r="AJ266">
        <f t="shared" si="80"/>
        <v>5</v>
      </c>
      <c r="AK266">
        <f t="shared" si="73"/>
        <v>4</v>
      </c>
      <c r="AL266">
        <f t="shared" si="81"/>
        <v>6</v>
      </c>
      <c r="AM266" t="str">
        <f t="shared" si="82"/>
        <v>June</v>
      </c>
      <c r="AN266">
        <f t="shared" si="83"/>
        <v>2023</v>
      </c>
      <c r="AO266" t="str">
        <f t="shared" si="84"/>
        <v>&gt;3</v>
      </c>
      <c r="AP266" t="str">
        <f t="shared" si="85"/>
        <v>&gt;3</v>
      </c>
      <c r="AQ266" t="str">
        <f t="shared" si="86"/>
        <v>&lt;=3</v>
      </c>
    </row>
    <row r="267" spans="1:43" x14ac:dyDescent="0.3">
      <c r="A267" t="str">
        <f>A258</f>
        <v>Woodpulp</v>
      </c>
      <c r="B267" t="s">
        <v>289</v>
      </c>
      <c r="C267" t="s">
        <v>249</v>
      </c>
      <c r="D267">
        <v>2552</v>
      </c>
      <c r="E267">
        <v>23120051</v>
      </c>
      <c r="F267" t="s">
        <v>290</v>
      </c>
      <c r="G267" t="s">
        <v>291</v>
      </c>
      <c r="H267">
        <v>100</v>
      </c>
      <c r="I267">
        <v>47800</v>
      </c>
      <c r="J267">
        <v>4780000</v>
      </c>
      <c r="K267" s="7" t="str">
        <f>IFERROR(IF(B267&lt;&gt;"", TEXT(VLOOKUP(B267, 'Expected Date'!A:B, 2, FALSE) + DATE(RIGHT(C267,2),MID(C267,4,2),LEFT(C267,2)), "dd/mm/yy"), ""), "")</f>
        <v>21/07/23</v>
      </c>
      <c r="L267" t="s">
        <v>38</v>
      </c>
      <c r="M267" t="str">
        <f>M197</f>
        <v>MT</v>
      </c>
      <c r="N267" t="s">
        <v>292</v>
      </c>
      <c r="O267" t="s">
        <v>293</v>
      </c>
      <c r="P267">
        <v>23190931</v>
      </c>
      <c r="Q267" t="s">
        <v>290</v>
      </c>
      <c r="R267" t="s">
        <v>291</v>
      </c>
      <c r="S267">
        <v>25.234000000000002</v>
      </c>
      <c r="T267">
        <v>47800</v>
      </c>
      <c r="U267">
        <v>1206185.2</v>
      </c>
      <c r="V267" t="str">
        <f t="shared" si="87"/>
        <v>Hyderabad</v>
      </c>
      <c r="W267" t="str">
        <f>VLOOKUP(B267, Currency!A:B, 2, FALSE)</f>
        <v>INR</v>
      </c>
      <c r="X267" t="str">
        <f t="shared" si="88"/>
        <v>Accepted</v>
      </c>
      <c r="Y267">
        <f>IFERROR(VLOOKUP(N267, Payment_Terms!A:B, 2, FALSE), "Payment term not found!")</f>
        <v>0</v>
      </c>
      <c r="Z267" t="str">
        <f>IFERROR(VLOOKUP(R267, Item_Category!A:B, 2, FALSE), "Uncategorized")</f>
        <v>Wood pulp</v>
      </c>
      <c r="AA267" s="5">
        <f t="shared" si="74"/>
        <v>0</v>
      </c>
      <c r="AB267">
        <f t="shared" si="75"/>
        <v>5</v>
      </c>
      <c r="AC267" s="10">
        <f t="shared" si="76"/>
        <v>32</v>
      </c>
      <c r="AD267">
        <f t="shared" si="77"/>
        <v>1</v>
      </c>
      <c r="AE267" s="10">
        <f t="shared" si="78"/>
        <v>62</v>
      </c>
      <c r="AF267" s="5">
        <f t="shared" si="71"/>
        <v>1</v>
      </c>
      <c r="AG267" s="5">
        <f t="shared" si="72"/>
        <v>1</v>
      </c>
      <c r="AH267" s="5">
        <f t="shared" si="79"/>
        <v>0</v>
      </c>
      <c r="AI267">
        <f>IF(B267&lt;&gt;"", COUNTIFS($B$2:B267, B267), "")</f>
        <v>16</v>
      </c>
      <c r="AJ267">
        <f t="shared" si="80"/>
        <v>5</v>
      </c>
      <c r="AK267">
        <f t="shared" si="73"/>
        <v>4</v>
      </c>
      <c r="AL267">
        <f t="shared" si="81"/>
        <v>6</v>
      </c>
      <c r="AM267" t="str">
        <f t="shared" si="82"/>
        <v>June</v>
      </c>
      <c r="AN267">
        <f t="shared" si="83"/>
        <v>2023</v>
      </c>
      <c r="AO267" t="str">
        <f t="shared" si="84"/>
        <v>&gt;3</v>
      </c>
      <c r="AP267" t="str">
        <f t="shared" si="85"/>
        <v>&gt;3</v>
      </c>
      <c r="AQ267" t="str">
        <f t="shared" si="86"/>
        <v>&lt;=3</v>
      </c>
    </row>
    <row r="268" spans="1:43" x14ac:dyDescent="0.3">
      <c r="A268" t="str">
        <f>A258</f>
        <v>Woodpulp</v>
      </c>
      <c r="B268" t="s">
        <v>289</v>
      </c>
      <c r="C268" t="s">
        <v>249</v>
      </c>
      <c r="D268">
        <v>2552</v>
      </c>
      <c r="E268">
        <v>23120051</v>
      </c>
      <c r="F268" t="s">
        <v>290</v>
      </c>
      <c r="G268" t="s">
        <v>291</v>
      </c>
      <c r="H268">
        <v>100</v>
      </c>
      <c r="I268">
        <v>47800</v>
      </c>
      <c r="J268">
        <v>4780000</v>
      </c>
      <c r="K268" s="7" t="str">
        <f>IFERROR(IF(B268&lt;&gt;"", TEXT(VLOOKUP(B268, 'Expected Date'!A:B, 2, FALSE) + DATE(RIGHT(C268,2),MID(C268,4,2),LEFT(C268,2)), "dd/mm/yy"), ""), "")</f>
        <v>21/07/23</v>
      </c>
      <c r="L268" t="s">
        <v>38</v>
      </c>
      <c r="M268" t="str">
        <f>M197</f>
        <v>MT</v>
      </c>
      <c r="N268" t="s">
        <v>292</v>
      </c>
      <c r="O268" t="s">
        <v>294</v>
      </c>
      <c r="P268">
        <v>23190938</v>
      </c>
      <c r="Q268" t="s">
        <v>290</v>
      </c>
      <c r="R268" t="s">
        <v>291</v>
      </c>
      <c r="S268">
        <v>25.234000000000002</v>
      </c>
      <c r="T268">
        <v>47800</v>
      </c>
      <c r="U268">
        <v>1206185.2</v>
      </c>
      <c r="V268" t="str">
        <f t="shared" si="87"/>
        <v>Hyderabad</v>
      </c>
      <c r="W268" t="str">
        <f>VLOOKUP(B268, Currency!A:B, 2, FALSE)</f>
        <v>INR</v>
      </c>
      <c r="X268" t="str">
        <f t="shared" si="88"/>
        <v>Accepted</v>
      </c>
      <c r="Y268">
        <f>IFERROR(VLOOKUP(N268, Payment_Terms!A:B, 2, FALSE), "Payment term not found!")</f>
        <v>0</v>
      </c>
      <c r="Z268" t="str">
        <f>IFERROR(VLOOKUP(R268, Item_Category!A:B, 2, FALSE), "Uncategorized")</f>
        <v>Wood pulp</v>
      </c>
      <c r="AA268" s="5">
        <f t="shared" si="74"/>
        <v>0</v>
      </c>
      <c r="AB268">
        <f t="shared" si="75"/>
        <v>5</v>
      </c>
      <c r="AC268" s="10">
        <f t="shared" si="76"/>
        <v>33</v>
      </c>
      <c r="AD268">
        <f t="shared" si="77"/>
        <v>1</v>
      </c>
      <c r="AE268" s="10">
        <f t="shared" si="78"/>
        <v>63</v>
      </c>
      <c r="AF268" s="5">
        <f t="shared" si="71"/>
        <v>1</v>
      </c>
      <c r="AG268" s="5">
        <f t="shared" si="72"/>
        <v>1</v>
      </c>
      <c r="AH268" s="5">
        <f t="shared" si="79"/>
        <v>0</v>
      </c>
      <c r="AI268">
        <f>IF(B268&lt;&gt;"", COUNTIFS($B$2:B268, B268), "")</f>
        <v>17</v>
      </c>
      <c r="AJ268">
        <f t="shared" si="80"/>
        <v>5</v>
      </c>
      <c r="AK268">
        <f t="shared" si="73"/>
        <v>4</v>
      </c>
      <c r="AL268">
        <f t="shared" si="81"/>
        <v>6</v>
      </c>
      <c r="AM268" t="str">
        <f t="shared" si="82"/>
        <v>June</v>
      </c>
      <c r="AN268">
        <f t="shared" si="83"/>
        <v>2023</v>
      </c>
      <c r="AO268" t="str">
        <f t="shared" si="84"/>
        <v>&gt;3</v>
      </c>
      <c r="AP268" t="str">
        <f t="shared" si="85"/>
        <v>&gt;3</v>
      </c>
      <c r="AQ268" t="str">
        <f t="shared" si="86"/>
        <v>&lt;=3</v>
      </c>
    </row>
    <row r="269" spans="1:43" x14ac:dyDescent="0.3">
      <c r="A269" t="s">
        <v>33</v>
      </c>
      <c r="B269" t="s">
        <v>185</v>
      </c>
      <c r="C269" t="s">
        <v>108</v>
      </c>
      <c r="D269">
        <v>1809</v>
      </c>
      <c r="E269">
        <v>23120023</v>
      </c>
      <c r="F269" t="s">
        <v>186</v>
      </c>
      <c r="G269" t="s">
        <v>187</v>
      </c>
      <c r="H269">
        <v>4000</v>
      </c>
      <c r="I269">
        <v>126</v>
      </c>
      <c r="J269">
        <v>504000</v>
      </c>
      <c r="K269" s="7" t="str">
        <f>IFERROR(IF(B269&lt;&gt;"", TEXT(VLOOKUP(B269, 'Expected Date'!A:B, 2, FALSE) + DATE(RIGHT(C269,2),MID(C269,4,2),LEFT(C269,2)), "dd/mm/yy"), ""), "")</f>
        <v>20/05/23</v>
      </c>
      <c r="L269" t="s">
        <v>68</v>
      </c>
      <c r="M269" t="s">
        <v>48</v>
      </c>
      <c r="N269" t="s">
        <v>188</v>
      </c>
      <c r="O269" t="s">
        <v>210</v>
      </c>
      <c r="P269">
        <v>23190243</v>
      </c>
      <c r="Q269" t="s">
        <v>186</v>
      </c>
      <c r="R269" t="s">
        <v>187</v>
      </c>
      <c r="S269">
        <v>1980</v>
      </c>
      <c r="T269">
        <v>126</v>
      </c>
      <c r="U269">
        <v>249480</v>
      </c>
      <c r="V269" t="str">
        <f t="shared" si="87"/>
        <v>Hyderabad</v>
      </c>
      <c r="W269" t="str">
        <f>VLOOKUP(B269, Currency!A:B, 2, FALSE)</f>
        <v>INR</v>
      </c>
      <c r="X269" t="str">
        <f t="shared" si="88"/>
        <v>Accepted</v>
      </c>
      <c r="Y269">
        <f>IFERROR(VLOOKUP(N269, Payment_Terms!A:B, 2, FALSE), "Payment term not found!")</f>
        <v>30</v>
      </c>
      <c r="Z269" t="str">
        <f>IFERROR(VLOOKUP(R269, Item_Category!A:B, 2, FALSE), "Uncategorized")</f>
        <v>Liner</v>
      </c>
      <c r="AA269" s="5">
        <f t="shared" si="74"/>
        <v>1.0500000000000001E-2</v>
      </c>
      <c r="AB269">
        <f t="shared" si="75"/>
        <v>4</v>
      </c>
      <c r="AC269" s="10">
        <f t="shared" si="76"/>
        <v>-7</v>
      </c>
      <c r="AD269">
        <f t="shared" si="77"/>
        <v>5</v>
      </c>
      <c r="AE269" s="10">
        <f t="shared" si="78"/>
        <v>3</v>
      </c>
      <c r="AF269" s="5">
        <f t="shared" si="71"/>
        <v>1</v>
      </c>
      <c r="AG269" s="5">
        <f t="shared" si="72"/>
        <v>1</v>
      </c>
      <c r="AH269" s="5">
        <f t="shared" si="79"/>
        <v>0</v>
      </c>
      <c r="AI269">
        <f>IF(B269&lt;&gt;"", COUNTIFS($B$2:B269, B269), "")</f>
        <v>4</v>
      </c>
      <c r="AJ269">
        <f t="shared" si="80"/>
        <v>5</v>
      </c>
      <c r="AK269">
        <f t="shared" si="73"/>
        <v>5</v>
      </c>
      <c r="AL269">
        <f t="shared" si="81"/>
        <v>5</v>
      </c>
      <c r="AM269" t="str">
        <f t="shared" si="82"/>
        <v>May</v>
      </c>
      <c r="AN269">
        <f t="shared" si="83"/>
        <v>2023</v>
      </c>
      <c r="AO269" t="str">
        <f t="shared" si="84"/>
        <v>&gt;3</v>
      </c>
      <c r="AP269" t="str">
        <f t="shared" si="85"/>
        <v>&gt;3</v>
      </c>
      <c r="AQ269" t="str">
        <f t="shared" si="86"/>
        <v>&gt;3</v>
      </c>
    </row>
    <row r="270" spans="1:43" x14ac:dyDescent="0.3">
      <c r="A270" t="s">
        <v>33</v>
      </c>
      <c r="B270" t="s">
        <v>150</v>
      </c>
      <c r="C270" t="s">
        <v>182</v>
      </c>
      <c r="D270">
        <v>2409</v>
      </c>
      <c r="E270">
        <v>23110192</v>
      </c>
      <c r="F270" t="s">
        <v>135</v>
      </c>
      <c r="G270" t="s">
        <v>136</v>
      </c>
      <c r="H270">
        <v>200</v>
      </c>
      <c r="I270">
        <v>6904.76</v>
      </c>
      <c r="J270">
        <v>1380952</v>
      </c>
      <c r="K270" s="7" t="str">
        <f>IFERROR(IF(B270&lt;&gt;"", TEXT(VLOOKUP(B270, 'Expected Date'!A:B, 2, FALSE) + DATE(RIGHT(C270,2),MID(C270,4,2),LEFT(C270,2)), "dd/mm/yy"), ""), "")</f>
        <v>23/06/23</v>
      </c>
      <c r="L270" t="s">
        <v>38</v>
      </c>
      <c r="M270" t="s">
        <v>48</v>
      </c>
      <c r="N270" t="s">
        <v>183</v>
      </c>
      <c r="O270" t="s">
        <v>195</v>
      </c>
      <c r="P270">
        <v>23190432</v>
      </c>
      <c r="Q270" t="s">
        <v>135</v>
      </c>
      <c r="R270" t="s">
        <v>136</v>
      </c>
      <c r="S270">
        <v>20</v>
      </c>
      <c r="T270">
        <v>6904.76</v>
      </c>
      <c r="U270">
        <v>138095.20000000001</v>
      </c>
      <c r="V270" t="str">
        <f t="shared" si="87"/>
        <v>Hyderabad</v>
      </c>
      <c r="W270" t="str">
        <f>VLOOKUP(B270, Currency!A:B, 2, FALSE)</f>
        <v>INR</v>
      </c>
      <c r="X270" t="str">
        <f t="shared" si="88"/>
        <v>Accepted</v>
      </c>
      <c r="Y270">
        <f>IFERROR(VLOOKUP(N270, Payment_Terms!A:B, 2, FALSE), "Payment term not found!")</f>
        <v>30</v>
      </c>
      <c r="Z270" t="str">
        <f>IFERROR(VLOOKUP(R270, Item_Category!A:B, 2, FALSE), "Uncategorized")</f>
        <v>Coal materials</v>
      </c>
      <c r="AA270" s="5">
        <f t="shared" si="74"/>
        <v>0</v>
      </c>
      <c r="AB270">
        <f t="shared" si="75"/>
        <v>5</v>
      </c>
      <c r="AC270" s="10">
        <f t="shared" si="76"/>
        <v>-8</v>
      </c>
      <c r="AD270">
        <f t="shared" si="77"/>
        <v>5</v>
      </c>
      <c r="AE270" s="10">
        <f t="shared" si="78"/>
        <v>2</v>
      </c>
      <c r="AF270" s="5">
        <f t="shared" si="71"/>
        <v>1</v>
      </c>
      <c r="AG270" s="5">
        <f t="shared" si="72"/>
        <v>1</v>
      </c>
      <c r="AH270" s="5">
        <f t="shared" si="79"/>
        <v>0</v>
      </c>
      <c r="AI270">
        <f>IF(B270&lt;&gt;"", COUNTIFS($B$2:B270, B270), "")</f>
        <v>14</v>
      </c>
      <c r="AJ270">
        <f t="shared" si="80"/>
        <v>5</v>
      </c>
      <c r="AK270">
        <f t="shared" si="73"/>
        <v>5</v>
      </c>
      <c r="AL270">
        <f t="shared" si="81"/>
        <v>6</v>
      </c>
      <c r="AM270" t="str">
        <f t="shared" si="82"/>
        <v>June</v>
      </c>
      <c r="AN270">
        <f t="shared" si="83"/>
        <v>2023</v>
      </c>
      <c r="AO270" t="str">
        <f t="shared" si="84"/>
        <v>&gt;3</v>
      </c>
      <c r="AP270" t="str">
        <f t="shared" si="85"/>
        <v>&gt;3</v>
      </c>
      <c r="AQ270" t="str">
        <f t="shared" si="86"/>
        <v>&gt;3</v>
      </c>
    </row>
    <row r="271" spans="1:43" x14ac:dyDescent="0.3">
      <c r="A271" t="s">
        <v>33</v>
      </c>
      <c r="B271" t="s">
        <v>150</v>
      </c>
      <c r="C271" t="s">
        <v>182</v>
      </c>
      <c r="D271">
        <v>2409</v>
      </c>
      <c r="E271">
        <v>23110192</v>
      </c>
      <c r="F271" t="s">
        <v>135</v>
      </c>
      <c r="G271" t="s">
        <v>136</v>
      </c>
      <c r="H271">
        <v>200</v>
      </c>
      <c r="I271">
        <v>6904.76</v>
      </c>
      <c r="J271">
        <v>1380952</v>
      </c>
      <c r="K271" s="7" t="str">
        <f>IFERROR(IF(B271&lt;&gt;"", TEXT(VLOOKUP(B271, 'Expected Date'!A:B, 2, FALSE) + DATE(RIGHT(C271,2),MID(C271,4,2),LEFT(C271,2)), "dd/mm/yy"), ""), "")</f>
        <v>23/06/23</v>
      </c>
      <c r="L271" t="s">
        <v>38</v>
      </c>
      <c r="M271" t="s">
        <v>48</v>
      </c>
      <c r="N271" t="s">
        <v>183</v>
      </c>
      <c r="O271" t="s">
        <v>195</v>
      </c>
      <c r="P271">
        <v>23190435</v>
      </c>
      <c r="Q271" t="s">
        <v>135</v>
      </c>
      <c r="R271" t="s">
        <v>136</v>
      </c>
      <c r="S271">
        <v>20</v>
      </c>
      <c r="T271">
        <v>6904.76</v>
      </c>
      <c r="U271">
        <v>138095.20000000001</v>
      </c>
      <c r="V271" t="str">
        <f t="shared" si="87"/>
        <v>Hyderabad</v>
      </c>
      <c r="W271" t="str">
        <f>VLOOKUP(B271, Currency!A:B, 2, FALSE)</f>
        <v>INR</v>
      </c>
      <c r="X271" t="str">
        <f t="shared" si="88"/>
        <v>Accepted</v>
      </c>
      <c r="Y271">
        <f>IFERROR(VLOOKUP(N271, Payment_Terms!A:B, 2, FALSE), "Payment term not found!")</f>
        <v>30</v>
      </c>
      <c r="Z271" t="str">
        <f>IFERROR(VLOOKUP(R271, Item_Category!A:B, 2, FALSE), "Uncategorized")</f>
        <v>Coal materials</v>
      </c>
      <c r="AA271" s="5">
        <f t="shared" si="74"/>
        <v>0</v>
      </c>
      <c r="AB271">
        <f t="shared" si="75"/>
        <v>5</v>
      </c>
      <c r="AC271" s="10">
        <f t="shared" si="76"/>
        <v>-8</v>
      </c>
      <c r="AD271">
        <f t="shared" si="77"/>
        <v>5</v>
      </c>
      <c r="AE271" s="10">
        <f t="shared" si="78"/>
        <v>2</v>
      </c>
      <c r="AF271" s="5">
        <f t="shared" si="71"/>
        <v>1</v>
      </c>
      <c r="AG271" s="5">
        <f t="shared" si="72"/>
        <v>1</v>
      </c>
      <c r="AH271" s="5">
        <f t="shared" si="79"/>
        <v>0</v>
      </c>
      <c r="AI271">
        <f>IF(B271&lt;&gt;"", COUNTIFS($B$2:B271, B271), "")</f>
        <v>15</v>
      </c>
      <c r="AJ271">
        <f t="shared" si="80"/>
        <v>5</v>
      </c>
      <c r="AK271">
        <f t="shared" si="73"/>
        <v>5</v>
      </c>
      <c r="AL271">
        <f t="shared" si="81"/>
        <v>6</v>
      </c>
      <c r="AM271" t="str">
        <f t="shared" si="82"/>
        <v>June</v>
      </c>
      <c r="AN271">
        <f t="shared" si="83"/>
        <v>2023</v>
      </c>
      <c r="AO271" t="str">
        <f t="shared" si="84"/>
        <v>&gt;3</v>
      </c>
      <c r="AP271" t="str">
        <f t="shared" si="85"/>
        <v>&gt;3</v>
      </c>
      <c r="AQ271" t="str">
        <f t="shared" si="86"/>
        <v>&gt;3</v>
      </c>
    </row>
    <row r="272" spans="1:43" x14ac:dyDescent="0.3">
      <c r="A272" t="s">
        <v>33</v>
      </c>
      <c r="B272" t="s">
        <v>337</v>
      </c>
      <c r="C272" t="s">
        <v>281</v>
      </c>
      <c r="D272">
        <v>4179</v>
      </c>
      <c r="E272">
        <v>23110398</v>
      </c>
      <c r="F272" t="s">
        <v>282</v>
      </c>
      <c r="G272" t="s">
        <v>283</v>
      </c>
      <c r="H272">
        <v>192</v>
      </c>
      <c r="I272">
        <v>397.1875</v>
      </c>
      <c r="J272">
        <v>76260</v>
      </c>
      <c r="K272" s="7" t="str">
        <f>IFERROR(IF(B272&lt;&gt;"", TEXT(VLOOKUP(B272, 'Expected Date'!A:B, 2, FALSE) + DATE(RIGHT(C272,2),MID(C272,4,2),LEFT(C272,2)), "dd/mm/yy"), ""), "")</f>
        <v>07/09/23</v>
      </c>
      <c r="L272" t="s">
        <v>38</v>
      </c>
      <c r="M272" t="s">
        <v>285</v>
      </c>
      <c r="N272" t="s">
        <v>109</v>
      </c>
      <c r="O272" t="s">
        <v>286</v>
      </c>
      <c r="P272">
        <v>23191011</v>
      </c>
      <c r="Q272" t="s">
        <v>282</v>
      </c>
      <c r="R272" t="s">
        <v>283</v>
      </c>
      <c r="S272">
        <v>192</v>
      </c>
      <c r="T272">
        <v>397.1875</v>
      </c>
      <c r="U272">
        <v>76260</v>
      </c>
      <c r="V272" t="str">
        <f t="shared" si="87"/>
        <v>Hyderabad</v>
      </c>
      <c r="W272" t="str">
        <f>VLOOKUP(B272, Currency!A:B, 2, FALSE)</f>
        <v>INR</v>
      </c>
      <c r="X272" t="str">
        <f t="shared" si="88"/>
        <v>Accepted</v>
      </c>
      <c r="Y272">
        <f>IFERROR(VLOOKUP(N272, Payment_Terms!A:B, 2, FALSE), "Payment term not found!")</f>
        <v>0</v>
      </c>
      <c r="Z272" t="str">
        <f>IFERROR(VLOOKUP(R272, Item_Category!A:B, 2, FALSE), "Uncategorized")</f>
        <v>R O water</v>
      </c>
      <c r="AA272" s="5">
        <f t="shared" si="74"/>
        <v>0</v>
      </c>
      <c r="AB272">
        <f t="shared" si="75"/>
        <v>5</v>
      </c>
      <c r="AC272" s="10">
        <f t="shared" si="76"/>
        <v>-7</v>
      </c>
      <c r="AD272">
        <f t="shared" si="77"/>
        <v>5</v>
      </c>
      <c r="AE272" s="10">
        <f t="shared" si="78"/>
        <v>5</v>
      </c>
      <c r="AF272" s="5">
        <f t="shared" si="71"/>
        <v>1</v>
      </c>
      <c r="AG272" s="5">
        <f t="shared" si="72"/>
        <v>1</v>
      </c>
      <c r="AH272" s="5">
        <f t="shared" si="79"/>
        <v>0</v>
      </c>
      <c r="AI272">
        <f>IF(B272&lt;&gt;"", COUNTIFS($B$2:B272, B272), "")</f>
        <v>1</v>
      </c>
      <c r="AJ272">
        <f t="shared" si="80"/>
        <v>5</v>
      </c>
      <c r="AK272">
        <f t="shared" si="73"/>
        <v>5</v>
      </c>
      <c r="AL272">
        <f t="shared" si="81"/>
        <v>9</v>
      </c>
      <c r="AM272" t="str">
        <f t="shared" si="82"/>
        <v>September</v>
      </c>
      <c r="AN272">
        <f t="shared" si="83"/>
        <v>2023</v>
      </c>
      <c r="AO272" t="str">
        <f t="shared" si="84"/>
        <v>&gt;3</v>
      </c>
      <c r="AP272" t="str">
        <f t="shared" si="85"/>
        <v>&gt;3</v>
      </c>
      <c r="AQ272" t="str">
        <f t="shared" si="86"/>
        <v>&gt;3</v>
      </c>
    </row>
    <row r="273" spans="1:43" x14ac:dyDescent="0.3">
      <c r="A273" t="s">
        <v>33</v>
      </c>
      <c r="B273" t="s">
        <v>337</v>
      </c>
      <c r="C273" t="s">
        <v>281</v>
      </c>
      <c r="D273">
        <v>4179</v>
      </c>
      <c r="E273">
        <v>23110398</v>
      </c>
      <c r="F273" t="s">
        <v>282</v>
      </c>
      <c r="G273" t="s">
        <v>283</v>
      </c>
      <c r="H273">
        <v>192</v>
      </c>
      <c r="I273">
        <v>397.1875</v>
      </c>
      <c r="J273">
        <v>76260</v>
      </c>
      <c r="K273" s="7" t="str">
        <f>IFERROR(IF(B273&lt;&gt;"", TEXT(VLOOKUP(B273, 'Expected Date'!A:B, 2, FALSE) + DATE(RIGHT(C273,2),MID(C273,4,2),LEFT(C273,2)), "dd/mm/yy"), ""), "")</f>
        <v>07/09/23</v>
      </c>
      <c r="L273" t="s">
        <v>38</v>
      </c>
      <c r="M273" t="s">
        <v>285</v>
      </c>
      <c r="N273" t="s">
        <v>109</v>
      </c>
      <c r="O273" t="s">
        <v>286</v>
      </c>
      <c r="P273">
        <v>23191015</v>
      </c>
      <c r="Q273" t="s">
        <v>282</v>
      </c>
      <c r="R273" t="s">
        <v>283</v>
      </c>
      <c r="S273">
        <v>192</v>
      </c>
      <c r="T273">
        <v>397.1875</v>
      </c>
      <c r="U273">
        <v>76260</v>
      </c>
      <c r="V273" t="str">
        <f t="shared" si="87"/>
        <v>Hyderabad</v>
      </c>
      <c r="W273" t="str">
        <f>VLOOKUP(B273, Currency!A:B, 2, FALSE)</f>
        <v>INR</v>
      </c>
      <c r="X273" t="str">
        <f t="shared" si="88"/>
        <v>Accepted</v>
      </c>
      <c r="Y273">
        <f>IFERROR(VLOOKUP(N273, Payment_Terms!A:B, 2, FALSE), "Payment term not found!")</f>
        <v>0</v>
      </c>
      <c r="Z273" t="str">
        <f>IFERROR(VLOOKUP(R273, Item_Category!A:B, 2, FALSE), "Uncategorized")</f>
        <v>R O water</v>
      </c>
      <c r="AA273" s="5">
        <f t="shared" si="74"/>
        <v>0</v>
      </c>
      <c r="AB273">
        <f t="shared" si="75"/>
        <v>5</v>
      </c>
      <c r="AC273" s="10">
        <f t="shared" si="76"/>
        <v>-7</v>
      </c>
      <c r="AD273">
        <f t="shared" si="77"/>
        <v>5</v>
      </c>
      <c r="AE273" s="10">
        <f t="shared" si="78"/>
        <v>5</v>
      </c>
      <c r="AF273" s="5">
        <f t="shared" si="71"/>
        <v>1</v>
      </c>
      <c r="AG273" s="5">
        <f t="shared" si="72"/>
        <v>1</v>
      </c>
      <c r="AH273" s="5">
        <f t="shared" si="79"/>
        <v>0</v>
      </c>
      <c r="AI273">
        <f>IF(B273&lt;&gt;"", COUNTIFS($B$2:B273, B273), "")</f>
        <v>2</v>
      </c>
      <c r="AJ273">
        <f t="shared" si="80"/>
        <v>5</v>
      </c>
      <c r="AK273">
        <f t="shared" si="73"/>
        <v>5</v>
      </c>
      <c r="AL273">
        <f t="shared" si="81"/>
        <v>9</v>
      </c>
      <c r="AM273" t="str">
        <f t="shared" si="82"/>
        <v>September</v>
      </c>
      <c r="AN273">
        <f t="shared" si="83"/>
        <v>2023</v>
      </c>
      <c r="AO273" t="str">
        <f t="shared" si="84"/>
        <v>&gt;3</v>
      </c>
      <c r="AP273" t="str">
        <f t="shared" si="85"/>
        <v>&gt;3</v>
      </c>
      <c r="AQ273" t="str">
        <f t="shared" si="86"/>
        <v>&gt;3</v>
      </c>
    </row>
    <row r="274" spans="1:43" x14ac:dyDescent="0.3">
      <c r="A274" t="s">
        <v>33</v>
      </c>
      <c r="B274" t="s">
        <v>150</v>
      </c>
      <c r="C274" t="s">
        <v>182</v>
      </c>
      <c r="D274">
        <v>2409</v>
      </c>
      <c r="E274">
        <v>23110192</v>
      </c>
      <c r="F274" t="s">
        <v>135</v>
      </c>
      <c r="G274" t="s">
        <v>136</v>
      </c>
      <c r="H274">
        <v>200</v>
      </c>
      <c r="I274">
        <v>6904.76</v>
      </c>
      <c r="J274">
        <v>1380952</v>
      </c>
      <c r="K274" s="7" t="str">
        <f>IFERROR(IF(B274&lt;&gt;"", TEXT(VLOOKUP(B274, 'Expected Date'!A:B, 2, FALSE) + DATE(RIGHT(C274,2),MID(C274,4,2),LEFT(C274,2)), "dd/mm/yy"), ""), "")</f>
        <v>23/06/23</v>
      </c>
      <c r="L274" t="s">
        <v>38</v>
      </c>
      <c r="M274" t="s">
        <v>48</v>
      </c>
      <c r="N274" t="s">
        <v>183</v>
      </c>
      <c r="O274" t="s">
        <v>249</v>
      </c>
      <c r="P274">
        <v>23190468</v>
      </c>
      <c r="Q274" t="s">
        <v>135</v>
      </c>
      <c r="R274" t="s">
        <v>136</v>
      </c>
      <c r="S274">
        <v>20</v>
      </c>
      <c r="T274">
        <v>6904.76</v>
      </c>
      <c r="U274">
        <v>138095.20000000001</v>
      </c>
      <c r="V274" t="str">
        <f t="shared" si="87"/>
        <v>Hyderabad</v>
      </c>
      <c r="W274" t="str">
        <f>VLOOKUP(B274, Currency!A:B, 2, FALSE)</f>
        <v>INR</v>
      </c>
      <c r="X274" t="str">
        <f t="shared" si="88"/>
        <v>Accepted</v>
      </c>
      <c r="Y274">
        <f>IFERROR(VLOOKUP(N274, Payment_Terms!A:B, 2, FALSE), "Payment term not found!")</f>
        <v>30</v>
      </c>
      <c r="Z274" t="str">
        <f>IFERROR(VLOOKUP(R274, Item_Category!A:B, 2, FALSE), "Uncategorized")</f>
        <v>Coal materials</v>
      </c>
      <c r="AA274" s="5">
        <f t="shared" si="74"/>
        <v>0</v>
      </c>
      <c r="AB274">
        <f t="shared" si="75"/>
        <v>5</v>
      </c>
      <c r="AC274" s="10">
        <f t="shared" si="76"/>
        <v>-2</v>
      </c>
      <c r="AD274">
        <f t="shared" si="77"/>
        <v>5</v>
      </c>
      <c r="AE274" s="10">
        <f t="shared" si="78"/>
        <v>8</v>
      </c>
      <c r="AF274" s="5">
        <f t="shared" si="71"/>
        <v>1</v>
      </c>
      <c r="AG274" s="5">
        <f t="shared" si="72"/>
        <v>1</v>
      </c>
      <c r="AH274" s="5">
        <f t="shared" si="79"/>
        <v>0</v>
      </c>
      <c r="AI274">
        <f>IF(B274&lt;&gt;"", COUNTIFS($B$2:B274, B274), "")</f>
        <v>16</v>
      </c>
      <c r="AJ274">
        <f t="shared" si="80"/>
        <v>5</v>
      </c>
      <c r="AK274">
        <f t="shared" si="73"/>
        <v>5</v>
      </c>
      <c r="AL274">
        <f t="shared" si="81"/>
        <v>6</v>
      </c>
      <c r="AM274" t="str">
        <f t="shared" si="82"/>
        <v>June</v>
      </c>
      <c r="AN274">
        <f t="shared" si="83"/>
        <v>2023</v>
      </c>
      <c r="AO274" t="str">
        <f t="shared" si="84"/>
        <v>&gt;3</v>
      </c>
      <c r="AP274" t="str">
        <f t="shared" si="85"/>
        <v>&gt;3</v>
      </c>
      <c r="AQ274" t="str">
        <f t="shared" si="86"/>
        <v>&gt;3</v>
      </c>
    </row>
    <row r="275" spans="1:43" x14ac:dyDescent="0.3">
      <c r="A275" t="s">
        <v>33</v>
      </c>
      <c r="B275" t="s">
        <v>150</v>
      </c>
      <c r="C275" t="s">
        <v>182</v>
      </c>
      <c r="D275">
        <v>2409</v>
      </c>
      <c r="E275">
        <v>23110192</v>
      </c>
      <c r="F275" t="s">
        <v>135</v>
      </c>
      <c r="G275" t="s">
        <v>136</v>
      </c>
      <c r="H275">
        <v>200</v>
      </c>
      <c r="I275">
        <v>6904.76</v>
      </c>
      <c r="J275">
        <v>1380952</v>
      </c>
      <c r="K275" s="7" t="str">
        <f>IFERROR(IF(B275&lt;&gt;"", TEXT(VLOOKUP(B275, 'Expected Date'!A:B, 2, FALSE) + DATE(RIGHT(C275,2),MID(C275,4,2),LEFT(C275,2)), "dd/mm/yy"), ""), "")</f>
        <v>23/06/23</v>
      </c>
      <c r="L275" t="s">
        <v>38</v>
      </c>
      <c r="M275" t="s">
        <v>48</v>
      </c>
      <c r="N275" t="s">
        <v>183</v>
      </c>
      <c r="O275" t="s">
        <v>249</v>
      </c>
      <c r="P275">
        <v>23190469</v>
      </c>
      <c r="Q275" t="s">
        <v>135</v>
      </c>
      <c r="R275" t="s">
        <v>136</v>
      </c>
      <c r="S275">
        <v>19</v>
      </c>
      <c r="T275">
        <v>6904.76</v>
      </c>
      <c r="U275">
        <v>131190.44</v>
      </c>
      <c r="V275" t="str">
        <f t="shared" si="87"/>
        <v>Hyderabad</v>
      </c>
      <c r="W275" t="str">
        <f>VLOOKUP(B275, Currency!A:B, 2, FALSE)</f>
        <v>INR</v>
      </c>
      <c r="X275" t="str">
        <f t="shared" si="88"/>
        <v>Accepted</v>
      </c>
      <c r="Y275">
        <f>IFERROR(VLOOKUP(N275, Payment_Terms!A:B, 2, FALSE), "Payment term not found!")</f>
        <v>30</v>
      </c>
      <c r="Z275" t="str">
        <f>IFERROR(VLOOKUP(R275, Item_Category!A:B, 2, FALSE), "Uncategorized")</f>
        <v>Coal materials</v>
      </c>
      <c r="AA275" s="5">
        <f t="shared" si="74"/>
        <v>0</v>
      </c>
      <c r="AB275">
        <f t="shared" si="75"/>
        <v>5</v>
      </c>
      <c r="AC275" s="10">
        <f t="shared" si="76"/>
        <v>-2</v>
      </c>
      <c r="AD275">
        <f t="shared" si="77"/>
        <v>5</v>
      </c>
      <c r="AE275" s="10">
        <f t="shared" si="78"/>
        <v>8</v>
      </c>
      <c r="AF275" s="5">
        <f t="shared" si="71"/>
        <v>1</v>
      </c>
      <c r="AG275" s="5">
        <f t="shared" si="72"/>
        <v>1</v>
      </c>
      <c r="AH275" s="5">
        <f t="shared" si="79"/>
        <v>0</v>
      </c>
      <c r="AI275">
        <f>IF(B275&lt;&gt;"", COUNTIFS($B$2:B275, B275), "")</f>
        <v>17</v>
      </c>
      <c r="AJ275">
        <f t="shared" si="80"/>
        <v>5</v>
      </c>
      <c r="AK275">
        <f t="shared" si="73"/>
        <v>5</v>
      </c>
      <c r="AL275">
        <f t="shared" si="81"/>
        <v>6</v>
      </c>
      <c r="AM275" t="str">
        <f t="shared" si="82"/>
        <v>June</v>
      </c>
      <c r="AN275">
        <f t="shared" si="83"/>
        <v>2023</v>
      </c>
      <c r="AO275" t="str">
        <f t="shared" si="84"/>
        <v>&gt;3</v>
      </c>
      <c r="AP275" t="str">
        <f t="shared" si="85"/>
        <v>&gt;3</v>
      </c>
      <c r="AQ275" t="str">
        <f t="shared" si="86"/>
        <v>&gt;3</v>
      </c>
    </row>
    <row r="276" spans="1:43" x14ac:dyDescent="0.3">
      <c r="A276" t="s">
        <v>33</v>
      </c>
      <c r="B276" t="s">
        <v>79</v>
      </c>
      <c r="C276" t="s">
        <v>56</v>
      </c>
      <c r="D276">
        <v>3566</v>
      </c>
      <c r="E276">
        <v>23110328</v>
      </c>
      <c r="F276" t="s">
        <v>81</v>
      </c>
      <c r="G276" t="s">
        <v>82</v>
      </c>
      <c r="H276">
        <v>21000</v>
      </c>
      <c r="I276">
        <v>1.9</v>
      </c>
      <c r="J276">
        <v>39900</v>
      </c>
      <c r="K276" s="7" t="str">
        <f>IFERROR(IF(B276&lt;&gt;"", TEXT(VLOOKUP(B276, 'Expected Date'!A:B, 2, FALSE) + DATE(RIGHT(C276,2),MID(C276,4,2),LEFT(C276,2)), "dd/mm/yy"), ""), "")</f>
        <v>24/08/23</v>
      </c>
      <c r="L276" t="s">
        <v>38</v>
      </c>
      <c r="M276" t="s">
        <v>48</v>
      </c>
      <c r="N276" t="s">
        <v>83</v>
      </c>
      <c r="O276" t="s">
        <v>59</v>
      </c>
      <c r="P276">
        <v>23190982</v>
      </c>
      <c r="Q276" t="s">
        <v>81</v>
      </c>
      <c r="R276" t="s">
        <v>82</v>
      </c>
      <c r="S276">
        <v>27280</v>
      </c>
      <c r="T276">
        <v>1.9</v>
      </c>
      <c r="U276">
        <v>51832</v>
      </c>
      <c r="V276" t="str">
        <f t="shared" si="87"/>
        <v>Hyderabad</v>
      </c>
      <c r="W276" t="str">
        <f>VLOOKUP(B276, Currency!A:B, 2, FALSE)</f>
        <v>INR</v>
      </c>
      <c r="X276" t="str">
        <f t="shared" si="88"/>
        <v>Accepted</v>
      </c>
      <c r="Y276">
        <f>IFERROR(VLOOKUP(N276, Payment_Terms!A:B, 2, FALSE), "Payment term not found!")</f>
        <v>0</v>
      </c>
      <c r="Z276" t="str">
        <f>IFERROR(VLOOKUP(R276, Item_Category!A:B, 2, FALSE), "Uncategorized")</f>
        <v>HCL</v>
      </c>
      <c r="AA276" s="5">
        <f t="shared" si="74"/>
        <v>0</v>
      </c>
      <c r="AB276">
        <f t="shared" si="75"/>
        <v>5</v>
      </c>
      <c r="AC276" s="10">
        <f t="shared" si="76"/>
        <v>-19</v>
      </c>
      <c r="AD276">
        <f t="shared" si="77"/>
        <v>5</v>
      </c>
      <c r="AE276" s="10">
        <f t="shared" si="78"/>
        <v>1</v>
      </c>
      <c r="AF276" s="5">
        <f t="shared" si="71"/>
        <v>1</v>
      </c>
      <c r="AG276" s="5">
        <f t="shared" si="72"/>
        <v>1</v>
      </c>
      <c r="AH276" s="5">
        <f t="shared" si="79"/>
        <v>0</v>
      </c>
      <c r="AI276">
        <f>IF(B276&lt;&gt;"", COUNTIFS($B$2:B276, B276), "")</f>
        <v>6</v>
      </c>
      <c r="AJ276">
        <f t="shared" si="80"/>
        <v>5</v>
      </c>
      <c r="AK276">
        <f t="shared" si="73"/>
        <v>5</v>
      </c>
      <c r="AL276">
        <f t="shared" si="81"/>
        <v>8</v>
      </c>
      <c r="AM276" t="str">
        <f t="shared" si="82"/>
        <v>August</v>
      </c>
      <c r="AN276">
        <f t="shared" si="83"/>
        <v>2023</v>
      </c>
      <c r="AO276" t="str">
        <f t="shared" si="84"/>
        <v>&gt;3</v>
      </c>
      <c r="AP276" t="str">
        <f t="shared" si="85"/>
        <v>&gt;3</v>
      </c>
      <c r="AQ276" t="str">
        <f t="shared" si="86"/>
        <v>&gt;3</v>
      </c>
    </row>
    <row r="277" spans="1:43" x14ac:dyDescent="0.3">
      <c r="A277" t="str">
        <f>A226</f>
        <v>Woodpulp</v>
      </c>
      <c r="B277" t="s">
        <v>140</v>
      </c>
      <c r="C277" t="s">
        <v>71</v>
      </c>
      <c r="D277">
        <v>2721</v>
      </c>
      <c r="E277">
        <v>23120070</v>
      </c>
      <c r="F277" t="s">
        <v>142</v>
      </c>
      <c r="G277" t="s">
        <v>360</v>
      </c>
      <c r="H277">
        <v>125</v>
      </c>
      <c r="I277">
        <v>830</v>
      </c>
      <c r="J277">
        <v>8476375</v>
      </c>
      <c r="K277" s="7" t="str">
        <f>IFERROR(IF(B277&lt;&gt;"", TEXT(VLOOKUP(B277, 'Expected Date'!A:B, 2, FALSE) + DATE(RIGHT(C277,2),MID(C277,4,2),LEFT(C277,2)), "dd/mm/yy"), ""), "")</f>
        <v>06/08/23</v>
      </c>
      <c r="L277" t="s">
        <v>68</v>
      </c>
      <c r="M277" t="str">
        <f>M197</f>
        <v>MT</v>
      </c>
      <c r="N277" t="s">
        <v>190</v>
      </c>
      <c r="O277" t="s">
        <v>332</v>
      </c>
      <c r="P277">
        <v>23190984</v>
      </c>
      <c r="Q277" t="s">
        <v>142</v>
      </c>
      <c r="R277" t="s">
        <v>360</v>
      </c>
      <c r="S277">
        <v>122.256</v>
      </c>
      <c r="T277">
        <v>830</v>
      </c>
      <c r="U277">
        <v>8341037.8600000003</v>
      </c>
      <c r="V277" t="str">
        <f t="shared" si="87"/>
        <v>Hyderabad</v>
      </c>
      <c r="W277" t="str">
        <f>VLOOKUP(B277, Currency!A:B, 2, FALSE)</f>
        <v>USD</v>
      </c>
      <c r="X277" t="str">
        <f t="shared" si="88"/>
        <v>Accepted</v>
      </c>
      <c r="Y277">
        <f>IFERROR(VLOOKUP(N277, Payment_Terms!A:B, 2, FALSE), "Payment term not found!")</f>
        <v>0</v>
      </c>
      <c r="Z277" t="str">
        <f>IFERROR(VLOOKUP(R277, Item_Category!A:B, 2, FALSE), "Uncategorized")</f>
        <v>Wood pulp</v>
      </c>
      <c r="AA277" s="5">
        <f t="shared" si="74"/>
        <v>2.1951999999999999E-2</v>
      </c>
      <c r="AB277">
        <f t="shared" si="75"/>
        <v>3</v>
      </c>
      <c r="AC277" s="10">
        <f t="shared" si="76"/>
        <v>23</v>
      </c>
      <c r="AD277">
        <f t="shared" si="77"/>
        <v>1</v>
      </c>
      <c r="AE277" s="10">
        <f t="shared" si="78"/>
        <v>68</v>
      </c>
      <c r="AF277" s="5">
        <f t="shared" si="71"/>
        <v>1</v>
      </c>
      <c r="AG277" s="5">
        <f t="shared" si="72"/>
        <v>1</v>
      </c>
      <c r="AH277" s="5">
        <f t="shared" si="79"/>
        <v>0</v>
      </c>
      <c r="AI277">
        <f>IF(B277&lt;&gt;"", COUNTIFS($B$2:B277, B277), "")</f>
        <v>16</v>
      </c>
      <c r="AJ277">
        <f t="shared" si="80"/>
        <v>5</v>
      </c>
      <c r="AK277">
        <f t="shared" si="73"/>
        <v>4</v>
      </c>
      <c r="AL277">
        <f t="shared" si="81"/>
        <v>6</v>
      </c>
      <c r="AM277" t="str">
        <f t="shared" si="82"/>
        <v>June</v>
      </c>
      <c r="AN277">
        <f t="shared" si="83"/>
        <v>2023</v>
      </c>
      <c r="AO277" t="str">
        <f t="shared" si="84"/>
        <v>&gt;3</v>
      </c>
      <c r="AP277" t="str">
        <f t="shared" si="85"/>
        <v>&lt;=3</v>
      </c>
      <c r="AQ277" t="str">
        <f t="shared" si="86"/>
        <v>&lt;=3</v>
      </c>
    </row>
    <row r="278" spans="1:43" x14ac:dyDescent="0.3">
      <c r="A278" t="s">
        <v>33</v>
      </c>
      <c r="B278" t="s">
        <v>107</v>
      </c>
      <c r="C278" t="s">
        <v>228</v>
      </c>
      <c r="D278">
        <v>4550</v>
      </c>
      <c r="E278">
        <v>23120127</v>
      </c>
      <c r="F278" t="s">
        <v>92</v>
      </c>
      <c r="G278" t="s">
        <v>93</v>
      </c>
      <c r="H278">
        <v>10000</v>
      </c>
      <c r="I278">
        <v>33.75</v>
      </c>
      <c r="J278">
        <v>337500</v>
      </c>
      <c r="K278" s="7" t="str">
        <f>IFERROR(IF(B278&lt;&gt;"", TEXT(VLOOKUP(B278, 'Expected Date'!A:B, 2, FALSE) + DATE(RIGHT(C278,2),MID(C278,4,2),LEFT(C278,2)), "dd/mm/yy"), ""), "")</f>
        <v>02/10/23</v>
      </c>
      <c r="L278" t="s">
        <v>38</v>
      </c>
      <c r="M278" t="s">
        <v>39</v>
      </c>
      <c r="N278" t="s">
        <v>109</v>
      </c>
      <c r="O278" t="s">
        <v>325</v>
      </c>
      <c r="P278">
        <v>23191353</v>
      </c>
      <c r="Q278" t="s">
        <v>92</v>
      </c>
      <c r="R278" t="s">
        <v>93</v>
      </c>
      <c r="S278">
        <v>12819</v>
      </c>
      <c r="T278">
        <v>33.75</v>
      </c>
      <c r="U278">
        <v>432641.25</v>
      </c>
      <c r="V278" t="str">
        <f t="shared" si="87"/>
        <v>Hyderabad</v>
      </c>
      <c r="W278" t="str">
        <f>VLOOKUP(B278, Currency!A:B, 2, FALSE)</f>
        <v>INR</v>
      </c>
      <c r="X278" t="str">
        <f t="shared" si="88"/>
        <v>Accepted</v>
      </c>
      <c r="Y278">
        <f>IFERROR(VLOOKUP(N278, Payment_Terms!A:B, 2, FALSE), "Payment term not found!")</f>
        <v>0</v>
      </c>
      <c r="Z278" t="str">
        <f>IFERROR(VLOOKUP(R278, Item_Category!A:B, 2, FALSE), "Uncategorized")</f>
        <v>Bags</v>
      </c>
      <c r="AA278" s="5">
        <f t="shared" si="74"/>
        <v>0</v>
      </c>
      <c r="AB278">
        <f t="shared" si="75"/>
        <v>5</v>
      </c>
      <c r="AC278" s="10">
        <f t="shared" si="76"/>
        <v>14</v>
      </c>
      <c r="AD278">
        <f t="shared" si="77"/>
        <v>1</v>
      </c>
      <c r="AE278" s="10">
        <f t="shared" si="78"/>
        <v>24</v>
      </c>
      <c r="AF278" s="5">
        <f t="shared" si="71"/>
        <v>1</v>
      </c>
      <c r="AG278" s="5">
        <f t="shared" si="72"/>
        <v>1</v>
      </c>
      <c r="AH278" s="5">
        <f t="shared" si="79"/>
        <v>0</v>
      </c>
      <c r="AI278">
        <f>IF(B278&lt;&gt;"", COUNTIFS($B$2:B278, B278), "")</f>
        <v>22</v>
      </c>
      <c r="AJ278">
        <f t="shared" si="80"/>
        <v>5</v>
      </c>
      <c r="AK278">
        <f t="shared" si="73"/>
        <v>4</v>
      </c>
      <c r="AL278">
        <f t="shared" si="81"/>
        <v>9</v>
      </c>
      <c r="AM278" t="str">
        <f t="shared" si="82"/>
        <v>September</v>
      </c>
      <c r="AN278">
        <f t="shared" si="83"/>
        <v>2023</v>
      </c>
      <c r="AO278" t="str">
        <f t="shared" si="84"/>
        <v>&gt;3</v>
      </c>
      <c r="AP278" t="str">
        <f t="shared" si="85"/>
        <v>&gt;3</v>
      </c>
      <c r="AQ278" t="str">
        <f t="shared" si="86"/>
        <v>&lt;=3</v>
      </c>
    </row>
    <row r="279" spans="1:43" x14ac:dyDescent="0.3">
      <c r="A279" t="s">
        <v>33</v>
      </c>
      <c r="B279" t="s">
        <v>64</v>
      </c>
      <c r="C279" t="s">
        <v>65</v>
      </c>
      <c r="D279">
        <v>1352</v>
      </c>
      <c r="E279">
        <v>23120006</v>
      </c>
      <c r="F279" t="s">
        <v>170</v>
      </c>
      <c r="G279" t="s">
        <v>171</v>
      </c>
      <c r="H279">
        <v>2000</v>
      </c>
      <c r="I279">
        <v>22.25</v>
      </c>
      <c r="J279">
        <v>44500</v>
      </c>
      <c r="K279" s="7" t="str">
        <f>IFERROR(IF(B279&lt;&gt;"", TEXT(VLOOKUP(B279, 'Expected Date'!A:B, 2, FALSE) + DATE(RIGHT(C279,2),MID(C279,4,2),LEFT(C279,2)), "dd/mm/yy"), ""), "")</f>
        <v>29/04/23</v>
      </c>
      <c r="L279" t="s">
        <v>68</v>
      </c>
      <c r="M279" t="s">
        <v>48</v>
      </c>
      <c r="N279" t="s">
        <v>69</v>
      </c>
      <c r="O279" t="s">
        <v>70</v>
      </c>
      <c r="P279">
        <v>23190106</v>
      </c>
      <c r="Q279" t="s">
        <v>170</v>
      </c>
      <c r="R279" t="s">
        <v>171</v>
      </c>
      <c r="S279">
        <v>1200</v>
      </c>
      <c r="T279">
        <v>22.25</v>
      </c>
      <c r="U279">
        <v>26700</v>
      </c>
      <c r="V279" t="str">
        <f t="shared" si="87"/>
        <v>Hyderabad</v>
      </c>
      <c r="W279" t="str">
        <f>VLOOKUP(B279, Currency!A:B, 2, FALSE)</f>
        <v>INR</v>
      </c>
      <c r="X279" t="str">
        <f t="shared" si="88"/>
        <v>Accepted</v>
      </c>
      <c r="Y279">
        <f>IFERROR(VLOOKUP(N279, Payment_Terms!A:B, 2, FALSE), "Payment term not found!")</f>
        <v>30</v>
      </c>
      <c r="Z279" t="str">
        <f>IFERROR(VLOOKUP(R279, Item_Category!A:B, 2, FALSE), "Uncategorized")</f>
        <v>Bags</v>
      </c>
      <c r="AA279" s="5">
        <f t="shared" si="74"/>
        <v>0.4</v>
      </c>
      <c r="AB279">
        <f t="shared" si="75"/>
        <v>1</v>
      </c>
      <c r="AC279" s="10">
        <f t="shared" si="76"/>
        <v>-5</v>
      </c>
      <c r="AD279">
        <f t="shared" si="77"/>
        <v>5</v>
      </c>
      <c r="AE279" s="10">
        <f t="shared" si="78"/>
        <v>5</v>
      </c>
      <c r="AF279" s="5">
        <f t="shared" si="71"/>
        <v>1</v>
      </c>
      <c r="AG279" s="5">
        <f t="shared" si="72"/>
        <v>1</v>
      </c>
      <c r="AH279" s="5">
        <f t="shared" si="79"/>
        <v>0</v>
      </c>
      <c r="AI279">
        <f>IF(B279&lt;&gt;"", COUNTIFS($B$2:B279, B279), "")</f>
        <v>24</v>
      </c>
      <c r="AJ279">
        <f t="shared" si="80"/>
        <v>5</v>
      </c>
      <c r="AK279">
        <f t="shared" si="73"/>
        <v>4</v>
      </c>
      <c r="AL279">
        <f t="shared" si="81"/>
        <v>4</v>
      </c>
      <c r="AM279" t="str">
        <f t="shared" si="82"/>
        <v>April</v>
      </c>
      <c r="AN279">
        <f t="shared" si="83"/>
        <v>2023</v>
      </c>
      <c r="AO279" t="str">
        <f t="shared" si="84"/>
        <v>&gt;3</v>
      </c>
      <c r="AP279" t="str">
        <f t="shared" si="85"/>
        <v>&lt;=3</v>
      </c>
      <c r="AQ279" t="str">
        <f t="shared" si="86"/>
        <v>&gt;3</v>
      </c>
    </row>
    <row r="280" spans="1:43" x14ac:dyDescent="0.3">
      <c r="A280" t="s">
        <v>111</v>
      </c>
      <c r="B280" t="s">
        <v>264</v>
      </c>
      <c r="C280" t="s">
        <v>338</v>
      </c>
      <c r="D280">
        <v>1671</v>
      </c>
      <c r="E280">
        <v>23120017</v>
      </c>
      <c r="F280" t="s">
        <v>266</v>
      </c>
      <c r="G280" t="s">
        <v>267</v>
      </c>
      <c r="H280">
        <v>8000</v>
      </c>
      <c r="I280">
        <v>131</v>
      </c>
      <c r="J280">
        <v>1048000</v>
      </c>
      <c r="K280" s="7" t="str">
        <f>IFERROR(IF(B280&lt;&gt;"", TEXT(VLOOKUP(B280, 'Expected Date'!A:B, 2, FALSE) + DATE(RIGHT(C280,2),MID(C280,4,2),LEFT(C280,2)), "dd/mm/yy"), ""), "")</f>
        <v>13/05/23</v>
      </c>
      <c r="L280" t="s">
        <v>38</v>
      </c>
      <c r="M280" t="s">
        <v>48</v>
      </c>
      <c r="N280" t="s">
        <v>268</v>
      </c>
      <c r="O280" t="s">
        <v>210</v>
      </c>
      <c r="P280">
        <v>23190275</v>
      </c>
      <c r="Q280" t="s">
        <v>266</v>
      </c>
      <c r="R280" t="s">
        <v>267</v>
      </c>
      <c r="S280">
        <v>8000</v>
      </c>
      <c r="T280">
        <v>131</v>
      </c>
      <c r="U280">
        <v>1048000</v>
      </c>
      <c r="V280" t="str">
        <f t="shared" si="87"/>
        <v>Hyderabad</v>
      </c>
      <c r="W280" t="str">
        <f>VLOOKUP(B280, Currency!A:B, 2, FALSE)</f>
        <v>INR</v>
      </c>
      <c r="X280" t="str">
        <f t="shared" si="88"/>
        <v>Accepted</v>
      </c>
      <c r="Y280">
        <f>IFERROR(VLOOKUP(N280, Payment_Terms!A:B, 2, FALSE), "Payment term not found!")</f>
        <v>0</v>
      </c>
      <c r="Z280" t="str">
        <f>IFERROR(VLOOKUP(R280, Item_Category!A:B, 2, FALSE), "Uncategorized")</f>
        <v>Magnesium stearate</v>
      </c>
      <c r="AA280" s="5">
        <f t="shared" si="74"/>
        <v>0</v>
      </c>
      <c r="AB280">
        <f t="shared" si="75"/>
        <v>5</v>
      </c>
      <c r="AC280" s="10">
        <f t="shared" si="76"/>
        <v>0</v>
      </c>
      <c r="AD280">
        <f t="shared" si="77"/>
        <v>5</v>
      </c>
      <c r="AE280" s="10">
        <f t="shared" si="78"/>
        <v>10</v>
      </c>
      <c r="AF280" s="5">
        <f t="shared" si="71"/>
        <v>1</v>
      </c>
      <c r="AG280" s="5">
        <f t="shared" si="72"/>
        <v>1</v>
      </c>
      <c r="AH280" s="5">
        <f t="shared" si="79"/>
        <v>0</v>
      </c>
      <c r="AI280">
        <f>IF(B280&lt;&gt;"", COUNTIFS($B$2:B280, B280), "")</f>
        <v>3</v>
      </c>
      <c r="AJ280">
        <f t="shared" si="80"/>
        <v>5</v>
      </c>
      <c r="AK280">
        <f t="shared" si="73"/>
        <v>5</v>
      </c>
      <c r="AL280">
        <f t="shared" si="81"/>
        <v>5</v>
      </c>
      <c r="AM280" t="str">
        <f t="shared" si="82"/>
        <v>May</v>
      </c>
      <c r="AN280">
        <f t="shared" si="83"/>
        <v>2023</v>
      </c>
      <c r="AO280" t="str">
        <f t="shared" si="84"/>
        <v>&gt;3</v>
      </c>
      <c r="AP280" t="str">
        <f t="shared" si="85"/>
        <v>&gt;3</v>
      </c>
      <c r="AQ280" t="str">
        <f t="shared" si="86"/>
        <v>&gt;3</v>
      </c>
    </row>
    <row r="281" spans="1:43" x14ac:dyDescent="0.3">
      <c r="A281" t="s">
        <v>33</v>
      </c>
      <c r="B281" t="s">
        <v>150</v>
      </c>
      <c r="C281" t="s">
        <v>182</v>
      </c>
      <c r="D281">
        <v>2409</v>
      </c>
      <c r="E281">
        <v>23110192</v>
      </c>
      <c r="F281" t="s">
        <v>135</v>
      </c>
      <c r="G281" t="s">
        <v>136</v>
      </c>
      <c r="H281">
        <v>200</v>
      </c>
      <c r="I281">
        <v>6904.76</v>
      </c>
      <c r="J281">
        <v>1380952</v>
      </c>
      <c r="K281" s="7" t="str">
        <f>IFERROR(IF(B281&lt;&gt;"", TEXT(VLOOKUP(B281, 'Expected Date'!A:B, 2, FALSE) + DATE(RIGHT(C281,2),MID(C281,4,2),LEFT(C281,2)), "dd/mm/yy"), ""), "")</f>
        <v>23/06/23</v>
      </c>
      <c r="L281" t="s">
        <v>38</v>
      </c>
      <c r="M281" t="s">
        <v>48</v>
      </c>
      <c r="N281" t="s">
        <v>183</v>
      </c>
      <c r="O281" t="s">
        <v>63</v>
      </c>
      <c r="P281">
        <v>23190477</v>
      </c>
      <c r="Q281" t="s">
        <v>135</v>
      </c>
      <c r="R281" t="s">
        <v>136</v>
      </c>
      <c r="S281">
        <v>25</v>
      </c>
      <c r="T281">
        <v>6904.76</v>
      </c>
      <c r="U281">
        <v>172619</v>
      </c>
      <c r="V281" t="str">
        <f t="shared" si="87"/>
        <v>Hyderabad</v>
      </c>
      <c r="W281" t="str">
        <f>VLOOKUP(B281, Currency!A:B, 2, FALSE)</f>
        <v>INR</v>
      </c>
      <c r="X281" t="str">
        <f t="shared" si="88"/>
        <v>Accepted</v>
      </c>
      <c r="Y281">
        <f>IFERROR(VLOOKUP(N281, Payment_Terms!A:B, 2, FALSE), "Payment term not found!")</f>
        <v>30</v>
      </c>
      <c r="Z281" t="str">
        <f>IFERROR(VLOOKUP(R281, Item_Category!A:B, 2, FALSE), "Uncategorized")</f>
        <v>Coal materials</v>
      </c>
      <c r="AA281" s="5">
        <f t="shared" si="74"/>
        <v>0</v>
      </c>
      <c r="AB281">
        <f t="shared" si="75"/>
        <v>5</v>
      </c>
      <c r="AC281" s="10">
        <f t="shared" si="76"/>
        <v>1</v>
      </c>
      <c r="AD281">
        <f t="shared" si="77"/>
        <v>5</v>
      </c>
      <c r="AE281" s="10">
        <f t="shared" si="78"/>
        <v>11</v>
      </c>
      <c r="AF281" s="5">
        <f t="shared" si="71"/>
        <v>1</v>
      </c>
      <c r="AG281" s="5">
        <f t="shared" si="72"/>
        <v>1</v>
      </c>
      <c r="AH281" s="5">
        <f t="shared" si="79"/>
        <v>0</v>
      </c>
      <c r="AI281">
        <f>IF(B281&lt;&gt;"", COUNTIFS($B$2:B281, B281), "")</f>
        <v>18</v>
      </c>
      <c r="AJ281">
        <f t="shared" si="80"/>
        <v>5</v>
      </c>
      <c r="AK281">
        <f t="shared" si="73"/>
        <v>5</v>
      </c>
      <c r="AL281">
        <f t="shared" si="81"/>
        <v>6</v>
      </c>
      <c r="AM281" t="str">
        <f t="shared" si="82"/>
        <v>June</v>
      </c>
      <c r="AN281">
        <f t="shared" si="83"/>
        <v>2023</v>
      </c>
      <c r="AO281" t="str">
        <f t="shared" si="84"/>
        <v>&gt;3</v>
      </c>
      <c r="AP281" t="str">
        <f t="shared" si="85"/>
        <v>&gt;3</v>
      </c>
      <c r="AQ281" t="str">
        <f t="shared" si="86"/>
        <v>&gt;3</v>
      </c>
    </row>
    <row r="282" spans="1:43" x14ac:dyDescent="0.3">
      <c r="A282" t="s">
        <v>33</v>
      </c>
      <c r="B282" t="s">
        <v>150</v>
      </c>
      <c r="C282" t="s">
        <v>182</v>
      </c>
      <c r="D282">
        <v>2409</v>
      </c>
      <c r="E282">
        <v>23110192</v>
      </c>
      <c r="F282" t="s">
        <v>135</v>
      </c>
      <c r="G282" t="s">
        <v>136</v>
      </c>
      <c r="H282">
        <v>200</v>
      </c>
      <c r="I282">
        <v>6904.76</v>
      </c>
      <c r="J282">
        <v>1380952</v>
      </c>
      <c r="K282" s="7" t="str">
        <f>IFERROR(IF(B282&lt;&gt;"", TEXT(VLOOKUP(B282, 'Expected Date'!A:B, 2, FALSE) + DATE(RIGHT(C282,2),MID(C282,4,2),LEFT(C282,2)), "dd/mm/yy"), ""), "")</f>
        <v>23/06/23</v>
      </c>
      <c r="L282" t="s">
        <v>38</v>
      </c>
      <c r="M282" t="s">
        <v>48</v>
      </c>
      <c r="N282" t="s">
        <v>183</v>
      </c>
      <c r="O282" t="s">
        <v>63</v>
      </c>
      <c r="P282">
        <v>23190478</v>
      </c>
      <c r="Q282" t="s">
        <v>135</v>
      </c>
      <c r="R282" t="s">
        <v>136</v>
      </c>
      <c r="S282">
        <v>25</v>
      </c>
      <c r="T282">
        <v>6904.76</v>
      </c>
      <c r="U282">
        <v>172619</v>
      </c>
      <c r="V282" t="str">
        <f t="shared" si="87"/>
        <v>Hyderabad</v>
      </c>
      <c r="W282" t="str">
        <f>VLOOKUP(B282, Currency!A:B, 2, FALSE)</f>
        <v>INR</v>
      </c>
      <c r="X282" t="str">
        <f t="shared" si="88"/>
        <v>Accepted</v>
      </c>
      <c r="Y282">
        <f>IFERROR(VLOOKUP(N282, Payment_Terms!A:B, 2, FALSE), "Payment term not found!")</f>
        <v>30</v>
      </c>
      <c r="Z282" t="str">
        <f>IFERROR(VLOOKUP(R282, Item_Category!A:B, 2, FALSE), "Uncategorized")</f>
        <v>Coal materials</v>
      </c>
      <c r="AA282" s="5">
        <f t="shared" si="74"/>
        <v>0</v>
      </c>
      <c r="AB282">
        <f t="shared" si="75"/>
        <v>5</v>
      </c>
      <c r="AC282" s="10">
        <f t="shared" si="76"/>
        <v>1</v>
      </c>
      <c r="AD282">
        <f t="shared" si="77"/>
        <v>5</v>
      </c>
      <c r="AE282" s="10">
        <f t="shared" si="78"/>
        <v>11</v>
      </c>
      <c r="AF282" s="5">
        <f t="shared" si="71"/>
        <v>1</v>
      </c>
      <c r="AG282" s="5">
        <f t="shared" si="72"/>
        <v>1</v>
      </c>
      <c r="AH282" s="5">
        <f t="shared" si="79"/>
        <v>0</v>
      </c>
      <c r="AI282">
        <f>IF(B282&lt;&gt;"", COUNTIFS($B$2:B282, B282), "")</f>
        <v>19</v>
      </c>
      <c r="AJ282">
        <f t="shared" si="80"/>
        <v>5</v>
      </c>
      <c r="AK282">
        <f t="shared" si="73"/>
        <v>5</v>
      </c>
      <c r="AL282">
        <f t="shared" si="81"/>
        <v>6</v>
      </c>
      <c r="AM282" t="str">
        <f t="shared" si="82"/>
        <v>June</v>
      </c>
      <c r="AN282">
        <f t="shared" si="83"/>
        <v>2023</v>
      </c>
      <c r="AO282" t="str">
        <f t="shared" si="84"/>
        <v>&gt;3</v>
      </c>
      <c r="AP282" t="str">
        <f t="shared" si="85"/>
        <v>&gt;3</v>
      </c>
      <c r="AQ282" t="str">
        <f t="shared" si="86"/>
        <v>&gt;3</v>
      </c>
    </row>
    <row r="283" spans="1:43" x14ac:dyDescent="0.3">
      <c r="A283" t="str">
        <f>A219</f>
        <v>Woodpulp</v>
      </c>
      <c r="B283" t="s">
        <v>96</v>
      </c>
      <c r="C283" t="s">
        <v>71</v>
      </c>
      <c r="D283">
        <v>2696</v>
      </c>
      <c r="E283">
        <v>23120063</v>
      </c>
      <c r="F283" t="s">
        <v>98</v>
      </c>
      <c r="G283" t="s">
        <v>99</v>
      </c>
      <c r="H283">
        <v>78</v>
      </c>
      <c r="I283">
        <v>670</v>
      </c>
      <c r="J283">
        <v>4269642</v>
      </c>
      <c r="K283" s="7" t="str">
        <f>IFERROR(IF(B283&lt;&gt;"", TEXT(VLOOKUP(B283, 'Expected Date'!A:B, 2, FALSE) + DATE(RIGHT(C283,2),MID(C283,4,2),LEFT(C283,2)), "dd/mm/yy"), ""), "")</f>
        <v>21/08/23</v>
      </c>
      <c r="L283" t="s">
        <v>68</v>
      </c>
      <c r="M283" t="str">
        <f>M197</f>
        <v>MT</v>
      </c>
      <c r="N283" t="s">
        <v>102</v>
      </c>
      <c r="O283" t="s">
        <v>330</v>
      </c>
      <c r="P283">
        <v>23191163</v>
      </c>
      <c r="Q283" t="s">
        <v>98</v>
      </c>
      <c r="R283" t="s">
        <v>99</v>
      </c>
      <c r="S283">
        <v>77.061999999999998</v>
      </c>
      <c r="T283">
        <v>670</v>
      </c>
      <c r="U283">
        <v>4249275.74</v>
      </c>
      <c r="V283" t="str">
        <f t="shared" si="87"/>
        <v>Hyderabad</v>
      </c>
      <c r="W283" t="str">
        <f>VLOOKUP(B283, Currency!A:B, 2, FALSE)</f>
        <v>USD</v>
      </c>
      <c r="X283" t="str">
        <f t="shared" si="88"/>
        <v>Accepted</v>
      </c>
      <c r="Y283">
        <f>IFERROR(VLOOKUP(N283, Payment_Terms!A:B, 2, FALSE), "Payment term not found!")</f>
        <v>60</v>
      </c>
      <c r="Z283" t="str">
        <f>IFERROR(VLOOKUP(R283, Item_Category!A:B, 2, FALSE), "Uncategorized")</f>
        <v>Wood pulp</v>
      </c>
      <c r="AA283" s="5">
        <f t="shared" si="74"/>
        <v>1.2025641025641057E-2</v>
      </c>
      <c r="AB283">
        <f t="shared" si="75"/>
        <v>4</v>
      </c>
      <c r="AC283" s="10">
        <f t="shared" si="76"/>
        <v>33</v>
      </c>
      <c r="AD283">
        <f t="shared" si="77"/>
        <v>1</v>
      </c>
      <c r="AE283" s="10">
        <f t="shared" si="78"/>
        <v>93</v>
      </c>
      <c r="AF283" s="5">
        <f t="shared" si="71"/>
        <v>1</v>
      </c>
      <c r="AG283" s="5">
        <f t="shared" si="72"/>
        <v>1</v>
      </c>
      <c r="AH283" s="5">
        <f t="shared" si="79"/>
        <v>0</v>
      </c>
      <c r="AI283">
        <f>IF(B283&lt;&gt;"", COUNTIFS($B$2:B283, B283), "")</f>
        <v>6</v>
      </c>
      <c r="AJ283">
        <f t="shared" si="80"/>
        <v>5</v>
      </c>
      <c r="AK283">
        <f t="shared" si="73"/>
        <v>4</v>
      </c>
      <c r="AL283">
        <f t="shared" si="81"/>
        <v>6</v>
      </c>
      <c r="AM283" t="str">
        <f t="shared" si="82"/>
        <v>June</v>
      </c>
      <c r="AN283">
        <f t="shared" si="83"/>
        <v>2023</v>
      </c>
      <c r="AO283" t="str">
        <f t="shared" si="84"/>
        <v>&gt;3</v>
      </c>
      <c r="AP283" t="str">
        <f t="shared" si="85"/>
        <v>&gt;3</v>
      </c>
      <c r="AQ283" t="str">
        <f t="shared" si="86"/>
        <v>&lt;=3</v>
      </c>
    </row>
    <row r="284" spans="1:43" x14ac:dyDescent="0.3">
      <c r="A284" t="s">
        <v>33</v>
      </c>
      <c r="B284" t="s">
        <v>34</v>
      </c>
      <c r="C284" t="s">
        <v>265</v>
      </c>
      <c r="D284">
        <v>1245</v>
      </c>
      <c r="E284">
        <v>23210019</v>
      </c>
      <c r="F284" t="s">
        <v>340</v>
      </c>
      <c r="G284" t="s">
        <v>341</v>
      </c>
      <c r="H284">
        <v>1055</v>
      </c>
      <c r="I284">
        <v>35</v>
      </c>
      <c r="J284">
        <v>36925</v>
      </c>
      <c r="K284" s="7" t="str">
        <f>IFERROR(IF(B284&lt;&gt;"", TEXT(VLOOKUP(B284, 'Expected Date'!A:B, 2, FALSE) + DATE(RIGHT(C284,2),MID(C284,4,2),LEFT(C284,2)), "dd/mm/yy"), ""), "")</f>
        <v>20/04/23</v>
      </c>
      <c r="L284" t="s">
        <v>38</v>
      </c>
      <c r="M284" t="s">
        <v>39</v>
      </c>
      <c r="N284" t="s">
        <v>342</v>
      </c>
      <c r="O284" t="s">
        <v>343</v>
      </c>
      <c r="P284">
        <v>23290080</v>
      </c>
      <c r="Q284" t="s">
        <v>340</v>
      </c>
      <c r="R284" t="s">
        <v>341</v>
      </c>
      <c r="S284">
        <v>1055</v>
      </c>
      <c r="T284">
        <v>35</v>
      </c>
      <c r="U284">
        <v>36925</v>
      </c>
      <c r="V284" t="s">
        <v>863</v>
      </c>
      <c r="W284" t="str">
        <f>VLOOKUP(B284, Currency!A:B, 2, FALSE)</f>
        <v>INR</v>
      </c>
      <c r="X284" t="s">
        <v>42</v>
      </c>
      <c r="Y284">
        <f>IFERROR(VLOOKUP(N284, Payment_Terms!A:B, 2, FALSE), "Payment term not found!")</f>
        <v>30</v>
      </c>
      <c r="Z284" t="str">
        <f>IFERROR(VLOOKUP(R284, Item_Category!A:B, 2, FALSE), "Uncategorized")</f>
        <v>Bags</v>
      </c>
      <c r="AA284" s="5">
        <f t="shared" si="74"/>
        <v>0</v>
      </c>
      <c r="AB284">
        <f t="shared" si="75"/>
        <v>5</v>
      </c>
      <c r="AC284" s="10">
        <f t="shared" si="76"/>
        <v>-8</v>
      </c>
      <c r="AD284">
        <f t="shared" si="77"/>
        <v>5</v>
      </c>
      <c r="AE284" s="10">
        <f t="shared" si="78"/>
        <v>2</v>
      </c>
      <c r="AF284" s="5">
        <f t="shared" si="71"/>
        <v>1</v>
      </c>
      <c r="AG284" s="5">
        <f t="shared" si="72"/>
        <v>1</v>
      </c>
      <c r="AH284" s="5">
        <f t="shared" si="79"/>
        <v>0</v>
      </c>
      <c r="AI284">
        <f>IF(B284&lt;&gt;"", COUNTIFS($B$2:B284, B284), "")</f>
        <v>17</v>
      </c>
      <c r="AJ284">
        <f t="shared" si="80"/>
        <v>5</v>
      </c>
      <c r="AK284">
        <f t="shared" si="73"/>
        <v>5</v>
      </c>
      <c r="AL284">
        <f t="shared" si="81"/>
        <v>4</v>
      </c>
      <c r="AM284" t="str">
        <f t="shared" si="82"/>
        <v>April</v>
      </c>
      <c r="AN284">
        <f t="shared" si="83"/>
        <v>2023</v>
      </c>
      <c r="AO284" t="str">
        <f t="shared" si="84"/>
        <v>&gt;3</v>
      </c>
      <c r="AP284" t="str">
        <f t="shared" si="85"/>
        <v>&gt;3</v>
      </c>
      <c r="AQ284" t="str">
        <f t="shared" si="86"/>
        <v>&gt;3</v>
      </c>
    </row>
    <row r="285" spans="1:43" x14ac:dyDescent="0.3">
      <c r="A285" t="s">
        <v>33</v>
      </c>
      <c r="B285" t="str">
        <f>B284</f>
        <v>Ami Enterprises</v>
      </c>
      <c r="C285" t="s">
        <v>344</v>
      </c>
      <c r="D285">
        <v>1458</v>
      </c>
      <c r="E285">
        <v>23210064</v>
      </c>
      <c r="F285" t="s">
        <v>345</v>
      </c>
      <c r="G285" t="s">
        <v>346</v>
      </c>
      <c r="H285">
        <v>1050</v>
      </c>
      <c r="I285">
        <v>28</v>
      </c>
      <c r="J285">
        <v>29400</v>
      </c>
      <c r="K285" s="7" t="str">
        <f>IFERROR(IF(B285&lt;&gt;"", TEXT(VLOOKUP(B285, 'Expected Date'!A:B, 2, FALSE) + DATE(RIGHT(C285,2),MID(C285,4,2),LEFT(C285,2)), "dd/mm/yy"), ""), "")</f>
        <v>14/04/23</v>
      </c>
      <c r="L285" t="s">
        <v>68</v>
      </c>
      <c r="M285" t="s">
        <v>39</v>
      </c>
      <c r="N285" t="s">
        <v>318</v>
      </c>
      <c r="O285" t="s">
        <v>172</v>
      </c>
      <c r="P285">
        <v>23290081</v>
      </c>
      <c r="Q285" t="s">
        <v>345</v>
      </c>
      <c r="R285" t="s">
        <v>346</v>
      </c>
      <c r="S285">
        <v>1036</v>
      </c>
      <c r="T285">
        <v>28</v>
      </c>
      <c r="U285">
        <v>29008</v>
      </c>
      <c r="V285" t="str">
        <f>V284</f>
        <v>Dahej</v>
      </c>
      <c r="W285" t="str">
        <f>VLOOKUP(B285, Currency!A:B, 2, FALSE)</f>
        <v>INR</v>
      </c>
      <c r="X285" t="str">
        <f>X284</f>
        <v>Accepted</v>
      </c>
      <c r="Y285">
        <f>IFERROR(VLOOKUP(N285, Payment_Terms!A:B, 2, FALSE), "Payment term not found!")</f>
        <v>30</v>
      </c>
      <c r="Z285" t="str">
        <f>IFERROR(VLOOKUP(R285, Item_Category!A:B, 2, FALSE), "Uncategorized")</f>
        <v>Bags</v>
      </c>
      <c r="AA285" s="5">
        <f t="shared" si="74"/>
        <v>1.3333333333333334E-2</v>
      </c>
      <c r="AB285">
        <f t="shared" si="75"/>
        <v>4</v>
      </c>
      <c r="AC285" s="10">
        <f t="shared" si="76"/>
        <v>-8</v>
      </c>
      <c r="AD285">
        <f t="shared" si="77"/>
        <v>5</v>
      </c>
      <c r="AE285" s="10">
        <f t="shared" si="78"/>
        <v>2</v>
      </c>
      <c r="AF285" s="5">
        <f t="shared" si="71"/>
        <v>1</v>
      </c>
      <c r="AG285" s="5">
        <f t="shared" si="72"/>
        <v>1</v>
      </c>
      <c r="AH285" s="5">
        <f t="shared" si="79"/>
        <v>0</v>
      </c>
      <c r="AI285">
        <f>IF(B285&lt;&gt;"", COUNTIFS($B$2:B285, B285), "")</f>
        <v>18</v>
      </c>
      <c r="AJ285">
        <f t="shared" si="80"/>
        <v>5</v>
      </c>
      <c r="AK285">
        <f t="shared" si="73"/>
        <v>5</v>
      </c>
      <c r="AL285">
        <f t="shared" si="81"/>
        <v>4</v>
      </c>
      <c r="AM285" t="str">
        <f t="shared" si="82"/>
        <v>April</v>
      </c>
      <c r="AN285">
        <f t="shared" si="83"/>
        <v>2023</v>
      </c>
      <c r="AO285" t="str">
        <f t="shared" si="84"/>
        <v>&gt;3</v>
      </c>
      <c r="AP285" t="str">
        <f t="shared" si="85"/>
        <v>&gt;3</v>
      </c>
      <c r="AQ285" t="str">
        <f t="shared" si="86"/>
        <v>&gt;3</v>
      </c>
    </row>
    <row r="286" spans="1:43" x14ac:dyDescent="0.3">
      <c r="A286" t="s">
        <v>33</v>
      </c>
      <c r="B286" t="s">
        <v>347</v>
      </c>
      <c r="C286" t="s">
        <v>348</v>
      </c>
      <c r="D286">
        <v>2179</v>
      </c>
      <c r="E286">
        <v>23210207</v>
      </c>
      <c r="F286" t="s">
        <v>349</v>
      </c>
      <c r="G286" t="s">
        <v>350</v>
      </c>
      <c r="H286">
        <v>24</v>
      </c>
      <c r="I286">
        <v>44770</v>
      </c>
      <c r="J286">
        <v>1074480</v>
      </c>
      <c r="K286" s="7" t="str">
        <f>IFERROR(IF(B286&lt;&gt;"", TEXT(VLOOKUP(B286, 'Expected Date'!A:B, 2, FALSE) + DATE(RIGHT(C286,2),MID(C286,4,2),LEFT(C286,2)), "dd/mm/yy"), ""), "")</f>
        <v>28/05/23</v>
      </c>
      <c r="L286" t="s">
        <v>68</v>
      </c>
      <c r="M286" t="s">
        <v>285</v>
      </c>
      <c r="N286" t="s">
        <v>351</v>
      </c>
      <c r="O286" t="s">
        <v>352</v>
      </c>
      <c r="P286">
        <v>23290435</v>
      </c>
      <c r="Q286" t="s">
        <v>349</v>
      </c>
      <c r="R286" t="s">
        <v>350</v>
      </c>
      <c r="S286">
        <v>23.64</v>
      </c>
      <c r="T286">
        <v>44770</v>
      </c>
      <c r="U286">
        <v>1058362.8</v>
      </c>
      <c r="V286" t="str">
        <f t="shared" ref="V286:X349" si="89">V285</f>
        <v>Dahej</v>
      </c>
      <c r="W286" t="str">
        <f>VLOOKUP(B286, Currency!A:B, 2, FALSE)</f>
        <v>INR</v>
      </c>
      <c r="X286" t="str">
        <f t="shared" si="89"/>
        <v>Accepted</v>
      </c>
      <c r="Y286">
        <f>IFERROR(VLOOKUP(N286, Payment_Terms!A:B, 2, FALSE), "Payment term not found!")</f>
        <v>0</v>
      </c>
      <c r="Z286" t="str">
        <f>IFERROR(VLOOKUP(R286, Item_Category!A:B, 2, FALSE), "Uncategorized")</f>
        <v>Oil</v>
      </c>
      <c r="AA286" s="5">
        <f t="shared" si="74"/>
        <v>1.4999999999999977E-2</v>
      </c>
      <c r="AB286">
        <f t="shared" si="75"/>
        <v>4</v>
      </c>
      <c r="AC286" s="10">
        <f t="shared" si="76"/>
        <v>5</v>
      </c>
      <c r="AD286">
        <f t="shared" si="77"/>
        <v>3</v>
      </c>
      <c r="AE286" s="10">
        <f t="shared" si="78"/>
        <v>6</v>
      </c>
      <c r="AF286" s="5">
        <f t="shared" si="71"/>
        <v>1</v>
      </c>
      <c r="AG286" s="5">
        <f t="shared" si="72"/>
        <v>1</v>
      </c>
      <c r="AH286" s="5">
        <f t="shared" si="79"/>
        <v>0</v>
      </c>
      <c r="AI286">
        <f>IF(B286&lt;&gt;"", COUNTIFS($B$2:B286, B286), "")</f>
        <v>1</v>
      </c>
      <c r="AJ286">
        <f t="shared" si="80"/>
        <v>5</v>
      </c>
      <c r="AK286">
        <f t="shared" si="73"/>
        <v>5</v>
      </c>
      <c r="AL286">
        <f t="shared" si="81"/>
        <v>5</v>
      </c>
      <c r="AM286" t="str">
        <f t="shared" si="82"/>
        <v>May</v>
      </c>
      <c r="AN286">
        <f t="shared" si="83"/>
        <v>2023</v>
      </c>
      <c r="AO286" t="str">
        <f t="shared" si="84"/>
        <v>&gt;3</v>
      </c>
      <c r="AP286" t="str">
        <f t="shared" si="85"/>
        <v>&gt;3</v>
      </c>
      <c r="AQ286" t="str">
        <f t="shared" si="86"/>
        <v>&lt;=3</v>
      </c>
    </row>
    <row r="287" spans="1:43" x14ac:dyDescent="0.3">
      <c r="A287" t="s">
        <v>33</v>
      </c>
      <c r="B287" t="s">
        <v>353</v>
      </c>
      <c r="C287" t="s">
        <v>354</v>
      </c>
      <c r="D287">
        <v>2799</v>
      </c>
      <c r="E287">
        <v>23210355</v>
      </c>
      <c r="F287" t="s">
        <v>355</v>
      </c>
      <c r="G287" t="s">
        <v>356</v>
      </c>
      <c r="H287">
        <v>40000</v>
      </c>
      <c r="I287">
        <v>1.1000000000000001</v>
      </c>
      <c r="J287">
        <v>44000</v>
      </c>
      <c r="K287" s="7" t="str">
        <f>IFERROR(IF(B287&lt;&gt;"", TEXT(VLOOKUP(B287, 'Expected Date'!A:B, 2, FALSE) + DATE(RIGHT(C287,2),MID(C287,4,2),LEFT(C287,2)), "dd/mm/yy"), ""), "")</f>
        <v>05/07/23</v>
      </c>
      <c r="L287" t="s">
        <v>38</v>
      </c>
      <c r="M287" t="s">
        <v>39</v>
      </c>
      <c r="N287" t="s">
        <v>342</v>
      </c>
      <c r="O287" t="s">
        <v>89</v>
      </c>
      <c r="P287">
        <v>23290669</v>
      </c>
      <c r="Q287" t="s">
        <v>355</v>
      </c>
      <c r="R287" t="s">
        <v>356</v>
      </c>
      <c r="S287">
        <v>34000</v>
      </c>
      <c r="T287">
        <v>1.1000000000000001</v>
      </c>
      <c r="U287">
        <v>37400</v>
      </c>
      <c r="V287" t="str">
        <f t="shared" si="89"/>
        <v>Dahej</v>
      </c>
      <c r="W287" t="str">
        <f>VLOOKUP(B287, Currency!A:B, 2, FALSE)</f>
        <v>INR</v>
      </c>
      <c r="X287" t="str">
        <f t="shared" si="89"/>
        <v>Accepted</v>
      </c>
      <c r="Y287">
        <f>IFERROR(VLOOKUP(N287, Payment_Terms!A:B, 2, FALSE), "Payment term not found!")</f>
        <v>30</v>
      </c>
      <c r="Z287" t="str">
        <f>IFERROR(VLOOKUP(R287, Item_Category!A:B, 2, FALSE), "Uncategorized")</f>
        <v>Sticker</v>
      </c>
      <c r="AA287" s="5">
        <f t="shared" si="74"/>
        <v>0</v>
      </c>
      <c r="AB287">
        <f t="shared" si="75"/>
        <v>5</v>
      </c>
      <c r="AC287" s="10">
        <f t="shared" si="76"/>
        <v>0</v>
      </c>
      <c r="AD287">
        <f t="shared" si="77"/>
        <v>5</v>
      </c>
      <c r="AE287" s="10">
        <f t="shared" si="78"/>
        <v>2</v>
      </c>
      <c r="AF287" s="5">
        <f t="shared" si="71"/>
        <v>1</v>
      </c>
      <c r="AG287" s="5">
        <f t="shared" si="72"/>
        <v>1</v>
      </c>
      <c r="AH287" s="5">
        <f t="shared" si="79"/>
        <v>0</v>
      </c>
      <c r="AI287">
        <f>IF(B287&lt;&gt;"", COUNTIFS($B$2:B287, B287), "")</f>
        <v>1</v>
      </c>
      <c r="AJ287">
        <f t="shared" si="80"/>
        <v>5</v>
      </c>
      <c r="AK287">
        <f t="shared" si="73"/>
        <v>5</v>
      </c>
      <c r="AL287">
        <f t="shared" si="81"/>
        <v>7</v>
      </c>
      <c r="AM287" t="str">
        <f t="shared" si="82"/>
        <v>July</v>
      </c>
      <c r="AN287">
        <f t="shared" si="83"/>
        <v>2023</v>
      </c>
      <c r="AO287" t="str">
        <f t="shared" si="84"/>
        <v>&gt;3</v>
      </c>
      <c r="AP287" t="str">
        <f t="shared" si="85"/>
        <v>&gt;3</v>
      </c>
      <c r="AQ287" t="str">
        <f t="shared" si="86"/>
        <v>&gt;3</v>
      </c>
    </row>
    <row r="288" spans="1:43" x14ac:dyDescent="0.3">
      <c r="A288" t="s">
        <v>33</v>
      </c>
      <c r="B288" t="s">
        <v>353</v>
      </c>
      <c r="C288" t="s">
        <v>269</v>
      </c>
      <c r="D288">
        <v>2139</v>
      </c>
      <c r="E288">
        <v>23210186</v>
      </c>
      <c r="F288" t="s">
        <v>355</v>
      </c>
      <c r="G288" t="s">
        <v>356</v>
      </c>
      <c r="H288">
        <v>40000</v>
      </c>
      <c r="I288">
        <v>1.1000000000000001</v>
      </c>
      <c r="J288">
        <v>44000</v>
      </c>
      <c r="K288" s="7" t="str">
        <f>IFERROR(IF(B288&lt;&gt;"", TEXT(VLOOKUP(B288, 'Expected Date'!A:B, 2, FALSE) + DATE(RIGHT(C288,2),MID(C288,4,2),LEFT(C288,2)), "dd/mm/yy"), ""), "")</f>
        <v>17/05/23</v>
      </c>
      <c r="L288" t="s">
        <v>68</v>
      </c>
      <c r="M288" t="s">
        <v>39</v>
      </c>
      <c r="N288" t="s">
        <v>342</v>
      </c>
      <c r="O288" t="s">
        <v>357</v>
      </c>
      <c r="P288">
        <v>23290415</v>
      </c>
      <c r="Q288" t="s">
        <v>355</v>
      </c>
      <c r="R288" t="s">
        <v>356</v>
      </c>
      <c r="S288">
        <v>20000</v>
      </c>
      <c r="T288">
        <v>1.1000000000000001</v>
      </c>
      <c r="U288">
        <v>22000</v>
      </c>
      <c r="V288" t="str">
        <f t="shared" si="89"/>
        <v>Dahej</v>
      </c>
      <c r="W288" t="str">
        <f>VLOOKUP(B288, Currency!A:B, 2, FALSE)</f>
        <v>INR</v>
      </c>
      <c r="X288" t="str">
        <f t="shared" si="89"/>
        <v>Accepted</v>
      </c>
      <c r="Y288">
        <f>IFERROR(VLOOKUP(N288, Payment_Terms!A:B, 2, FALSE), "Payment term not found!")</f>
        <v>30</v>
      </c>
      <c r="Z288" t="str">
        <f>IFERROR(VLOOKUP(R288, Item_Category!A:B, 2, FALSE), "Uncategorized")</f>
        <v>Sticker</v>
      </c>
      <c r="AA288" s="5">
        <f t="shared" si="74"/>
        <v>0.27500000000000002</v>
      </c>
      <c r="AB288">
        <f t="shared" si="75"/>
        <v>1</v>
      </c>
      <c r="AC288" s="10">
        <f t="shared" si="76"/>
        <v>13</v>
      </c>
      <c r="AD288">
        <f t="shared" si="77"/>
        <v>1</v>
      </c>
      <c r="AE288" s="10">
        <f t="shared" si="78"/>
        <v>15</v>
      </c>
      <c r="AF288" s="5">
        <f t="shared" si="71"/>
        <v>1</v>
      </c>
      <c r="AG288" s="5">
        <f t="shared" si="72"/>
        <v>1</v>
      </c>
      <c r="AH288" s="5">
        <f t="shared" si="79"/>
        <v>0</v>
      </c>
      <c r="AI288">
        <f>IF(B288&lt;&gt;"", COUNTIFS($B$2:B288, B288), "")</f>
        <v>2</v>
      </c>
      <c r="AJ288">
        <f t="shared" si="80"/>
        <v>5</v>
      </c>
      <c r="AK288">
        <f t="shared" si="73"/>
        <v>3</v>
      </c>
      <c r="AL288">
        <f t="shared" si="81"/>
        <v>5</v>
      </c>
      <c r="AM288" t="str">
        <f t="shared" si="82"/>
        <v>May</v>
      </c>
      <c r="AN288">
        <f t="shared" si="83"/>
        <v>2023</v>
      </c>
      <c r="AO288" t="str">
        <f t="shared" si="84"/>
        <v>&gt;3</v>
      </c>
      <c r="AP288" t="str">
        <f t="shared" si="85"/>
        <v>&lt;=3</v>
      </c>
      <c r="AQ288" t="str">
        <f t="shared" si="86"/>
        <v>&lt;=3</v>
      </c>
    </row>
    <row r="289" spans="1:43" x14ac:dyDescent="0.3">
      <c r="A289" t="s">
        <v>33</v>
      </c>
      <c r="B289" t="s">
        <v>358</v>
      </c>
      <c r="C289" t="s">
        <v>252</v>
      </c>
      <c r="D289">
        <v>2845</v>
      </c>
      <c r="E289">
        <v>23220047</v>
      </c>
      <c r="F289" t="s">
        <v>359</v>
      </c>
      <c r="G289" t="s">
        <v>360</v>
      </c>
      <c r="H289">
        <v>100</v>
      </c>
      <c r="I289">
        <v>75800</v>
      </c>
      <c r="J289">
        <v>7580000</v>
      </c>
      <c r="K289" s="7" t="str">
        <f>IFERROR(IF(B289&lt;&gt;"", TEXT(VLOOKUP(B289, 'Expected Date'!A:B, 2, FALSE) + DATE(RIGHT(C289,2),MID(C289,4,2),LEFT(C289,2)), "dd/mm/yy"), ""), "")</f>
        <v>02/07/23</v>
      </c>
      <c r="L289" t="s">
        <v>68</v>
      </c>
      <c r="M289" t="s">
        <v>48</v>
      </c>
      <c r="N289" t="s">
        <v>361</v>
      </c>
      <c r="O289" t="s">
        <v>117</v>
      </c>
      <c r="P289">
        <v>23290682</v>
      </c>
      <c r="Q289" t="s">
        <v>359</v>
      </c>
      <c r="R289" t="s">
        <v>360</v>
      </c>
      <c r="S289">
        <v>98.537999999999997</v>
      </c>
      <c r="T289">
        <v>75800</v>
      </c>
      <c r="U289">
        <v>7469180.4000000004</v>
      </c>
      <c r="V289" t="str">
        <f t="shared" si="89"/>
        <v>Dahej</v>
      </c>
      <c r="W289" t="str">
        <f>VLOOKUP(B289, Currency!A:B, 2, FALSE)</f>
        <v>INR</v>
      </c>
      <c r="X289" t="str">
        <f t="shared" si="89"/>
        <v>Accepted</v>
      </c>
      <c r="Y289">
        <f>IFERROR(VLOOKUP(N289, Payment_Terms!A:B, 2, FALSE), "Payment term not found!")</f>
        <v>0</v>
      </c>
      <c r="Z289" t="str">
        <f>IFERROR(VLOOKUP(R289, Item_Category!A:B, 2, FALSE), "Uncategorized")</f>
        <v>Wood pulp</v>
      </c>
      <c r="AA289" s="5">
        <f t="shared" si="74"/>
        <v>1.4620000000000032E-2</v>
      </c>
      <c r="AB289">
        <f t="shared" si="75"/>
        <v>4</v>
      </c>
      <c r="AC289" s="10">
        <f t="shared" si="76"/>
        <v>5</v>
      </c>
      <c r="AD289">
        <f t="shared" si="77"/>
        <v>3</v>
      </c>
      <c r="AE289" s="10">
        <f t="shared" si="78"/>
        <v>7</v>
      </c>
      <c r="AF289" s="5">
        <f t="shared" si="71"/>
        <v>1</v>
      </c>
      <c r="AG289" s="5">
        <f t="shared" si="72"/>
        <v>1</v>
      </c>
      <c r="AH289" s="5">
        <f t="shared" si="79"/>
        <v>0</v>
      </c>
      <c r="AI289">
        <f>IF(B289&lt;&gt;"", COUNTIFS($B$2:B289, B289), "")</f>
        <v>1</v>
      </c>
      <c r="AJ289">
        <f t="shared" si="80"/>
        <v>5</v>
      </c>
      <c r="AK289">
        <f t="shared" si="73"/>
        <v>5</v>
      </c>
      <c r="AL289">
        <f t="shared" si="81"/>
        <v>6</v>
      </c>
      <c r="AM289" t="str">
        <f t="shared" si="82"/>
        <v>June</v>
      </c>
      <c r="AN289">
        <f t="shared" si="83"/>
        <v>2023</v>
      </c>
      <c r="AO289" t="str">
        <f t="shared" si="84"/>
        <v>&gt;3</v>
      </c>
      <c r="AP289" t="str">
        <f t="shared" si="85"/>
        <v>&gt;3</v>
      </c>
      <c r="AQ289" t="str">
        <f t="shared" si="86"/>
        <v>&lt;=3</v>
      </c>
    </row>
    <row r="290" spans="1:43" x14ac:dyDescent="0.3">
      <c r="A290" t="s">
        <v>33</v>
      </c>
      <c r="B290" t="s">
        <v>122</v>
      </c>
      <c r="C290" t="s">
        <v>324</v>
      </c>
      <c r="D290">
        <v>2545</v>
      </c>
      <c r="E290">
        <v>23210316</v>
      </c>
      <c r="F290" t="s">
        <v>362</v>
      </c>
      <c r="G290" t="s">
        <v>363</v>
      </c>
      <c r="H290">
        <v>400</v>
      </c>
      <c r="I290">
        <v>1900</v>
      </c>
      <c r="J290">
        <v>760000</v>
      </c>
      <c r="K290" s="7" t="str">
        <f>IFERROR(IF(B290&lt;&gt;"", TEXT(VLOOKUP(B290, 'Expected Date'!A:B, 2, FALSE) + DATE(RIGHT(C290,2),MID(C290,4,2),LEFT(C290,2)), "dd/mm/yy"), ""), "")</f>
        <v>05/07/23</v>
      </c>
      <c r="L290" t="s">
        <v>38</v>
      </c>
      <c r="M290" t="s">
        <v>39</v>
      </c>
      <c r="N290" t="s">
        <v>364</v>
      </c>
      <c r="O290" t="s">
        <v>117</v>
      </c>
      <c r="P290">
        <v>23290679</v>
      </c>
      <c r="Q290" t="s">
        <v>362</v>
      </c>
      <c r="R290" t="s">
        <v>363</v>
      </c>
      <c r="S290">
        <v>180</v>
      </c>
      <c r="T290">
        <v>1900</v>
      </c>
      <c r="U290">
        <v>342000</v>
      </c>
      <c r="V290" t="str">
        <f t="shared" si="89"/>
        <v>Dahej</v>
      </c>
      <c r="W290" t="str">
        <f>VLOOKUP(B290, Currency!A:B, 2, FALSE)</f>
        <v>INR</v>
      </c>
      <c r="X290" t="str">
        <f t="shared" si="89"/>
        <v>Accepted</v>
      </c>
      <c r="Y290">
        <f>IFERROR(VLOOKUP(N290, Payment_Terms!A:B, 2, FALSE), "Payment term not found!")</f>
        <v>30</v>
      </c>
      <c r="Z290" t="str">
        <f>IFERROR(VLOOKUP(R290, Item_Category!A:B, 2, FALSE), "Uncategorized")</f>
        <v>Pallets</v>
      </c>
      <c r="AA290" s="5">
        <f t="shared" si="74"/>
        <v>0</v>
      </c>
      <c r="AB290">
        <f t="shared" si="75"/>
        <v>5</v>
      </c>
      <c r="AC290" s="10">
        <f t="shared" si="76"/>
        <v>2</v>
      </c>
      <c r="AD290">
        <f t="shared" si="77"/>
        <v>5</v>
      </c>
      <c r="AE290" s="10">
        <f t="shared" si="78"/>
        <v>17</v>
      </c>
      <c r="AF290" s="5">
        <f t="shared" si="71"/>
        <v>1</v>
      </c>
      <c r="AG290" s="5">
        <f t="shared" si="72"/>
        <v>1</v>
      </c>
      <c r="AH290" s="5">
        <f t="shared" si="79"/>
        <v>0</v>
      </c>
      <c r="AI290">
        <f>IF(B290&lt;&gt;"", COUNTIFS($B$2:B290, B290), "")</f>
        <v>2</v>
      </c>
      <c r="AJ290">
        <f t="shared" si="80"/>
        <v>5</v>
      </c>
      <c r="AK290">
        <f t="shared" si="73"/>
        <v>5</v>
      </c>
      <c r="AL290">
        <f t="shared" si="81"/>
        <v>6</v>
      </c>
      <c r="AM290" t="str">
        <f t="shared" si="82"/>
        <v>June</v>
      </c>
      <c r="AN290">
        <f t="shared" si="83"/>
        <v>2023</v>
      </c>
      <c r="AO290" t="str">
        <f t="shared" si="84"/>
        <v>&gt;3</v>
      </c>
      <c r="AP290" t="str">
        <f t="shared" si="85"/>
        <v>&gt;3</v>
      </c>
      <c r="AQ290" t="str">
        <f t="shared" si="86"/>
        <v>&gt;3</v>
      </c>
    </row>
    <row r="291" spans="1:43" x14ac:dyDescent="0.3">
      <c r="A291" t="s">
        <v>33</v>
      </c>
      <c r="B291" t="s">
        <v>347</v>
      </c>
      <c r="C291" t="s">
        <v>131</v>
      </c>
      <c r="D291">
        <v>3259</v>
      </c>
      <c r="E291">
        <v>23210442</v>
      </c>
      <c r="F291" t="s">
        <v>349</v>
      </c>
      <c r="G291" t="s">
        <v>350</v>
      </c>
      <c r="H291">
        <v>24</v>
      </c>
      <c r="I291">
        <v>46890</v>
      </c>
      <c r="J291">
        <v>1125360</v>
      </c>
      <c r="K291" s="7" t="str">
        <f>IFERROR(IF(B291&lt;&gt;"", TEXT(VLOOKUP(B291, 'Expected Date'!A:B, 2, FALSE) + DATE(RIGHT(C291,2),MID(C291,4,2),LEFT(C291,2)), "dd/mm/yy"), ""), "")</f>
        <v>25/07/23</v>
      </c>
      <c r="L291" t="s">
        <v>68</v>
      </c>
      <c r="M291" t="s">
        <v>285</v>
      </c>
      <c r="N291" t="s">
        <v>351</v>
      </c>
      <c r="O291" t="s">
        <v>365</v>
      </c>
      <c r="P291">
        <v>23290962</v>
      </c>
      <c r="Q291" t="s">
        <v>349</v>
      </c>
      <c r="R291" t="s">
        <v>350</v>
      </c>
      <c r="S291">
        <v>20.934999999999999</v>
      </c>
      <c r="T291">
        <v>46890</v>
      </c>
      <c r="U291">
        <v>981642.15</v>
      </c>
      <c r="V291" t="str">
        <f t="shared" si="89"/>
        <v>Dahej</v>
      </c>
      <c r="W291" t="str">
        <f>VLOOKUP(B291, Currency!A:B, 2, FALSE)</f>
        <v>INR</v>
      </c>
      <c r="X291" t="str">
        <f t="shared" si="89"/>
        <v>Accepted</v>
      </c>
      <c r="Y291">
        <f>IFERROR(VLOOKUP(N291, Payment_Terms!A:B, 2, FALSE), "Payment term not found!")</f>
        <v>0</v>
      </c>
      <c r="Z291" t="str">
        <f>IFERROR(VLOOKUP(R291, Item_Category!A:B, 2, FALSE), "Uncategorized")</f>
        <v>Oil</v>
      </c>
      <c r="AA291" s="5">
        <f t="shared" si="74"/>
        <v>0.1277083333333334</v>
      </c>
      <c r="AB291">
        <f t="shared" si="75"/>
        <v>1</v>
      </c>
      <c r="AC291" s="10">
        <f t="shared" si="76"/>
        <v>4</v>
      </c>
      <c r="AD291">
        <f t="shared" si="77"/>
        <v>4</v>
      </c>
      <c r="AE291" s="10">
        <f t="shared" si="78"/>
        <v>5</v>
      </c>
      <c r="AF291" s="5">
        <f t="shared" si="71"/>
        <v>1</v>
      </c>
      <c r="AG291" s="5">
        <f t="shared" si="72"/>
        <v>1</v>
      </c>
      <c r="AH291" s="5">
        <f t="shared" si="79"/>
        <v>0</v>
      </c>
      <c r="AI291">
        <f>IF(B291&lt;&gt;"", COUNTIFS($B$2:B291, B291), "")</f>
        <v>2</v>
      </c>
      <c r="AJ291">
        <f t="shared" si="80"/>
        <v>5</v>
      </c>
      <c r="AK291">
        <f t="shared" si="73"/>
        <v>4</v>
      </c>
      <c r="AL291">
        <f t="shared" si="81"/>
        <v>7</v>
      </c>
      <c r="AM291" t="str">
        <f t="shared" si="82"/>
        <v>July</v>
      </c>
      <c r="AN291">
        <f t="shared" si="83"/>
        <v>2023</v>
      </c>
      <c r="AO291" t="str">
        <f t="shared" si="84"/>
        <v>&gt;3</v>
      </c>
      <c r="AP291" t="str">
        <f t="shared" si="85"/>
        <v>&lt;=3</v>
      </c>
      <c r="AQ291" t="str">
        <f t="shared" si="86"/>
        <v>&gt;3</v>
      </c>
    </row>
    <row r="292" spans="1:43" x14ac:dyDescent="0.3">
      <c r="A292" t="s">
        <v>33</v>
      </c>
      <c r="B292" t="s">
        <v>366</v>
      </c>
      <c r="C292" t="s">
        <v>367</v>
      </c>
      <c r="D292">
        <v>2421</v>
      </c>
      <c r="E292">
        <v>23210273</v>
      </c>
      <c r="F292" t="s">
        <v>368</v>
      </c>
      <c r="G292" t="s">
        <v>369</v>
      </c>
      <c r="H292">
        <v>150000</v>
      </c>
      <c r="I292">
        <v>9.1</v>
      </c>
      <c r="J292">
        <v>1365000</v>
      </c>
      <c r="K292" s="7" t="str">
        <f>IFERROR(IF(B292&lt;&gt;"", TEXT(VLOOKUP(B292, 'Expected Date'!A:B, 2, FALSE) + DATE(RIGHT(C292,2),MID(C292,4,2),LEFT(C292,2)), "dd/mm/yy"), ""), "")</f>
        <v>31/05/23</v>
      </c>
      <c r="L292" t="s">
        <v>68</v>
      </c>
      <c r="M292" t="s">
        <v>48</v>
      </c>
      <c r="N292" t="s">
        <v>370</v>
      </c>
      <c r="O292" t="s">
        <v>367</v>
      </c>
      <c r="P292">
        <v>23290503</v>
      </c>
      <c r="Q292" t="s">
        <v>368</v>
      </c>
      <c r="R292" t="s">
        <v>369</v>
      </c>
      <c r="S292">
        <v>29810</v>
      </c>
      <c r="T292">
        <v>9.1</v>
      </c>
      <c r="U292">
        <v>271271</v>
      </c>
      <c r="V292" t="str">
        <f t="shared" si="89"/>
        <v>Dahej</v>
      </c>
      <c r="W292" t="str">
        <f>VLOOKUP(B292, Currency!A:B, 2, FALSE)</f>
        <v>INR</v>
      </c>
      <c r="X292" t="str">
        <f t="shared" si="89"/>
        <v>Accepted</v>
      </c>
      <c r="Y292">
        <f>IFERROR(VLOOKUP(N292, Payment_Terms!A:B, 2, FALSE), "Payment term not found!")</f>
        <v>15</v>
      </c>
      <c r="Z292" t="str">
        <f>IFERROR(VLOOKUP(R292, Item_Category!A:B, 2, FALSE), "Uncategorized")</f>
        <v>Coal materials</v>
      </c>
      <c r="AA292" s="5">
        <f t="shared" si="74"/>
        <v>0</v>
      </c>
      <c r="AB292">
        <f t="shared" si="75"/>
        <v>5</v>
      </c>
      <c r="AC292" s="10">
        <f t="shared" si="76"/>
        <v>-2</v>
      </c>
      <c r="AD292">
        <f t="shared" si="77"/>
        <v>5</v>
      </c>
      <c r="AE292" s="10">
        <f t="shared" si="78"/>
        <v>0</v>
      </c>
      <c r="AF292" s="5">
        <f t="shared" si="71"/>
        <v>1</v>
      </c>
      <c r="AG292" s="5">
        <f t="shared" si="72"/>
        <v>1</v>
      </c>
      <c r="AH292" s="5">
        <f t="shared" si="79"/>
        <v>0</v>
      </c>
      <c r="AI292">
        <f>IF(B292&lt;&gt;"", COUNTIFS($B$2:B292, B292), "")</f>
        <v>1</v>
      </c>
      <c r="AJ292">
        <f t="shared" si="80"/>
        <v>5</v>
      </c>
      <c r="AK292">
        <f t="shared" si="73"/>
        <v>5</v>
      </c>
      <c r="AL292">
        <f t="shared" si="81"/>
        <v>5</v>
      </c>
      <c r="AM292" t="str">
        <f t="shared" si="82"/>
        <v>May</v>
      </c>
      <c r="AN292">
        <f t="shared" si="83"/>
        <v>2023</v>
      </c>
      <c r="AO292" t="str">
        <f t="shared" si="84"/>
        <v>&gt;3</v>
      </c>
      <c r="AP292" t="str">
        <f t="shared" si="85"/>
        <v>&gt;3</v>
      </c>
      <c r="AQ292" t="str">
        <f t="shared" si="86"/>
        <v>&gt;3</v>
      </c>
    </row>
    <row r="293" spans="1:43" x14ac:dyDescent="0.3">
      <c r="A293" t="s">
        <v>33</v>
      </c>
      <c r="B293" t="s">
        <v>366</v>
      </c>
      <c r="C293" t="s">
        <v>367</v>
      </c>
      <c r="D293">
        <v>2421</v>
      </c>
      <c r="E293">
        <v>23210273</v>
      </c>
      <c r="F293" t="s">
        <v>368</v>
      </c>
      <c r="G293" t="s">
        <v>369</v>
      </c>
      <c r="H293">
        <v>150000</v>
      </c>
      <c r="I293">
        <v>9.1</v>
      </c>
      <c r="J293">
        <v>1365000</v>
      </c>
      <c r="K293" s="7" t="str">
        <f>IFERROR(IF(B293&lt;&gt;"", TEXT(VLOOKUP(B293, 'Expected Date'!A:B, 2, FALSE) + DATE(RIGHT(C293,2),MID(C293,4,2),LEFT(C293,2)), "dd/mm/yy"), ""), "")</f>
        <v>31/05/23</v>
      </c>
      <c r="L293" t="s">
        <v>68</v>
      </c>
      <c r="M293" t="s">
        <v>48</v>
      </c>
      <c r="N293" t="s">
        <v>370</v>
      </c>
      <c r="O293" t="s">
        <v>110</v>
      </c>
      <c r="P293">
        <v>23290504</v>
      </c>
      <c r="Q293" t="s">
        <v>368</v>
      </c>
      <c r="R293" t="s">
        <v>369</v>
      </c>
      <c r="S293">
        <v>32480</v>
      </c>
      <c r="T293">
        <v>9.1</v>
      </c>
      <c r="U293">
        <v>295568</v>
      </c>
      <c r="V293" t="str">
        <f t="shared" si="89"/>
        <v>Dahej</v>
      </c>
      <c r="W293" t="str">
        <f>VLOOKUP(B293, Currency!A:B, 2, FALSE)</f>
        <v>INR</v>
      </c>
      <c r="X293" t="str">
        <f t="shared" si="89"/>
        <v>Accepted</v>
      </c>
      <c r="Y293">
        <f>IFERROR(VLOOKUP(N293, Payment_Terms!A:B, 2, FALSE), "Payment term not found!")</f>
        <v>15</v>
      </c>
      <c r="Z293" t="str">
        <f>IFERROR(VLOOKUP(R293, Item_Category!A:B, 2, FALSE), "Uncategorized")</f>
        <v>Coal materials</v>
      </c>
      <c r="AA293" s="5">
        <f t="shared" si="74"/>
        <v>0</v>
      </c>
      <c r="AB293">
        <f t="shared" si="75"/>
        <v>5</v>
      </c>
      <c r="AC293" s="10">
        <f t="shared" si="76"/>
        <v>0</v>
      </c>
      <c r="AD293">
        <f t="shared" si="77"/>
        <v>5</v>
      </c>
      <c r="AE293" s="10">
        <f t="shared" si="78"/>
        <v>2</v>
      </c>
      <c r="AF293" s="5">
        <f t="shared" si="71"/>
        <v>1</v>
      </c>
      <c r="AG293" s="5">
        <f t="shared" si="72"/>
        <v>1</v>
      </c>
      <c r="AH293" s="5">
        <f t="shared" si="79"/>
        <v>0</v>
      </c>
      <c r="AI293">
        <f>IF(B293&lt;&gt;"", COUNTIFS($B$2:B293, B293), "")</f>
        <v>2</v>
      </c>
      <c r="AJ293">
        <f t="shared" si="80"/>
        <v>5</v>
      </c>
      <c r="AK293">
        <f t="shared" si="73"/>
        <v>5</v>
      </c>
      <c r="AL293">
        <f t="shared" si="81"/>
        <v>5</v>
      </c>
      <c r="AM293" t="str">
        <f t="shared" si="82"/>
        <v>May</v>
      </c>
      <c r="AN293">
        <f t="shared" si="83"/>
        <v>2023</v>
      </c>
      <c r="AO293" t="str">
        <f t="shared" si="84"/>
        <v>&gt;3</v>
      </c>
      <c r="AP293" t="str">
        <f t="shared" si="85"/>
        <v>&gt;3</v>
      </c>
      <c r="AQ293" t="str">
        <f t="shared" si="86"/>
        <v>&gt;3</v>
      </c>
    </row>
    <row r="294" spans="1:43" x14ac:dyDescent="0.3">
      <c r="A294" t="s">
        <v>33</v>
      </c>
      <c r="B294" t="s">
        <v>366</v>
      </c>
      <c r="C294" t="s">
        <v>367</v>
      </c>
      <c r="D294">
        <v>2421</v>
      </c>
      <c r="E294">
        <v>23210273</v>
      </c>
      <c r="F294" t="s">
        <v>368</v>
      </c>
      <c r="G294" t="s">
        <v>369</v>
      </c>
      <c r="H294">
        <v>150000</v>
      </c>
      <c r="I294">
        <v>9.1</v>
      </c>
      <c r="J294">
        <v>1365000</v>
      </c>
      <c r="K294" s="7" t="str">
        <f>IFERROR(IF(B294&lt;&gt;"", TEXT(VLOOKUP(B294, 'Expected Date'!A:B, 2, FALSE) + DATE(RIGHT(C294,2),MID(C294,4,2),LEFT(C294,2)), "dd/mm/yy"), ""), "")</f>
        <v>31/05/23</v>
      </c>
      <c r="L294" t="s">
        <v>68</v>
      </c>
      <c r="M294" t="s">
        <v>48</v>
      </c>
      <c r="N294" t="s">
        <v>370</v>
      </c>
      <c r="O294" t="s">
        <v>182</v>
      </c>
      <c r="P294">
        <v>23290506</v>
      </c>
      <c r="Q294" t="s">
        <v>368</v>
      </c>
      <c r="R294" t="s">
        <v>369</v>
      </c>
      <c r="S294">
        <v>34000</v>
      </c>
      <c r="T294">
        <v>9.1</v>
      </c>
      <c r="U294">
        <v>309400</v>
      </c>
      <c r="V294" t="str">
        <f t="shared" si="89"/>
        <v>Dahej</v>
      </c>
      <c r="W294" t="str">
        <f>VLOOKUP(B294, Currency!A:B, 2, FALSE)</f>
        <v>INR</v>
      </c>
      <c r="X294" t="str">
        <f t="shared" si="89"/>
        <v>Accepted</v>
      </c>
      <c r="Y294">
        <f>IFERROR(VLOOKUP(N294, Payment_Terms!A:B, 2, FALSE), "Payment term not found!")</f>
        <v>15</v>
      </c>
      <c r="Z294" t="str">
        <f>IFERROR(VLOOKUP(R294, Item_Category!A:B, 2, FALSE), "Uncategorized")</f>
        <v>Coal materials</v>
      </c>
      <c r="AA294" s="5">
        <f t="shared" si="74"/>
        <v>0</v>
      </c>
      <c r="AB294">
        <f t="shared" si="75"/>
        <v>5</v>
      </c>
      <c r="AC294" s="10">
        <f t="shared" si="76"/>
        <v>13</v>
      </c>
      <c r="AD294">
        <f t="shared" si="77"/>
        <v>1</v>
      </c>
      <c r="AE294" s="10">
        <f t="shared" si="78"/>
        <v>15</v>
      </c>
      <c r="AF294" s="5">
        <f t="shared" si="71"/>
        <v>1</v>
      </c>
      <c r="AG294" s="5">
        <f t="shared" si="72"/>
        <v>1</v>
      </c>
      <c r="AH294" s="5">
        <f t="shared" si="79"/>
        <v>0</v>
      </c>
      <c r="AI294">
        <f>IF(B294&lt;&gt;"", COUNTIFS($B$2:B294, B294), "")</f>
        <v>3</v>
      </c>
      <c r="AJ294">
        <f t="shared" si="80"/>
        <v>5</v>
      </c>
      <c r="AK294">
        <f t="shared" si="73"/>
        <v>4</v>
      </c>
      <c r="AL294">
        <f t="shared" si="81"/>
        <v>5</v>
      </c>
      <c r="AM294" t="str">
        <f t="shared" si="82"/>
        <v>May</v>
      </c>
      <c r="AN294">
        <f t="shared" si="83"/>
        <v>2023</v>
      </c>
      <c r="AO294" t="str">
        <f t="shared" si="84"/>
        <v>&gt;3</v>
      </c>
      <c r="AP294" t="str">
        <f t="shared" si="85"/>
        <v>&gt;3</v>
      </c>
      <c r="AQ294" t="str">
        <f t="shared" si="86"/>
        <v>&lt;=3</v>
      </c>
    </row>
    <row r="295" spans="1:43" x14ac:dyDescent="0.3">
      <c r="A295" t="s">
        <v>33</v>
      </c>
      <c r="B295" t="s">
        <v>366</v>
      </c>
      <c r="C295" t="s">
        <v>367</v>
      </c>
      <c r="D295">
        <v>2421</v>
      </c>
      <c r="E295">
        <v>23210273</v>
      </c>
      <c r="F295" t="s">
        <v>368</v>
      </c>
      <c r="G295" t="s">
        <v>369</v>
      </c>
      <c r="H295">
        <v>150000</v>
      </c>
      <c r="I295">
        <v>9.1</v>
      </c>
      <c r="J295">
        <v>1365000</v>
      </c>
      <c r="K295" s="7" t="str">
        <f>IFERROR(IF(B295&lt;&gt;"", TEXT(VLOOKUP(B295, 'Expected Date'!A:B, 2, FALSE) + DATE(RIGHT(C295,2),MID(C295,4,2),LEFT(C295,2)), "dd/mm/yy"), ""), "")</f>
        <v>31/05/23</v>
      </c>
      <c r="L295" t="s">
        <v>68</v>
      </c>
      <c r="M295" t="s">
        <v>48</v>
      </c>
      <c r="N295" t="s">
        <v>370</v>
      </c>
      <c r="O295" t="s">
        <v>328</v>
      </c>
      <c r="P295">
        <v>23290526</v>
      </c>
      <c r="Q295" t="s">
        <v>368</v>
      </c>
      <c r="R295" t="s">
        <v>369</v>
      </c>
      <c r="S295">
        <v>34220</v>
      </c>
      <c r="T295">
        <v>9.1</v>
      </c>
      <c r="U295">
        <v>311402</v>
      </c>
      <c r="V295" t="str">
        <f t="shared" si="89"/>
        <v>Dahej</v>
      </c>
      <c r="W295" t="str">
        <f>VLOOKUP(B295, Currency!A:B, 2, FALSE)</f>
        <v>INR</v>
      </c>
      <c r="X295" t="str">
        <f t="shared" si="89"/>
        <v>Accepted</v>
      </c>
      <c r="Y295">
        <f>IFERROR(VLOOKUP(N295, Payment_Terms!A:B, 2, FALSE), "Payment term not found!")</f>
        <v>15</v>
      </c>
      <c r="Z295" t="str">
        <f>IFERROR(VLOOKUP(R295, Item_Category!A:B, 2, FALSE), "Uncategorized")</f>
        <v>Coal materials</v>
      </c>
      <c r="AA295" s="5">
        <f t="shared" si="74"/>
        <v>0</v>
      </c>
      <c r="AB295">
        <f t="shared" si="75"/>
        <v>5</v>
      </c>
      <c r="AC295" s="10">
        <f t="shared" si="76"/>
        <v>14</v>
      </c>
      <c r="AD295">
        <f t="shared" si="77"/>
        <v>1</v>
      </c>
      <c r="AE295" s="10">
        <f t="shared" si="78"/>
        <v>16</v>
      </c>
      <c r="AF295" s="5">
        <f t="shared" si="71"/>
        <v>1</v>
      </c>
      <c r="AG295" s="5">
        <f t="shared" si="72"/>
        <v>1</v>
      </c>
      <c r="AH295" s="5">
        <f t="shared" si="79"/>
        <v>0</v>
      </c>
      <c r="AI295">
        <f>IF(B295&lt;&gt;"", COUNTIFS($B$2:B295, B295), "")</f>
        <v>4</v>
      </c>
      <c r="AJ295">
        <f t="shared" si="80"/>
        <v>5</v>
      </c>
      <c r="AK295">
        <f t="shared" si="73"/>
        <v>4</v>
      </c>
      <c r="AL295">
        <f t="shared" si="81"/>
        <v>5</v>
      </c>
      <c r="AM295" t="str">
        <f t="shared" si="82"/>
        <v>May</v>
      </c>
      <c r="AN295">
        <f t="shared" si="83"/>
        <v>2023</v>
      </c>
      <c r="AO295" t="str">
        <f t="shared" si="84"/>
        <v>&gt;3</v>
      </c>
      <c r="AP295" t="str">
        <f t="shared" si="85"/>
        <v>&gt;3</v>
      </c>
      <c r="AQ295" t="str">
        <f t="shared" si="86"/>
        <v>&lt;=3</v>
      </c>
    </row>
    <row r="296" spans="1:43" x14ac:dyDescent="0.3">
      <c r="A296" t="s">
        <v>33</v>
      </c>
      <c r="B296" t="s">
        <v>366</v>
      </c>
      <c r="C296" t="s">
        <v>367</v>
      </c>
      <c r="D296">
        <v>2421</v>
      </c>
      <c r="E296">
        <v>23210273</v>
      </c>
      <c r="F296" t="s">
        <v>368</v>
      </c>
      <c r="G296" t="s">
        <v>369</v>
      </c>
      <c r="H296">
        <v>150000</v>
      </c>
      <c r="I296">
        <v>9.1</v>
      </c>
      <c r="J296">
        <v>1365000</v>
      </c>
      <c r="K296" s="7" t="str">
        <f>IFERROR(IF(B296&lt;&gt;"", TEXT(VLOOKUP(B296, 'Expected Date'!A:B, 2, FALSE) + DATE(RIGHT(C296,2),MID(C296,4,2),LEFT(C296,2)), "dd/mm/yy"), ""), "")</f>
        <v>31/05/23</v>
      </c>
      <c r="L296" t="s">
        <v>68</v>
      </c>
      <c r="M296" t="s">
        <v>48</v>
      </c>
      <c r="N296" t="s">
        <v>370</v>
      </c>
      <c r="O296" t="s">
        <v>328</v>
      </c>
      <c r="P296">
        <v>23290527</v>
      </c>
      <c r="Q296" t="s">
        <v>368</v>
      </c>
      <c r="R296" t="s">
        <v>369</v>
      </c>
      <c r="S296">
        <v>33800</v>
      </c>
      <c r="T296">
        <v>9.1</v>
      </c>
      <c r="U296">
        <v>307580</v>
      </c>
      <c r="V296" t="str">
        <f t="shared" si="89"/>
        <v>Dahej</v>
      </c>
      <c r="W296" t="str">
        <f>VLOOKUP(B296, Currency!A:B, 2, FALSE)</f>
        <v>INR</v>
      </c>
      <c r="X296" t="str">
        <f t="shared" si="89"/>
        <v>Accepted</v>
      </c>
      <c r="Y296">
        <f>IFERROR(VLOOKUP(N296, Payment_Terms!A:B, 2, FALSE), "Payment term not found!")</f>
        <v>15</v>
      </c>
      <c r="Z296" t="str">
        <f>IFERROR(VLOOKUP(R296, Item_Category!A:B, 2, FALSE), "Uncategorized")</f>
        <v>Coal materials</v>
      </c>
      <c r="AA296" s="5">
        <f t="shared" si="74"/>
        <v>0</v>
      </c>
      <c r="AB296">
        <f t="shared" si="75"/>
        <v>5</v>
      </c>
      <c r="AC296" s="10">
        <f t="shared" si="76"/>
        <v>14</v>
      </c>
      <c r="AD296">
        <f t="shared" si="77"/>
        <v>1</v>
      </c>
      <c r="AE296" s="10">
        <f t="shared" si="78"/>
        <v>16</v>
      </c>
      <c r="AF296" s="5">
        <f t="shared" si="71"/>
        <v>1</v>
      </c>
      <c r="AG296" s="5">
        <f t="shared" si="72"/>
        <v>1</v>
      </c>
      <c r="AH296" s="5">
        <f t="shared" si="79"/>
        <v>0</v>
      </c>
      <c r="AI296">
        <f>IF(B296&lt;&gt;"", COUNTIFS($B$2:B296, B296), "")</f>
        <v>5</v>
      </c>
      <c r="AJ296">
        <f t="shared" si="80"/>
        <v>5</v>
      </c>
      <c r="AK296">
        <f t="shared" si="73"/>
        <v>4</v>
      </c>
      <c r="AL296">
        <f t="shared" si="81"/>
        <v>5</v>
      </c>
      <c r="AM296" t="str">
        <f t="shared" si="82"/>
        <v>May</v>
      </c>
      <c r="AN296">
        <f t="shared" si="83"/>
        <v>2023</v>
      </c>
      <c r="AO296" t="str">
        <f t="shared" si="84"/>
        <v>&gt;3</v>
      </c>
      <c r="AP296" t="str">
        <f t="shared" si="85"/>
        <v>&gt;3</v>
      </c>
      <c r="AQ296" t="str">
        <f t="shared" si="86"/>
        <v>&lt;=3</v>
      </c>
    </row>
    <row r="297" spans="1:43" x14ac:dyDescent="0.3">
      <c r="A297" t="s">
        <v>33</v>
      </c>
      <c r="B297" t="s">
        <v>371</v>
      </c>
      <c r="C297" t="s">
        <v>365</v>
      </c>
      <c r="D297">
        <v>3436</v>
      </c>
      <c r="E297">
        <v>23210463</v>
      </c>
      <c r="F297" t="s">
        <v>372</v>
      </c>
      <c r="G297" t="s">
        <v>373</v>
      </c>
      <c r="H297">
        <v>20</v>
      </c>
      <c r="I297">
        <v>1100</v>
      </c>
      <c r="J297">
        <v>22000</v>
      </c>
      <c r="K297" s="7" t="str">
        <f>IFERROR(IF(B297&lt;&gt;"", TEXT(VLOOKUP(B297, 'Expected Date'!A:B, 2, FALSE) + DATE(RIGHT(C297,2),MID(C297,4,2),LEFT(C297,2)), "dd/mm/yy"), ""), "")</f>
        <v>03/08/23</v>
      </c>
      <c r="L297" t="s">
        <v>38</v>
      </c>
      <c r="M297" t="s">
        <v>48</v>
      </c>
      <c r="N297" t="s">
        <v>342</v>
      </c>
      <c r="O297" t="s">
        <v>100</v>
      </c>
      <c r="P297">
        <v>23290973</v>
      </c>
      <c r="Q297" t="s">
        <v>372</v>
      </c>
      <c r="R297" t="s">
        <v>373</v>
      </c>
      <c r="S297">
        <v>10</v>
      </c>
      <c r="T297">
        <v>1100</v>
      </c>
      <c r="U297">
        <v>11000</v>
      </c>
      <c r="V297" t="str">
        <f t="shared" si="89"/>
        <v>Dahej</v>
      </c>
      <c r="W297" t="str">
        <f>VLOOKUP(B297, Currency!A:B, 2, FALSE)</f>
        <v>INR</v>
      </c>
      <c r="X297" t="str">
        <f t="shared" si="89"/>
        <v>Accepted</v>
      </c>
      <c r="Y297">
        <f>IFERROR(VLOOKUP(N297, Payment_Terms!A:B, 2, FALSE), "Payment term not found!")</f>
        <v>30</v>
      </c>
      <c r="Z297" t="str">
        <f>IFERROR(VLOOKUP(R297, Item_Category!A:B, 2, FALSE), "Uncategorized")</f>
        <v>HCL</v>
      </c>
      <c r="AA297" s="5">
        <f t="shared" si="74"/>
        <v>0</v>
      </c>
      <c r="AB297">
        <f t="shared" si="75"/>
        <v>5</v>
      </c>
      <c r="AC297" s="10">
        <f t="shared" si="76"/>
        <v>-4</v>
      </c>
      <c r="AD297">
        <f t="shared" si="77"/>
        <v>5</v>
      </c>
      <c r="AE297" s="10">
        <f t="shared" si="78"/>
        <v>1</v>
      </c>
      <c r="AF297" s="5">
        <f t="shared" si="71"/>
        <v>1</v>
      </c>
      <c r="AG297" s="5">
        <f t="shared" si="72"/>
        <v>1</v>
      </c>
      <c r="AH297" s="5">
        <f t="shared" si="79"/>
        <v>0</v>
      </c>
      <c r="AI297">
        <f>IF(B297&lt;&gt;"", COUNTIFS($B$2:B297, B297), "")</f>
        <v>1</v>
      </c>
      <c r="AJ297">
        <f t="shared" si="80"/>
        <v>5</v>
      </c>
      <c r="AK297">
        <f t="shared" si="73"/>
        <v>5</v>
      </c>
      <c r="AL297">
        <f t="shared" si="81"/>
        <v>7</v>
      </c>
      <c r="AM297" t="str">
        <f t="shared" si="82"/>
        <v>July</v>
      </c>
      <c r="AN297">
        <f t="shared" si="83"/>
        <v>2023</v>
      </c>
      <c r="AO297" t="str">
        <f t="shared" si="84"/>
        <v>&gt;3</v>
      </c>
      <c r="AP297" t="str">
        <f t="shared" si="85"/>
        <v>&gt;3</v>
      </c>
      <c r="AQ297" t="str">
        <f t="shared" si="86"/>
        <v>&gt;3</v>
      </c>
    </row>
    <row r="298" spans="1:43" x14ac:dyDescent="0.3">
      <c r="A298" t="s">
        <v>111</v>
      </c>
      <c r="B298" t="s">
        <v>309</v>
      </c>
      <c r="C298" t="s">
        <v>374</v>
      </c>
      <c r="D298">
        <v>1252</v>
      </c>
      <c r="E298">
        <v>23220009</v>
      </c>
      <c r="F298" t="s">
        <v>375</v>
      </c>
      <c r="G298" t="s">
        <v>311</v>
      </c>
      <c r="H298">
        <v>4000</v>
      </c>
      <c r="I298">
        <v>310</v>
      </c>
      <c r="J298">
        <v>1240000</v>
      </c>
      <c r="K298" s="7" t="str">
        <f>IFERROR(IF(B298&lt;&gt;"", TEXT(VLOOKUP(B298, 'Expected Date'!A:B, 2, FALSE) + DATE(RIGHT(C298,2),MID(C298,4,2),LEFT(C298,2)), "dd/mm/yy"), ""), "")</f>
        <v>23/04/23</v>
      </c>
      <c r="L298" t="s">
        <v>38</v>
      </c>
      <c r="M298" t="s">
        <v>48</v>
      </c>
      <c r="N298" t="s">
        <v>377</v>
      </c>
      <c r="O298" t="s">
        <v>378</v>
      </c>
      <c r="P298">
        <v>23290078</v>
      </c>
      <c r="Q298" t="s">
        <v>375</v>
      </c>
      <c r="R298" t="s">
        <v>311</v>
      </c>
      <c r="S298">
        <v>4000</v>
      </c>
      <c r="T298">
        <v>310</v>
      </c>
      <c r="U298">
        <v>1240000</v>
      </c>
      <c r="V298" t="str">
        <f t="shared" si="89"/>
        <v>Dahej</v>
      </c>
      <c r="W298" t="str">
        <f>VLOOKUP(B298, Currency!A:B, 2, FALSE)</f>
        <v>INR</v>
      </c>
      <c r="X298" t="str">
        <f t="shared" si="89"/>
        <v>Accepted</v>
      </c>
      <c r="Y298">
        <f>IFERROR(VLOOKUP(N298, Payment_Terms!A:B, 2, FALSE), "Payment term not found!")</f>
        <v>30</v>
      </c>
      <c r="Z298" t="str">
        <f>IFERROR(VLOOKUP(R298, Item_Category!A:B, 2, FALSE), "Uncategorized")</f>
        <v>CROSSCARMELLOSE SODIUM</v>
      </c>
      <c r="AA298" s="5">
        <f t="shared" si="74"/>
        <v>0</v>
      </c>
      <c r="AB298">
        <f t="shared" si="75"/>
        <v>5</v>
      </c>
      <c r="AC298" s="10">
        <f t="shared" si="76"/>
        <v>-8</v>
      </c>
      <c r="AD298">
        <f t="shared" si="77"/>
        <v>5</v>
      </c>
      <c r="AE298" s="10">
        <f t="shared" si="78"/>
        <v>2</v>
      </c>
      <c r="AF298" s="5">
        <f t="shared" si="71"/>
        <v>1</v>
      </c>
      <c r="AG298" s="5">
        <f t="shared" si="72"/>
        <v>0.77</v>
      </c>
      <c r="AH298" s="5">
        <f t="shared" si="79"/>
        <v>0.23</v>
      </c>
      <c r="AI298">
        <f>IF(B298&lt;&gt;"", COUNTIFS($B$2:B298, B298), "")</f>
        <v>3</v>
      </c>
      <c r="AJ298">
        <f t="shared" si="80"/>
        <v>1</v>
      </c>
      <c r="AK298">
        <f t="shared" si="73"/>
        <v>4</v>
      </c>
      <c r="AL298">
        <f t="shared" si="81"/>
        <v>4</v>
      </c>
      <c r="AM298" t="str">
        <f t="shared" si="82"/>
        <v>April</v>
      </c>
      <c r="AN298">
        <f t="shared" si="83"/>
        <v>2023</v>
      </c>
      <c r="AO298" t="str">
        <f t="shared" si="84"/>
        <v>&lt;=3</v>
      </c>
      <c r="AP298" t="str">
        <f t="shared" si="85"/>
        <v>&gt;3</v>
      </c>
      <c r="AQ298" t="str">
        <f t="shared" si="86"/>
        <v>&gt;3</v>
      </c>
    </row>
    <row r="299" spans="1:43" x14ac:dyDescent="0.3">
      <c r="A299" t="s">
        <v>111</v>
      </c>
      <c r="B299" t="s">
        <v>258</v>
      </c>
      <c r="C299" t="s">
        <v>265</v>
      </c>
      <c r="D299">
        <v>1203</v>
      </c>
      <c r="E299">
        <v>23220001</v>
      </c>
      <c r="F299" t="s">
        <v>379</v>
      </c>
      <c r="G299" t="s">
        <v>380</v>
      </c>
      <c r="H299">
        <v>2000</v>
      </c>
      <c r="I299">
        <v>105</v>
      </c>
      <c r="J299">
        <v>210000</v>
      </c>
      <c r="K299" s="7" t="str">
        <f>IFERROR(IF(B299&lt;&gt;"", TEXT(VLOOKUP(B299, 'Expected Date'!A:B, 2, FALSE) + DATE(RIGHT(C299,2),MID(C299,4,2),LEFT(C299,2)), "dd/mm/yy"), ""), "")</f>
        <v>20/04/23</v>
      </c>
      <c r="L299" t="s">
        <v>38</v>
      </c>
      <c r="M299" t="s">
        <v>48</v>
      </c>
      <c r="N299" t="s">
        <v>381</v>
      </c>
      <c r="O299" t="s">
        <v>124</v>
      </c>
      <c r="P299">
        <v>23290079</v>
      </c>
      <c r="Q299" t="s">
        <v>379</v>
      </c>
      <c r="R299" t="s">
        <v>380</v>
      </c>
      <c r="S299">
        <v>2000</v>
      </c>
      <c r="T299">
        <v>105</v>
      </c>
      <c r="U299">
        <v>210000</v>
      </c>
      <c r="V299" t="str">
        <f t="shared" si="89"/>
        <v>Dahej</v>
      </c>
      <c r="W299" t="str">
        <f>VLOOKUP(B299, Currency!A:B, 2, FALSE)</f>
        <v>INR</v>
      </c>
      <c r="X299" t="str">
        <f t="shared" si="89"/>
        <v>Accepted</v>
      </c>
      <c r="Y299">
        <f>IFERROR(VLOOKUP(N299, Payment_Terms!A:B, 2, FALSE), "Payment term not found!")</f>
        <v>30</v>
      </c>
      <c r="Z299" t="str">
        <f>IFERROR(VLOOKUP(R299, Item_Category!A:B, 2, FALSE), "Uncategorized")</f>
        <v>SSG - Maize</v>
      </c>
      <c r="AA299" s="5">
        <f t="shared" si="74"/>
        <v>0</v>
      </c>
      <c r="AB299">
        <f t="shared" si="75"/>
        <v>5</v>
      </c>
      <c r="AC299" s="10">
        <f t="shared" si="76"/>
        <v>-2</v>
      </c>
      <c r="AD299">
        <f t="shared" si="77"/>
        <v>5</v>
      </c>
      <c r="AE299" s="10">
        <f t="shared" si="78"/>
        <v>8</v>
      </c>
      <c r="AF299" s="5">
        <f t="shared" si="71"/>
        <v>1</v>
      </c>
      <c r="AG299" s="5">
        <f t="shared" si="72"/>
        <v>1</v>
      </c>
      <c r="AH299" s="5">
        <f t="shared" si="79"/>
        <v>0</v>
      </c>
      <c r="AI299">
        <f>IF(B299&lt;&gt;"", COUNTIFS($B$2:B299, B299), "")</f>
        <v>3</v>
      </c>
      <c r="AJ299">
        <f t="shared" si="80"/>
        <v>5</v>
      </c>
      <c r="AK299">
        <f t="shared" si="73"/>
        <v>5</v>
      </c>
      <c r="AL299">
        <f t="shared" si="81"/>
        <v>4</v>
      </c>
      <c r="AM299" t="str">
        <f t="shared" si="82"/>
        <v>April</v>
      </c>
      <c r="AN299">
        <f t="shared" si="83"/>
        <v>2023</v>
      </c>
      <c r="AO299" t="str">
        <f t="shared" si="84"/>
        <v>&gt;3</v>
      </c>
      <c r="AP299" t="str">
        <f t="shared" si="85"/>
        <v>&gt;3</v>
      </c>
      <c r="AQ299" t="str">
        <f t="shared" si="86"/>
        <v>&gt;3</v>
      </c>
    </row>
    <row r="300" spans="1:43" x14ac:dyDescent="0.3">
      <c r="A300" t="s">
        <v>33</v>
      </c>
      <c r="B300" t="s">
        <v>382</v>
      </c>
      <c r="C300" t="s">
        <v>80</v>
      </c>
      <c r="D300">
        <v>1263</v>
      </c>
      <c r="E300">
        <v>23210024</v>
      </c>
      <c r="F300" t="s">
        <v>383</v>
      </c>
      <c r="G300" t="s">
        <v>384</v>
      </c>
      <c r="H300">
        <v>250</v>
      </c>
      <c r="I300">
        <v>105.8</v>
      </c>
      <c r="J300">
        <v>26450</v>
      </c>
      <c r="K300" s="7" t="str">
        <f>IFERROR(IF(B300&lt;&gt;"", TEXT(VLOOKUP(B300, 'Expected Date'!A:B, 2, FALSE) + DATE(RIGHT(C300,2),MID(C300,4,2),LEFT(C300,2)), "dd/mm/yy"), ""), "")</f>
        <v>24/04/23</v>
      </c>
      <c r="L300" t="s">
        <v>38</v>
      </c>
      <c r="M300" t="s">
        <v>48</v>
      </c>
      <c r="N300" t="s">
        <v>342</v>
      </c>
      <c r="O300" t="s">
        <v>378</v>
      </c>
      <c r="P300">
        <v>23290093</v>
      </c>
      <c r="Q300" t="s">
        <v>383</v>
      </c>
      <c r="R300" t="s">
        <v>384</v>
      </c>
      <c r="S300">
        <v>250</v>
      </c>
      <c r="T300">
        <v>105.8</v>
      </c>
      <c r="U300">
        <v>26450</v>
      </c>
      <c r="V300" t="str">
        <f t="shared" si="89"/>
        <v>Dahej</v>
      </c>
      <c r="W300" t="str">
        <f>VLOOKUP(B300, Currency!A:B, 2, FALSE)</f>
        <v>INR</v>
      </c>
      <c r="X300" t="str">
        <f t="shared" si="89"/>
        <v>Accepted</v>
      </c>
      <c r="Y300">
        <f>IFERROR(VLOOKUP(N300, Payment_Terms!A:B, 2, FALSE), "Payment term not found!")</f>
        <v>30</v>
      </c>
      <c r="Z300" t="str">
        <f>IFERROR(VLOOKUP(R300, Item_Category!A:B, 2, FALSE), "Uncategorized")</f>
        <v>Gas</v>
      </c>
      <c r="AA300" s="5">
        <f t="shared" si="74"/>
        <v>0</v>
      </c>
      <c r="AB300">
        <f t="shared" si="75"/>
        <v>5</v>
      </c>
      <c r="AC300" s="10">
        <f t="shared" si="76"/>
        <v>-9</v>
      </c>
      <c r="AD300">
        <f t="shared" si="77"/>
        <v>5</v>
      </c>
      <c r="AE300" s="10">
        <f t="shared" si="78"/>
        <v>1</v>
      </c>
      <c r="AF300" s="5">
        <f t="shared" si="71"/>
        <v>1</v>
      </c>
      <c r="AG300" s="5">
        <f t="shared" si="72"/>
        <v>1</v>
      </c>
      <c r="AH300" s="5">
        <f t="shared" si="79"/>
        <v>0</v>
      </c>
      <c r="AI300">
        <f>IF(B300&lt;&gt;"", COUNTIFS($B$2:B300, B300), "")</f>
        <v>1</v>
      </c>
      <c r="AJ300">
        <f t="shared" si="80"/>
        <v>5</v>
      </c>
      <c r="AK300">
        <f t="shared" si="73"/>
        <v>5</v>
      </c>
      <c r="AL300">
        <f t="shared" si="81"/>
        <v>4</v>
      </c>
      <c r="AM300" t="str">
        <f t="shared" si="82"/>
        <v>April</v>
      </c>
      <c r="AN300">
        <f t="shared" si="83"/>
        <v>2023</v>
      </c>
      <c r="AO300" t="str">
        <f t="shared" si="84"/>
        <v>&gt;3</v>
      </c>
      <c r="AP300" t="str">
        <f t="shared" si="85"/>
        <v>&gt;3</v>
      </c>
      <c r="AQ300" t="str">
        <f t="shared" si="86"/>
        <v>&gt;3</v>
      </c>
    </row>
    <row r="301" spans="1:43" x14ac:dyDescent="0.3">
      <c r="A301" t="s">
        <v>33</v>
      </c>
      <c r="B301" t="s">
        <v>366</v>
      </c>
      <c r="C301" t="s">
        <v>195</v>
      </c>
      <c r="D301">
        <v>2492</v>
      </c>
      <c r="E301">
        <v>23210298</v>
      </c>
      <c r="F301" t="s">
        <v>368</v>
      </c>
      <c r="G301" t="s">
        <v>369</v>
      </c>
      <c r="H301">
        <v>150000</v>
      </c>
      <c r="I301">
        <v>9.1</v>
      </c>
      <c r="J301">
        <v>1365000</v>
      </c>
      <c r="K301" s="7" t="str">
        <f>IFERROR(IF(B301&lt;&gt;"", TEXT(VLOOKUP(B301, 'Expected Date'!A:B, 2, FALSE) + DATE(RIGHT(C301,2),MID(C301,4,2),LEFT(C301,2)), "dd/mm/yy"), ""), "")</f>
        <v>17/06/23</v>
      </c>
      <c r="L301" t="s">
        <v>68</v>
      </c>
      <c r="M301" t="s">
        <v>48</v>
      </c>
      <c r="N301" t="s">
        <v>370</v>
      </c>
      <c r="O301" t="s">
        <v>324</v>
      </c>
      <c r="P301">
        <v>23290541</v>
      </c>
      <c r="Q301" t="s">
        <v>368</v>
      </c>
      <c r="R301" t="s">
        <v>369</v>
      </c>
      <c r="S301">
        <v>34260</v>
      </c>
      <c r="T301">
        <v>9.1</v>
      </c>
      <c r="U301">
        <v>311766</v>
      </c>
      <c r="V301" t="str">
        <f t="shared" si="89"/>
        <v>Dahej</v>
      </c>
      <c r="W301" t="str">
        <f>VLOOKUP(B301, Currency!A:B, 2, FALSE)</f>
        <v>INR</v>
      </c>
      <c r="X301" t="str">
        <f t="shared" si="89"/>
        <v>Accepted</v>
      </c>
      <c r="Y301">
        <f>IFERROR(VLOOKUP(N301, Payment_Terms!A:B, 2, FALSE), "Payment term not found!")</f>
        <v>15</v>
      </c>
      <c r="Z301" t="str">
        <f>IFERROR(VLOOKUP(R301, Item_Category!A:B, 2, FALSE), "Uncategorized")</f>
        <v>Coal materials</v>
      </c>
      <c r="AA301" s="5">
        <f t="shared" si="74"/>
        <v>0.77159999999999995</v>
      </c>
      <c r="AB301">
        <f t="shared" si="75"/>
        <v>1</v>
      </c>
      <c r="AC301" s="10">
        <f t="shared" si="76"/>
        <v>3</v>
      </c>
      <c r="AD301">
        <f t="shared" si="77"/>
        <v>4</v>
      </c>
      <c r="AE301" s="10">
        <f t="shared" si="78"/>
        <v>5</v>
      </c>
      <c r="AF301" s="5">
        <f t="shared" si="71"/>
        <v>1</v>
      </c>
      <c r="AG301" s="5">
        <f t="shared" si="72"/>
        <v>1</v>
      </c>
      <c r="AH301" s="5">
        <f t="shared" si="79"/>
        <v>0</v>
      </c>
      <c r="AI301">
        <f>IF(B301&lt;&gt;"", COUNTIFS($B$2:B301, B301), "")</f>
        <v>6</v>
      </c>
      <c r="AJ301">
        <f t="shared" si="80"/>
        <v>5</v>
      </c>
      <c r="AK301">
        <f t="shared" si="73"/>
        <v>4</v>
      </c>
      <c r="AL301">
        <f t="shared" si="81"/>
        <v>6</v>
      </c>
      <c r="AM301" t="str">
        <f t="shared" si="82"/>
        <v>June</v>
      </c>
      <c r="AN301">
        <f t="shared" si="83"/>
        <v>2023</v>
      </c>
      <c r="AO301" t="str">
        <f t="shared" si="84"/>
        <v>&gt;3</v>
      </c>
      <c r="AP301" t="str">
        <f t="shared" si="85"/>
        <v>&lt;=3</v>
      </c>
      <c r="AQ301" t="str">
        <f t="shared" si="86"/>
        <v>&gt;3</v>
      </c>
    </row>
    <row r="302" spans="1:43" x14ac:dyDescent="0.3">
      <c r="A302" t="s">
        <v>33</v>
      </c>
      <c r="B302" t="s">
        <v>385</v>
      </c>
      <c r="C302" t="s">
        <v>70</v>
      </c>
      <c r="D302">
        <v>1522</v>
      </c>
      <c r="E302">
        <v>23210078</v>
      </c>
      <c r="F302" t="s">
        <v>372</v>
      </c>
      <c r="G302" t="s">
        <v>373</v>
      </c>
      <c r="H302">
        <v>50</v>
      </c>
      <c r="I302">
        <v>250</v>
      </c>
      <c r="J302">
        <v>12500</v>
      </c>
      <c r="K302" s="7" t="str">
        <f>IFERROR(IF(B302&lt;&gt;"", TEXT(VLOOKUP(B302, 'Expected Date'!A:B, 2, FALSE) + DATE(RIGHT(C302,2),MID(C302,4,2),LEFT(C302,2)), "dd/mm/yy"), ""), "")</f>
        <v>04/05/23</v>
      </c>
      <c r="L302" t="s">
        <v>68</v>
      </c>
      <c r="M302" t="s">
        <v>48</v>
      </c>
      <c r="N302" t="s">
        <v>342</v>
      </c>
      <c r="O302" t="s">
        <v>262</v>
      </c>
      <c r="P302">
        <v>23290191</v>
      </c>
      <c r="Q302" t="s">
        <v>372</v>
      </c>
      <c r="R302" t="s">
        <v>373</v>
      </c>
      <c r="S302">
        <v>9.5299999999999994</v>
      </c>
      <c r="T302">
        <v>250</v>
      </c>
      <c r="U302">
        <v>2382.5</v>
      </c>
      <c r="V302" t="str">
        <f t="shared" si="89"/>
        <v>Dahej</v>
      </c>
      <c r="W302" t="str">
        <f>VLOOKUP(B302, Currency!A:B, 2, FALSE)</f>
        <v>INR</v>
      </c>
      <c r="X302" t="str">
        <f t="shared" si="89"/>
        <v>Accepted</v>
      </c>
      <c r="Y302">
        <f>IFERROR(VLOOKUP(N302, Payment_Terms!A:B, 2, FALSE), "Payment term not found!")</f>
        <v>30</v>
      </c>
      <c r="Z302" t="str">
        <f>IFERROR(VLOOKUP(R302, Item_Category!A:B, 2, FALSE), "Uncategorized")</f>
        <v>HCL</v>
      </c>
      <c r="AA302" s="5">
        <f t="shared" si="74"/>
        <v>0.43</v>
      </c>
      <c r="AB302">
        <f t="shared" si="75"/>
        <v>1</v>
      </c>
      <c r="AC302" s="10">
        <f t="shared" si="76"/>
        <v>-2</v>
      </c>
      <c r="AD302">
        <f t="shared" si="77"/>
        <v>5</v>
      </c>
      <c r="AE302" s="10">
        <f t="shared" si="78"/>
        <v>8</v>
      </c>
      <c r="AF302" s="5">
        <f t="shared" si="71"/>
        <v>1</v>
      </c>
      <c r="AG302" s="5">
        <f t="shared" si="72"/>
        <v>1</v>
      </c>
      <c r="AH302" s="5">
        <f t="shared" si="79"/>
        <v>0</v>
      </c>
      <c r="AI302">
        <f>IF(B302&lt;&gt;"", COUNTIFS($B$2:B302, B302), "")</f>
        <v>1</v>
      </c>
      <c r="AJ302">
        <f t="shared" si="80"/>
        <v>5</v>
      </c>
      <c r="AK302">
        <f t="shared" si="73"/>
        <v>4</v>
      </c>
      <c r="AL302">
        <f t="shared" si="81"/>
        <v>4</v>
      </c>
      <c r="AM302" t="str">
        <f t="shared" si="82"/>
        <v>April</v>
      </c>
      <c r="AN302">
        <f t="shared" si="83"/>
        <v>2023</v>
      </c>
      <c r="AO302" t="str">
        <f t="shared" si="84"/>
        <v>&gt;3</v>
      </c>
      <c r="AP302" t="str">
        <f t="shared" si="85"/>
        <v>&lt;=3</v>
      </c>
      <c r="AQ302" t="str">
        <f t="shared" si="86"/>
        <v>&gt;3</v>
      </c>
    </row>
    <row r="303" spans="1:43" x14ac:dyDescent="0.3">
      <c r="A303" t="s">
        <v>33</v>
      </c>
      <c r="B303" t="s">
        <v>386</v>
      </c>
      <c r="C303" t="s">
        <v>238</v>
      </c>
      <c r="D303">
        <v>1760</v>
      </c>
      <c r="E303">
        <v>23210140</v>
      </c>
      <c r="F303" t="s">
        <v>387</v>
      </c>
      <c r="G303" t="s">
        <v>388</v>
      </c>
      <c r="H303">
        <v>50</v>
      </c>
      <c r="I303">
        <v>85</v>
      </c>
      <c r="J303">
        <v>4250</v>
      </c>
      <c r="K303" s="7" t="str">
        <f>IFERROR(IF(B303&lt;&gt;"", TEXT(VLOOKUP(B303, 'Expected Date'!A:B, 2, FALSE) + DATE(RIGHT(C303,2),MID(C303,4,2),LEFT(C303,2)), "dd/mm/yy"), ""), "")</f>
        <v>09/05/23</v>
      </c>
      <c r="L303" t="s">
        <v>38</v>
      </c>
      <c r="M303" t="s">
        <v>48</v>
      </c>
      <c r="N303" t="s">
        <v>342</v>
      </c>
      <c r="O303" t="s">
        <v>145</v>
      </c>
      <c r="P303">
        <v>23290232</v>
      </c>
      <c r="Q303" t="s">
        <v>387</v>
      </c>
      <c r="R303" t="s">
        <v>388</v>
      </c>
      <c r="S303">
        <v>50</v>
      </c>
      <c r="T303">
        <v>85</v>
      </c>
      <c r="U303">
        <v>4250</v>
      </c>
      <c r="V303" t="str">
        <f t="shared" si="89"/>
        <v>Dahej</v>
      </c>
      <c r="W303" t="str">
        <f>VLOOKUP(B303, Currency!A:B, 2, FALSE)</f>
        <v>INR</v>
      </c>
      <c r="X303" t="str">
        <f t="shared" si="89"/>
        <v>Accepted</v>
      </c>
      <c r="Y303">
        <f>IFERROR(VLOOKUP(N303, Payment_Terms!A:B, 2, FALSE), "Payment term not found!")</f>
        <v>30</v>
      </c>
      <c r="Z303" t="str">
        <f>IFERROR(VLOOKUP(R303, Item_Category!A:B, 2, FALSE), "Uncategorized")</f>
        <v>Clips</v>
      </c>
      <c r="AA303" s="5">
        <f t="shared" si="74"/>
        <v>0</v>
      </c>
      <c r="AB303">
        <f t="shared" si="75"/>
        <v>5</v>
      </c>
      <c r="AC303" s="10">
        <f t="shared" si="76"/>
        <v>-2</v>
      </c>
      <c r="AD303">
        <f t="shared" si="77"/>
        <v>5</v>
      </c>
      <c r="AE303" s="10">
        <f t="shared" si="78"/>
        <v>3</v>
      </c>
      <c r="AF303" s="5">
        <f t="shared" si="71"/>
        <v>1</v>
      </c>
      <c r="AG303" s="5">
        <f t="shared" si="72"/>
        <v>1</v>
      </c>
      <c r="AH303" s="5">
        <f t="shared" si="79"/>
        <v>0</v>
      </c>
      <c r="AI303">
        <f>IF(B303&lt;&gt;"", COUNTIFS($B$2:B303, B303), "")</f>
        <v>1</v>
      </c>
      <c r="AJ303">
        <f t="shared" si="80"/>
        <v>5</v>
      </c>
      <c r="AK303">
        <f t="shared" si="73"/>
        <v>5</v>
      </c>
      <c r="AL303">
        <f t="shared" si="81"/>
        <v>5</v>
      </c>
      <c r="AM303" t="str">
        <f t="shared" si="82"/>
        <v>May</v>
      </c>
      <c r="AN303">
        <f t="shared" si="83"/>
        <v>2023</v>
      </c>
      <c r="AO303" t="str">
        <f t="shared" si="84"/>
        <v>&gt;3</v>
      </c>
      <c r="AP303" t="str">
        <f t="shared" si="85"/>
        <v>&gt;3</v>
      </c>
      <c r="AQ303" t="str">
        <f t="shared" si="86"/>
        <v>&gt;3</v>
      </c>
    </row>
    <row r="304" spans="1:43" x14ac:dyDescent="0.3">
      <c r="A304" t="s">
        <v>95</v>
      </c>
      <c r="B304" t="s">
        <v>96</v>
      </c>
      <c r="C304" t="s">
        <v>97</v>
      </c>
      <c r="D304">
        <v>1237</v>
      </c>
      <c r="E304">
        <v>23220006</v>
      </c>
      <c r="F304" t="s">
        <v>389</v>
      </c>
      <c r="G304" t="s">
        <v>390</v>
      </c>
      <c r="H304">
        <v>75</v>
      </c>
      <c r="I304">
        <v>1025</v>
      </c>
      <c r="J304">
        <v>6234562.5</v>
      </c>
      <c r="K304" s="7" t="str">
        <f>IFERROR(IF(B304&lt;&gt;"", TEXT(VLOOKUP(B304, 'Expected Date'!A:B, 2, FALSE) + DATE(RIGHT(C304,2),MID(C304,4,2),LEFT(C304,2)), "dd/mm/yy"), ""), "")</f>
        <v>10/06/23</v>
      </c>
      <c r="L304" t="s">
        <v>38</v>
      </c>
      <c r="M304" t="s">
        <v>101</v>
      </c>
      <c r="N304" t="s">
        <v>102</v>
      </c>
      <c r="O304" t="s">
        <v>391</v>
      </c>
      <c r="P304">
        <v>23290902</v>
      </c>
      <c r="Q304" t="s">
        <v>389</v>
      </c>
      <c r="R304" t="s">
        <v>390</v>
      </c>
      <c r="S304">
        <v>77.277000000000001</v>
      </c>
      <c r="T304">
        <v>1025</v>
      </c>
      <c r="U304">
        <v>6459488.2400000002</v>
      </c>
      <c r="V304" t="str">
        <f t="shared" si="89"/>
        <v>Dahej</v>
      </c>
      <c r="W304" t="str">
        <f>VLOOKUP(B304, Currency!A:B, 2, FALSE)</f>
        <v>USD</v>
      </c>
      <c r="X304" t="str">
        <f t="shared" si="89"/>
        <v>Accepted</v>
      </c>
      <c r="Y304">
        <f>IFERROR(VLOOKUP(N304, Payment_Terms!A:B, 2, FALSE), "Payment term not found!")</f>
        <v>60</v>
      </c>
      <c r="Z304" t="str">
        <f>IFERROR(VLOOKUP(R304, Item_Category!A:B, 2, FALSE), "Uncategorized")</f>
        <v>Wood pulp</v>
      </c>
      <c r="AA304" s="5">
        <f t="shared" si="74"/>
        <v>0</v>
      </c>
      <c r="AB304">
        <f t="shared" si="75"/>
        <v>5</v>
      </c>
      <c r="AC304" s="10">
        <f t="shared" si="76"/>
        <v>34</v>
      </c>
      <c r="AD304">
        <f t="shared" si="77"/>
        <v>1</v>
      </c>
      <c r="AE304" s="10">
        <f t="shared" si="78"/>
        <v>94</v>
      </c>
      <c r="AF304" s="5">
        <f t="shared" si="71"/>
        <v>1</v>
      </c>
      <c r="AG304" s="5">
        <f t="shared" si="72"/>
        <v>1</v>
      </c>
      <c r="AH304" s="5">
        <f t="shared" si="79"/>
        <v>0</v>
      </c>
      <c r="AI304">
        <f>IF(B304&lt;&gt;"", COUNTIFS($B$2:B304, B304), "")</f>
        <v>7</v>
      </c>
      <c r="AJ304">
        <f t="shared" si="80"/>
        <v>5</v>
      </c>
      <c r="AK304">
        <f t="shared" si="73"/>
        <v>4</v>
      </c>
      <c r="AL304">
        <f t="shared" si="81"/>
        <v>4</v>
      </c>
      <c r="AM304" t="str">
        <f t="shared" si="82"/>
        <v>April</v>
      </c>
      <c r="AN304">
        <f t="shared" si="83"/>
        <v>2023</v>
      </c>
      <c r="AO304" t="str">
        <f t="shared" si="84"/>
        <v>&gt;3</v>
      </c>
      <c r="AP304" t="str">
        <f t="shared" si="85"/>
        <v>&gt;3</v>
      </c>
      <c r="AQ304" t="str">
        <f t="shared" si="86"/>
        <v>&lt;=3</v>
      </c>
    </row>
    <row r="305" spans="1:43" x14ac:dyDescent="0.3">
      <c r="A305" t="s">
        <v>33</v>
      </c>
      <c r="B305" t="s">
        <v>366</v>
      </c>
      <c r="C305" t="s">
        <v>52</v>
      </c>
      <c r="D305">
        <v>3770</v>
      </c>
      <c r="E305">
        <v>23210546</v>
      </c>
      <c r="F305" t="s">
        <v>392</v>
      </c>
      <c r="G305" t="s">
        <v>393</v>
      </c>
      <c r="H305">
        <v>150</v>
      </c>
      <c r="I305">
        <v>9850</v>
      </c>
      <c r="J305">
        <v>1477500</v>
      </c>
      <c r="K305" s="7" t="str">
        <f>IFERROR(IF(B305&lt;&gt;"", TEXT(VLOOKUP(B305, 'Expected Date'!A:B, 2, FALSE) + DATE(RIGHT(C305,2),MID(C305,4,2),LEFT(C305,2)), "dd/mm/yy"), ""), "")</f>
        <v>18/08/23</v>
      </c>
      <c r="L305" t="s">
        <v>68</v>
      </c>
      <c r="M305" t="s">
        <v>48</v>
      </c>
      <c r="N305" t="s">
        <v>370</v>
      </c>
      <c r="O305" t="s">
        <v>394</v>
      </c>
      <c r="P305">
        <v>23291126</v>
      </c>
      <c r="Q305" t="s">
        <v>392</v>
      </c>
      <c r="R305" t="s">
        <v>393</v>
      </c>
      <c r="S305">
        <v>27.93</v>
      </c>
      <c r="T305">
        <v>9850</v>
      </c>
      <c r="U305">
        <v>275110.5</v>
      </c>
      <c r="V305" t="str">
        <f t="shared" si="89"/>
        <v>Dahej</v>
      </c>
      <c r="W305" t="str">
        <f>VLOOKUP(B305, Currency!A:B, 2, FALSE)</f>
        <v>INR</v>
      </c>
      <c r="X305" t="str">
        <f t="shared" si="89"/>
        <v>Accepted</v>
      </c>
      <c r="Y305">
        <f>IFERROR(VLOOKUP(N305, Payment_Terms!A:B, 2, FALSE), "Payment term not found!")</f>
        <v>15</v>
      </c>
      <c r="Z305" t="str">
        <f>IFERROR(VLOOKUP(R305, Item_Category!A:B, 2, FALSE), "Uncategorized")</f>
        <v>Coal materials</v>
      </c>
      <c r="AA305" s="5">
        <f t="shared" si="74"/>
        <v>5.1333333333333259E-2</v>
      </c>
      <c r="AB305">
        <f t="shared" si="75"/>
        <v>2</v>
      </c>
      <c r="AC305" s="10">
        <f t="shared" si="76"/>
        <v>-1</v>
      </c>
      <c r="AD305">
        <f t="shared" si="77"/>
        <v>5</v>
      </c>
      <c r="AE305" s="10">
        <f t="shared" si="78"/>
        <v>1</v>
      </c>
      <c r="AF305" s="5">
        <f t="shared" si="71"/>
        <v>1</v>
      </c>
      <c r="AG305" s="5">
        <f t="shared" si="72"/>
        <v>1</v>
      </c>
      <c r="AH305" s="5">
        <f t="shared" si="79"/>
        <v>0</v>
      </c>
      <c r="AI305">
        <f>IF(B305&lt;&gt;"", COUNTIFS($B$2:B305, B305), "")</f>
        <v>7</v>
      </c>
      <c r="AJ305">
        <f t="shared" si="80"/>
        <v>5</v>
      </c>
      <c r="AK305">
        <f t="shared" si="73"/>
        <v>5</v>
      </c>
      <c r="AL305">
        <f t="shared" si="81"/>
        <v>8</v>
      </c>
      <c r="AM305" t="str">
        <f t="shared" si="82"/>
        <v>August</v>
      </c>
      <c r="AN305">
        <f t="shared" si="83"/>
        <v>2023</v>
      </c>
      <c r="AO305" t="str">
        <f t="shared" si="84"/>
        <v>&gt;3</v>
      </c>
      <c r="AP305" t="str">
        <f t="shared" si="85"/>
        <v>&lt;=3</v>
      </c>
      <c r="AQ305" t="str">
        <f t="shared" si="86"/>
        <v>&gt;3</v>
      </c>
    </row>
    <row r="306" spans="1:43" x14ac:dyDescent="0.3">
      <c r="A306" t="s">
        <v>33</v>
      </c>
      <c r="B306" t="s">
        <v>395</v>
      </c>
      <c r="C306" t="s">
        <v>396</v>
      </c>
      <c r="D306">
        <v>1223</v>
      </c>
      <c r="E306">
        <v>23210016</v>
      </c>
      <c r="F306" t="s">
        <v>392</v>
      </c>
      <c r="G306" t="s">
        <v>393</v>
      </c>
      <c r="H306">
        <v>150</v>
      </c>
      <c r="I306">
        <v>10700</v>
      </c>
      <c r="J306">
        <v>1605000</v>
      </c>
      <c r="K306" s="7" t="str">
        <f>IFERROR(IF(B306&lt;&gt;"", TEXT(VLOOKUP(B306, 'Expected Date'!A:B, 2, FALSE) + DATE(RIGHT(C306,2),MID(C306,4,2),LEFT(C306,2)), "dd/mm/yy"), ""), "")</f>
        <v>12/04/23</v>
      </c>
      <c r="L306" t="s">
        <v>68</v>
      </c>
      <c r="M306" t="s">
        <v>48</v>
      </c>
      <c r="N306" t="s">
        <v>318</v>
      </c>
      <c r="O306" t="s">
        <v>97</v>
      </c>
      <c r="P306">
        <v>23290086</v>
      </c>
      <c r="Q306" t="s">
        <v>392</v>
      </c>
      <c r="R306" t="s">
        <v>393</v>
      </c>
      <c r="S306">
        <v>29.23</v>
      </c>
      <c r="T306">
        <v>10700</v>
      </c>
      <c r="U306">
        <v>312761</v>
      </c>
      <c r="V306" t="str">
        <f t="shared" si="89"/>
        <v>Dahej</v>
      </c>
      <c r="W306" t="str">
        <f>VLOOKUP(B306, Currency!A:B, 2, FALSE)</f>
        <v>INR</v>
      </c>
      <c r="X306" t="str">
        <f t="shared" si="89"/>
        <v>Accepted</v>
      </c>
      <c r="Y306">
        <f>IFERROR(VLOOKUP(N306, Payment_Terms!A:B, 2, FALSE), "Payment term not found!")</f>
        <v>30</v>
      </c>
      <c r="Z306" t="str">
        <f>IFERROR(VLOOKUP(R306, Item_Category!A:B, 2, FALSE), "Uncategorized")</f>
        <v>Coal materials</v>
      </c>
      <c r="AA306" s="5">
        <f t="shared" si="74"/>
        <v>0.41046666666666665</v>
      </c>
      <c r="AB306">
        <f t="shared" si="75"/>
        <v>1</v>
      </c>
      <c r="AC306" s="10">
        <f t="shared" si="76"/>
        <v>-1</v>
      </c>
      <c r="AD306">
        <f t="shared" si="77"/>
        <v>5</v>
      </c>
      <c r="AE306" s="10">
        <f t="shared" si="78"/>
        <v>4</v>
      </c>
      <c r="AF306" s="5">
        <f t="shared" si="71"/>
        <v>1</v>
      </c>
      <c r="AG306" s="5">
        <f t="shared" si="72"/>
        <v>1</v>
      </c>
      <c r="AH306" s="5">
        <f t="shared" si="79"/>
        <v>0</v>
      </c>
      <c r="AI306">
        <f>IF(B306&lt;&gt;"", COUNTIFS($B$2:B306, B306), "")</f>
        <v>1</v>
      </c>
      <c r="AJ306">
        <f t="shared" si="80"/>
        <v>5</v>
      </c>
      <c r="AK306">
        <f t="shared" si="73"/>
        <v>4</v>
      </c>
      <c r="AL306">
        <f t="shared" si="81"/>
        <v>4</v>
      </c>
      <c r="AM306" t="str">
        <f t="shared" si="82"/>
        <v>April</v>
      </c>
      <c r="AN306">
        <f t="shared" si="83"/>
        <v>2023</v>
      </c>
      <c r="AO306" t="str">
        <f t="shared" si="84"/>
        <v>&gt;3</v>
      </c>
      <c r="AP306" t="str">
        <f t="shared" si="85"/>
        <v>&lt;=3</v>
      </c>
      <c r="AQ306" t="str">
        <f t="shared" si="86"/>
        <v>&gt;3</v>
      </c>
    </row>
    <row r="307" spans="1:43" x14ac:dyDescent="0.3">
      <c r="A307" t="s">
        <v>33</v>
      </c>
      <c r="B307" t="s">
        <v>395</v>
      </c>
      <c r="C307" t="s">
        <v>396</v>
      </c>
      <c r="D307">
        <v>1223</v>
      </c>
      <c r="E307">
        <v>23210016</v>
      </c>
      <c r="F307" t="s">
        <v>392</v>
      </c>
      <c r="G307" t="s">
        <v>393</v>
      </c>
      <c r="H307">
        <v>150</v>
      </c>
      <c r="I307">
        <v>10700</v>
      </c>
      <c r="J307">
        <v>1605000</v>
      </c>
      <c r="K307" s="7" t="str">
        <f>IFERROR(IF(B307&lt;&gt;"", TEXT(VLOOKUP(B307, 'Expected Date'!A:B, 2, FALSE) + DATE(RIGHT(C307,2),MID(C307,4,2),LEFT(C307,2)), "dd/mm/yy"), ""), "")</f>
        <v>12/04/23</v>
      </c>
      <c r="L307" t="s">
        <v>68</v>
      </c>
      <c r="M307" t="s">
        <v>48</v>
      </c>
      <c r="N307" t="s">
        <v>318</v>
      </c>
      <c r="O307" t="s">
        <v>374</v>
      </c>
      <c r="P307">
        <v>23290087</v>
      </c>
      <c r="Q307" t="s">
        <v>392</v>
      </c>
      <c r="R307" t="s">
        <v>393</v>
      </c>
      <c r="S307">
        <v>31.53</v>
      </c>
      <c r="T307">
        <v>10700</v>
      </c>
      <c r="U307">
        <v>337371</v>
      </c>
      <c r="V307" t="str">
        <f t="shared" si="89"/>
        <v>Dahej</v>
      </c>
      <c r="W307" t="str">
        <f>VLOOKUP(B307, Currency!A:B, 2, FALSE)</f>
        <v>INR</v>
      </c>
      <c r="X307" t="str">
        <f t="shared" si="89"/>
        <v>Accepted</v>
      </c>
      <c r="Y307">
        <f>IFERROR(VLOOKUP(N307, Payment_Terms!A:B, 2, FALSE), "Payment term not found!")</f>
        <v>30</v>
      </c>
      <c r="Z307" t="str">
        <f>IFERROR(VLOOKUP(R307, Item_Category!A:B, 2, FALSE), "Uncategorized")</f>
        <v>Coal materials</v>
      </c>
      <c r="AA307" s="5">
        <f t="shared" si="74"/>
        <v>0.41046666666666665</v>
      </c>
      <c r="AB307">
        <f t="shared" si="75"/>
        <v>1</v>
      </c>
      <c r="AC307" s="10">
        <f t="shared" si="76"/>
        <v>1</v>
      </c>
      <c r="AD307">
        <f t="shared" si="77"/>
        <v>5</v>
      </c>
      <c r="AE307" s="10">
        <f t="shared" si="78"/>
        <v>6</v>
      </c>
      <c r="AF307" s="5">
        <f t="shared" si="71"/>
        <v>1</v>
      </c>
      <c r="AG307" s="5">
        <f t="shared" si="72"/>
        <v>1</v>
      </c>
      <c r="AH307" s="5">
        <f t="shared" si="79"/>
        <v>0</v>
      </c>
      <c r="AI307">
        <f>IF(B307&lt;&gt;"", COUNTIFS($B$2:B307, B307), "")</f>
        <v>2</v>
      </c>
      <c r="AJ307">
        <f t="shared" si="80"/>
        <v>5</v>
      </c>
      <c r="AK307">
        <f t="shared" si="73"/>
        <v>4</v>
      </c>
      <c r="AL307">
        <f t="shared" si="81"/>
        <v>4</v>
      </c>
      <c r="AM307" t="str">
        <f t="shared" si="82"/>
        <v>April</v>
      </c>
      <c r="AN307">
        <f t="shared" si="83"/>
        <v>2023</v>
      </c>
      <c r="AO307" t="str">
        <f t="shared" si="84"/>
        <v>&gt;3</v>
      </c>
      <c r="AP307" t="str">
        <f t="shared" si="85"/>
        <v>&lt;=3</v>
      </c>
      <c r="AQ307" t="str">
        <f t="shared" si="86"/>
        <v>&gt;3</v>
      </c>
    </row>
    <row r="308" spans="1:43" x14ac:dyDescent="0.3">
      <c r="A308" t="s">
        <v>33</v>
      </c>
      <c r="B308" t="s">
        <v>347</v>
      </c>
      <c r="C308" t="s">
        <v>397</v>
      </c>
      <c r="D308">
        <v>1179</v>
      </c>
      <c r="E308">
        <v>23210005</v>
      </c>
      <c r="F308" t="s">
        <v>349</v>
      </c>
      <c r="G308" t="s">
        <v>350</v>
      </c>
      <c r="H308">
        <v>24</v>
      </c>
      <c r="I308">
        <v>43080</v>
      </c>
      <c r="J308">
        <v>1033920</v>
      </c>
      <c r="K308" s="7" t="str">
        <f>IFERROR(IF(B308&lt;&gt;"", TEXT(VLOOKUP(B308, 'Expected Date'!A:B, 2, FALSE) + DATE(RIGHT(C308,2),MID(C308,4,2),LEFT(C308,2)), "dd/mm/yy"), ""), "")</f>
        <v>06/04/23</v>
      </c>
      <c r="L308" t="s">
        <v>68</v>
      </c>
      <c r="M308" t="s">
        <v>285</v>
      </c>
      <c r="N308" t="s">
        <v>351</v>
      </c>
      <c r="O308" t="s">
        <v>124</v>
      </c>
      <c r="P308">
        <v>23290095</v>
      </c>
      <c r="Q308" t="s">
        <v>349</v>
      </c>
      <c r="R308" t="s">
        <v>350</v>
      </c>
      <c r="S308">
        <v>22.53</v>
      </c>
      <c r="T308">
        <v>43080</v>
      </c>
      <c r="U308">
        <v>970592.4</v>
      </c>
      <c r="V308" t="str">
        <f t="shared" si="89"/>
        <v>Dahej</v>
      </c>
      <c r="W308" t="str">
        <f>VLOOKUP(B308, Currency!A:B, 2, FALSE)</f>
        <v>INR</v>
      </c>
      <c r="X308" t="str">
        <f t="shared" si="89"/>
        <v>Accepted</v>
      </c>
      <c r="Y308">
        <f>IFERROR(VLOOKUP(N308, Payment_Terms!A:B, 2, FALSE), "Payment term not found!")</f>
        <v>0</v>
      </c>
      <c r="Z308" t="str">
        <f>IFERROR(VLOOKUP(R308, Item_Category!A:B, 2, FALSE), "Uncategorized")</f>
        <v>Oil</v>
      </c>
      <c r="AA308" s="5">
        <f t="shared" si="74"/>
        <v>6.124999999999995E-2</v>
      </c>
      <c r="AB308">
        <f t="shared" si="75"/>
        <v>2</v>
      </c>
      <c r="AC308" s="10">
        <f t="shared" si="76"/>
        <v>12</v>
      </c>
      <c r="AD308">
        <f t="shared" si="77"/>
        <v>1</v>
      </c>
      <c r="AE308" s="10">
        <f t="shared" si="78"/>
        <v>13</v>
      </c>
      <c r="AF308" s="5">
        <f t="shared" si="71"/>
        <v>1</v>
      </c>
      <c r="AG308" s="5">
        <f t="shared" si="72"/>
        <v>1</v>
      </c>
      <c r="AH308" s="5">
        <f t="shared" si="79"/>
        <v>0</v>
      </c>
      <c r="AI308">
        <f>IF(B308&lt;&gt;"", COUNTIFS($B$2:B308, B308), "")</f>
        <v>3</v>
      </c>
      <c r="AJ308">
        <f t="shared" si="80"/>
        <v>5</v>
      </c>
      <c r="AK308">
        <f t="shared" si="73"/>
        <v>3</v>
      </c>
      <c r="AL308">
        <f t="shared" si="81"/>
        <v>4</v>
      </c>
      <c r="AM308" t="str">
        <f t="shared" si="82"/>
        <v>April</v>
      </c>
      <c r="AN308">
        <f t="shared" si="83"/>
        <v>2023</v>
      </c>
      <c r="AO308" t="str">
        <f t="shared" si="84"/>
        <v>&gt;3</v>
      </c>
      <c r="AP308" t="str">
        <f t="shared" si="85"/>
        <v>&lt;=3</v>
      </c>
      <c r="AQ308" t="str">
        <f t="shared" si="86"/>
        <v>&lt;=3</v>
      </c>
    </row>
    <row r="309" spans="1:43" x14ac:dyDescent="0.3">
      <c r="A309" t="s">
        <v>33</v>
      </c>
      <c r="B309" t="s">
        <v>366</v>
      </c>
      <c r="C309" t="s">
        <v>398</v>
      </c>
      <c r="D309">
        <v>1761</v>
      </c>
      <c r="E309">
        <v>23210141</v>
      </c>
      <c r="F309" t="s">
        <v>368</v>
      </c>
      <c r="G309" t="s">
        <v>369</v>
      </c>
      <c r="H309">
        <v>100000</v>
      </c>
      <c r="I309">
        <v>8.6</v>
      </c>
      <c r="J309">
        <v>860000</v>
      </c>
      <c r="K309" s="7" t="str">
        <f>IFERROR(IF(B309&lt;&gt;"", TEXT(VLOOKUP(B309, 'Expected Date'!A:B, 2, FALSE) + DATE(RIGHT(C309,2),MID(C309,4,2),LEFT(C309,2)), "dd/mm/yy"), ""), "")</f>
        <v>03/05/23</v>
      </c>
      <c r="L309" t="s">
        <v>68</v>
      </c>
      <c r="M309" t="s">
        <v>48</v>
      </c>
      <c r="N309" t="s">
        <v>370</v>
      </c>
      <c r="O309" t="s">
        <v>238</v>
      </c>
      <c r="P309">
        <v>23290229</v>
      </c>
      <c r="Q309" t="s">
        <v>368</v>
      </c>
      <c r="R309" t="s">
        <v>369</v>
      </c>
      <c r="S309">
        <v>32730</v>
      </c>
      <c r="T309">
        <v>8.6</v>
      </c>
      <c r="U309">
        <v>281478</v>
      </c>
      <c r="V309" t="str">
        <f t="shared" si="89"/>
        <v>Dahej</v>
      </c>
      <c r="W309" t="str">
        <f>VLOOKUP(B309, Currency!A:B, 2, FALSE)</f>
        <v>INR</v>
      </c>
      <c r="X309" t="str">
        <f t="shared" si="89"/>
        <v>Accepted</v>
      </c>
      <c r="Y309">
        <f>IFERROR(VLOOKUP(N309, Payment_Terms!A:B, 2, FALSE), "Payment term not found!")</f>
        <v>15</v>
      </c>
      <c r="Z309" t="str">
        <f>IFERROR(VLOOKUP(R309, Item_Category!A:B, 2, FALSE), "Uncategorized")</f>
        <v>Coal materials</v>
      </c>
      <c r="AA309" s="5">
        <f t="shared" si="74"/>
        <v>3.0700000000000002E-2</v>
      </c>
      <c r="AB309">
        <f t="shared" si="75"/>
        <v>3</v>
      </c>
      <c r="AC309" s="10">
        <f t="shared" si="76"/>
        <v>1</v>
      </c>
      <c r="AD309">
        <f t="shared" si="77"/>
        <v>5</v>
      </c>
      <c r="AE309" s="10">
        <f t="shared" si="78"/>
        <v>3</v>
      </c>
      <c r="AF309" s="5">
        <f t="shared" si="71"/>
        <v>1</v>
      </c>
      <c r="AG309" s="5">
        <f t="shared" si="72"/>
        <v>1</v>
      </c>
      <c r="AH309" s="5">
        <f t="shared" si="79"/>
        <v>0</v>
      </c>
      <c r="AI309">
        <f>IF(B309&lt;&gt;"", COUNTIFS($B$2:B309, B309), "")</f>
        <v>8</v>
      </c>
      <c r="AJ309">
        <f t="shared" si="80"/>
        <v>5</v>
      </c>
      <c r="AK309">
        <f t="shared" si="73"/>
        <v>5</v>
      </c>
      <c r="AL309">
        <f t="shared" si="81"/>
        <v>5</v>
      </c>
      <c r="AM309" t="str">
        <f t="shared" si="82"/>
        <v>May</v>
      </c>
      <c r="AN309">
        <f t="shared" si="83"/>
        <v>2023</v>
      </c>
      <c r="AO309" t="str">
        <f t="shared" si="84"/>
        <v>&gt;3</v>
      </c>
      <c r="AP309" t="str">
        <f t="shared" si="85"/>
        <v>&lt;=3</v>
      </c>
      <c r="AQ309" t="str">
        <f t="shared" si="86"/>
        <v>&gt;3</v>
      </c>
    </row>
    <row r="310" spans="1:43" x14ac:dyDescent="0.3">
      <c r="A310" t="s">
        <v>33</v>
      </c>
      <c r="B310" t="s">
        <v>386</v>
      </c>
      <c r="C310" t="s">
        <v>238</v>
      </c>
      <c r="D310">
        <v>1760</v>
      </c>
      <c r="E310">
        <v>23210140</v>
      </c>
      <c r="F310" t="s">
        <v>399</v>
      </c>
      <c r="G310" t="s">
        <v>400</v>
      </c>
      <c r="H310">
        <v>242</v>
      </c>
      <c r="I310">
        <v>62</v>
      </c>
      <c r="J310">
        <v>15004</v>
      </c>
      <c r="K310" s="7" t="str">
        <f>IFERROR(IF(B310&lt;&gt;"", TEXT(VLOOKUP(B310, 'Expected Date'!A:B, 2, FALSE) + DATE(RIGHT(C310,2),MID(C310,4,2),LEFT(C310,2)), "dd/mm/yy"), ""), "")</f>
        <v>09/05/23</v>
      </c>
      <c r="L310" t="s">
        <v>38</v>
      </c>
      <c r="M310" t="s">
        <v>39</v>
      </c>
      <c r="N310" t="s">
        <v>342</v>
      </c>
      <c r="O310" t="s">
        <v>145</v>
      </c>
      <c r="P310">
        <v>23290232</v>
      </c>
      <c r="Q310" t="s">
        <v>399</v>
      </c>
      <c r="R310" t="s">
        <v>400</v>
      </c>
      <c r="S310">
        <v>242</v>
      </c>
      <c r="T310">
        <v>62</v>
      </c>
      <c r="U310">
        <v>15004</v>
      </c>
      <c r="V310" t="str">
        <f t="shared" si="89"/>
        <v>Dahej</v>
      </c>
      <c r="W310" t="str">
        <f>VLOOKUP(B310, Currency!A:B, 2, FALSE)</f>
        <v>INR</v>
      </c>
      <c r="X310" t="str">
        <f t="shared" si="89"/>
        <v>Accepted</v>
      </c>
      <c r="Y310">
        <f>IFERROR(VLOOKUP(N310, Payment_Terms!A:B, 2, FALSE), "Payment term not found!")</f>
        <v>30</v>
      </c>
      <c r="Z310" t="str">
        <f>IFERROR(VLOOKUP(R310, Item_Category!A:B, 2, FALSE), "Uncategorized")</f>
        <v>Ply sheets</v>
      </c>
      <c r="AA310" s="5">
        <f t="shared" si="74"/>
        <v>0</v>
      </c>
      <c r="AB310">
        <f t="shared" si="75"/>
        <v>5</v>
      </c>
      <c r="AC310" s="10">
        <f t="shared" si="76"/>
        <v>-2</v>
      </c>
      <c r="AD310">
        <f t="shared" si="77"/>
        <v>5</v>
      </c>
      <c r="AE310" s="10">
        <f t="shared" si="78"/>
        <v>3</v>
      </c>
      <c r="AF310" s="5">
        <f t="shared" si="71"/>
        <v>1</v>
      </c>
      <c r="AG310" s="5">
        <f t="shared" si="72"/>
        <v>1</v>
      </c>
      <c r="AH310" s="5">
        <f t="shared" si="79"/>
        <v>0</v>
      </c>
      <c r="AI310">
        <f>IF(B310&lt;&gt;"", COUNTIFS($B$2:B310, B310), "")</f>
        <v>2</v>
      </c>
      <c r="AJ310">
        <f t="shared" si="80"/>
        <v>5</v>
      </c>
      <c r="AK310">
        <f t="shared" si="73"/>
        <v>5</v>
      </c>
      <c r="AL310">
        <f t="shared" si="81"/>
        <v>5</v>
      </c>
      <c r="AM310" t="str">
        <f t="shared" si="82"/>
        <v>May</v>
      </c>
      <c r="AN310">
        <f t="shared" si="83"/>
        <v>2023</v>
      </c>
      <c r="AO310" t="str">
        <f t="shared" si="84"/>
        <v>&gt;3</v>
      </c>
      <c r="AP310" t="str">
        <f t="shared" si="85"/>
        <v>&gt;3</v>
      </c>
      <c r="AQ310" t="str">
        <f t="shared" si="86"/>
        <v>&gt;3</v>
      </c>
    </row>
    <row r="311" spans="1:43" x14ac:dyDescent="0.3">
      <c r="A311" t="s">
        <v>33</v>
      </c>
      <c r="B311" t="s">
        <v>366</v>
      </c>
      <c r="C311" t="s">
        <v>398</v>
      </c>
      <c r="D311">
        <v>1761</v>
      </c>
      <c r="E311">
        <v>23210141</v>
      </c>
      <c r="F311" t="s">
        <v>368</v>
      </c>
      <c r="G311" t="s">
        <v>369</v>
      </c>
      <c r="H311">
        <v>100000</v>
      </c>
      <c r="I311">
        <v>8.6</v>
      </c>
      <c r="J311">
        <v>860000</v>
      </c>
      <c r="K311" s="7" t="str">
        <f>IFERROR(IF(B311&lt;&gt;"", TEXT(VLOOKUP(B311, 'Expected Date'!A:B, 2, FALSE) + DATE(RIGHT(C311,2),MID(C311,4,2),LEFT(C311,2)), "dd/mm/yy"), ""), "")</f>
        <v>03/05/23</v>
      </c>
      <c r="L311" t="s">
        <v>68</v>
      </c>
      <c r="M311" t="s">
        <v>48</v>
      </c>
      <c r="N311" t="s">
        <v>370</v>
      </c>
      <c r="O311" t="s">
        <v>141</v>
      </c>
      <c r="P311">
        <v>23290233</v>
      </c>
      <c r="Q311" t="s">
        <v>368</v>
      </c>
      <c r="R311" t="s">
        <v>369</v>
      </c>
      <c r="S311">
        <v>29030</v>
      </c>
      <c r="T311">
        <v>8.6</v>
      </c>
      <c r="U311">
        <v>249658</v>
      </c>
      <c r="V311" t="str">
        <f t="shared" si="89"/>
        <v>Dahej</v>
      </c>
      <c r="W311" t="str">
        <f>VLOOKUP(B311, Currency!A:B, 2, FALSE)</f>
        <v>INR</v>
      </c>
      <c r="X311" t="str">
        <f t="shared" si="89"/>
        <v>Accepted</v>
      </c>
      <c r="Y311">
        <f>IFERROR(VLOOKUP(N311, Payment_Terms!A:B, 2, FALSE), "Payment term not found!")</f>
        <v>15</v>
      </c>
      <c r="Z311" t="str">
        <f>IFERROR(VLOOKUP(R311, Item_Category!A:B, 2, FALSE), "Uncategorized")</f>
        <v>Coal materials</v>
      </c>
      <c r="AA311" s="5">
        <f t="shared" si="74"/>
        <v>3.0700000000000002E-2</v>
      </c>
      <c r="AB311">
        <f t="shared" si="75"/>
        <v>3</v>
      </c>
      <c r="AC311" s="10">
        <f t="shared" si="76"/>
        <v>5</v>
      </c>
      <c r="AD311">
        <f t="shared" si="77"/>
        <v>3</v>
      </c>
      <c r="AE311" s="10">
        <f t="shared" si="78"/>
        <v>7</v>
      </c>
      <c r="AF311" s="5">
        <f t="shared" si="71"/>
        <v>1</v>
      </c>
      <c r="AG311" s="5">
        <f t="shared" si="72"/>
        <v>1</v>
      </c>
      <c r="AH311" s="5">
        <f t="shared" si="79"/>
        <v>0</v>
      </c>
      <c r="AI311">
        <f>IF(B311&lt;&gt;"", COUNTIFS($B$2:B311, B311), "")</f>
        <v>9</v>
      </c>
      <c r="AJ311">
        <f t="shared" si="80"/>
        <v>5</v>
      </c>
      <c r="AK311">
        <f t="shared" si="73"/>
        <v>4</v>
      </c>
      <c r="AL311">
        <f t="shared" si="81"/>
        <v>5</v>
      </c>
      <c r="AM311" t="str">
        <f t="shared" si="82"/>
        <v>May</v>
      </c>
      <c r="AN311">
        <f t="shared" si="83"/>
        <v>2023</v>
      </c>
      <c r="AO311" t="str">
        <f t="shared" si="84"/>
        <v>&gt;3</v>
      </c>
      <c r="AP311" t="str">
        <f t="shared" si="85"/>
        <v>&lt;=3</v>
      </c>
      <c r="AQ311" t="str">
        <f t="shared" si="86"/>
        <v>&lt;=3</v>
      </c>
    </row>
    <row r="312" spans="1:43" x14ac:dyDescent="0.3">
      <c r="A312" t="s">
        <v>33</v>
      </c>
      <c r="B312" t="s">
        <v>366</v>
      </c>
      <c r="C312" t="s">
        <v>398</v>
      </c>
      <c r="D312">
        <v>1761</v>
      </c>
      <c r="E312">
        <v>23210141</v>
      </c>
      <c r="F312" t="s">
        <v>368</v>
      </c>
      <c r="G312" t="s">
        <v>369</v>
      </c>
      <c r="H312">
        <v>100000</v>
      </c>
      <c r="I312">
        <v>8.6</v>
      </c>
      <c r="J312">
        <v>860000</v>
      </c>
      <c r="K312" s="7" t="str">
        <f>IFERROR(IF(B312&lt;&gt;"", TEXT(VLOOKUP(B312, 'Expected Date'!A:B, 2, FALSE) + DATE(RIGHT(C312,2),MID(C312,4,2),LEFT(C312,2)), "dd/mm/yy"), ""), "")</f>
        <v>03/05/23</v>
      </c>
      <c r="L312" t="s">
        <v>68</v>
      </c>
      <c r="M312" t="s">
        <v>48</v>
      </c>
      <c r="N312" t="s">
        <v>370</v>
      </c>
      <c r="O312" t="s">
        <v>108</v>
      </c>
      <c r="P312">
        <v>23290237</v>
      </c>
      <c r="Q312" t="s">
        <v>368</v>
      </c>
      <c r="R312" t="s">
        <v>369</v>
      </c>
      <c r="S312">
        <v>35170</v>
      </c>
      <c r="T312">
        <v>8.6</v>
      </c>
      <c r="U312">
        <v>302462</v>
      </c>
      <c r="V312" t="str">
        <f t="shared" si="89"/>
        <v>Dahej</v>
      </c>
      <c r="W312" t="str">
        <f>VLOOKUP(B312, Currency!A:B, 2, FALSE)</f>
        <v>INR</v>
      </c>
      <c r="X312" t="str">
        <f t="shared" si="89"/>
        <v>Accepted</v>
      </c>
      <c r="Y312">
        <f>IFERROR(VLOOKUP(N312, Payment_Terms!A:B, 2, FALSE), "Payment term not found!")</f>
        <v>15</v>
      </c>
      <c r="Z312" t="str">
        <f>IFERROR(VLOOKUP(R312, Item_Category!A:B, 2, FALSE), "Uncategorized")</f>
        <v>Coal materials</v>
      </c>
      <c r="AA312" s="5">
        <f t="shared" si="74"/>
        <v>3.0700000000000002E-2</v>
      </c>
      <c r="AB312">
        <f t="shared" si="75"/>
        <v>3</v>
      </c>
      <c r="AC312" s="10">
        <f t="shared" si="76"/>
        <v>7</v>
      </c>
      <c r="AD312">
        <f t="shared" si="77"/>
        <v>3</v>
      </c>
      <c r="AE312" s="10">
        <f t="shared" si="78"/>
        <v>9</v>
      </c>
      <c r="AF312" s="5">
        <f t="shared" si="71"/>
        <v>1</v>
      </c>
      <c r="AG312" s="5">
        <f t="shared" si="72"/>
        <v>1</v>
      </c>
      <c r="AH312" s="5">
        <f t="shared" si="79"/>
        <v>0</v>
      </c>
      <c r="AI312">
        <f>IF(B312&lt;&gt;"", COUNTIFS($B$2:B312, B312), "")</f>
        <v>10</v>
      </c>
      <c r="AJ312">
        <f t="shared" si="80"/>
        <v>5</v>
      </c>
      <c r="AK312">
        <f t="shared" si="73"/>
        <v>4</v>
      </c>
      <c r="AL312">
        <f t="shared" si="81"/>
        <v>5</v>
      </c>
      <c r="AM312" t="str">
        <f t="shared" si="82"/>
        <v>May</v>
      </c>
      <c r="AN312">
        <f t="shared" si="83"/>
        <v>2023</v>
      </c>
      <c r="AO312" t="str">
        <f t="shared" si="84"/>
        <v>&gt;3</v>
      </c>
      <c r="AP312" t="str">
        <f t="shared" si="85"/>
        <v>&lt;=3</v>
      </c>
      <c r="AQ312" t="str">
        <f t="shared" si="86"/>
        <v>&lt;=3</v>
      </c>
    </row>
    <row r="313" spans="1:43" x14ac:dyDescent="0.3">
      <c r="A313" t="s">
        <v>111</v>
      </c>
      <c r="B313" t="s">
        <v>401</v>
      </c>
      <c r="C313" t="s">
        <v>108</v>
      </c>
      <c r="D313">
        <v>1818</v>
      </c>
      <c r="E313">
        <v>23220019</v>
      </c>
      <c r="F313" t="s">
        <v>402</v>
      </c>
      <c r="G313" t="s">
        <v>403</v>
      </c>
      <c r="H313">
        <v>5</v>
      </c>
      <c r="I313">
        <v>2550</v>
      </c>
      <c r="J313">
        <v>12750</v>
      </c>
      <c r="K313" s="7" t="str">
        <f>IFERROR(IF(B313&lt;&gt;"", TEXT(VLOOKUP(B313, 'Expected Date'!A:B, 2, FALSE) + DATE(RIGHT(C313,2),MID(C313,4,2),LEFT(C313,2)), "dd/mm/yy"), ""), "")</f>
        <v>18/05/23</v>
      </c>
      <c r="L313" t="s">
        <v>38</v>
      </c>
      <c r="M313" t="s">
        <v>48</v>
      </c>
      <c r="N313" t="s">
        <v>237</v>
      </c>
      <c r="O313" t="s">
        <v>108</v>
      </c>
      <c r="P313">
        <v>23290240</v>
      </c>
      <c r="Q313" t="s">
        <v>402</v>
      </c>
      <c r="R313" t="s">
        <v>403</v>
      </c>
      <c r="S313">
        <v>5</v>
      </c>
      <c r="T313">
        <v>2550</v>
      </c>
      <c r="U313">
        <v>12750</v>
      </c>
      <c r="V313" t="str">
        <f t="shared" si="89"/>
        <v>Dahej</v>
      </c>
      <c r="W313" t="str">
        <f>VLOOKUP(B313, Currency!A:B, 2, FALSE)</f>
        <v>INR</v>
      </c>
      <c r="X313" t="str">
        <f t="shared" si="89"/>
        <v>Accepted</v>
      </c>
      <c r="Y313">
        <f>IFERROR(VLOOKUP(N313, Payment_Terms!A:B, 2, FALSE), "Payment term not found!")</f>
        <v>0</v>
      </c>
      <c r="Z313" t="str">
        <f>IFERROR(VLOOKUP(R313, Item_Category!A:B, 2, FALSE), "Uncategorized")</f>
        <v xml:space="preserve">Metoprolol Succinate </v>
      </c>
      <c r="AA313" s="5">
        <f t="shared" si="74"/>
        <v>0</v>
      </c>
      <c r="AB313">
        <f t="shared" si="75"/>
        <v>5</v>
      </c>
      <c r="AC313" s="10">
        <f t="shared" si="76"/>
        <v>-8</v>
      </c>
      <c r="AD313">
        <f t="shared" si="77"/>
        <v>5</v>
      </c>
      <c r="AE313" s="10">
        <f t="shared" si="78"/>
        <v>0</v>
      </c>
      <c r="AF313" s="5">
        <f t="shared" si="71"/>
        <v>1</v>
      </c>
      <c r="AG313" s="5">
        <f t="shared" si="72"/>
        <v>1</v>
      </c>
      <c r="AH313" s="5">
        <f t="shared" si="79"/>
        <v>0</v>
      </c>
      <c r="AI313">
        <f>IF(B313&lt;&gt;"", COUNTIFS($B$2:B313, B313), "")</f>
        <v>1</v>
      </c>
      <c r="AJ313">
        <f t="shared" si="80"/>
        <v>5</v>
      </c>
      <c r="AK313">
        <f t="shared" si="73"/>
        <v>5</v>
      </c>
      <c r="AL313">
        <f t="shared" si="81"/>
        <v>5</v>
      </c>
      <c r="AM313" t="str">
        <f t="shared" si="82"/>
        <v>May</v>
      </c>
      <c r="AN313">
        <f t="shared" si="83"/>
        <v>2023</v>
      </c>
      <c r="AO313" t="str">
        <f t="shared" si="84"/>
        <v>&gt;3</v>
      </c>
      <c r="AP313" t="str">
        <f t="shared" si="85"/>
        <v>&gt;3</v>
      </c>
      <c r="AQ313" t="str">
        <f t="shared" si="86"/>
        <v>&gt;3</v>
      </c>
    </row>
    <row r="314" spans="1:43" x14ac:dyDescent="0.3">
      <c r="A314" t="s">
        <v>33</v>
      </c>
      <c r="B314" t="s">
        <v>122</v>
      </c>
      <c r="C314" t="s">
        <v>404</v>
      </c>
      <c r="D314">
        <v>1611</v>
      </c>
      <c r="E314">
        <v>23210100</v>
      </c>
      <c r="F314" t="s">
        <v>405</v>
      </c>
      <c r="G314" t="s">
        <v>406</v>
      </c>
      <c r="H314">
        <v>600</v>
      </c>
      <c r="I314">
        <v>930</v>
      </c>
      <c r="J314">
        <v>558000</v>
      </c>
      <c r="K314" s="7" t="str">
        <f>IFERROR(IF(B314&lt;&gt;"", TEXT(VLOOKUP(B314, 'Expected Date'!A:B, 2, FALSE) + DATE(RIGHT(C314,2),MID(C314,4,2),LEFT(C314,2)), "dd/mm/yy"), ""), "")</f>
        <v>13/05/23</v>
      </c>
      <c r="L314" t="s">
        <v>38</v>
      </c>
      <c r="M314" t="s">
        <v>39</v>
      </c>
      <c r="N314" t="s">
        <v>364</v>
      </c>
      <c r="O314" t="s">
        <v>238</v>
      </c>
      <c r="P314">
        <v>23290201</v>
      </c>
      <c r="Q314" t="s">
        <v>405</v>
      </c>
      <c r="R314" t="s">
        <v>406</v>
      </c>
      <c r="S314">
        <v>180</v>
      </c>
      <c r="T314">
        <v>930</v>
      </c>
      <c r="U314">
        <v>167400</v>
      </c>
      <c r="V314" t="str">
        <f t="shared" si="89"/>
        <v>Dahej</v>
      </c>
      <c r="W314" t="str">
        <f>VLOOKUP(B314, Currency!A:B, 2, FALSE)</f>
        <v>INR</v>
      </c>
      <c r="X314" t="str">
        <f t="shared" si="89"/>
        <v>Accepted</v>
      </c>
      <c r="Y314">
        <f>IFERROR(VLOOKUP(N314, Payment_Terms!A:B, 2, FALSE), "Payment term not found!")</f>
        <v>30</v>
      </c>
      <c r="Z314" t="str">
        <f>IFERROR(VLOOKUP(R314, Item_Category!A:B, 2, FALSE), "Uncategorized")</f>
        <v>Pallets</v>
      </c>
      <c r="AA314" s="5">
        <f t="shared" si="74"/>
        <v>0</v>
      </c>
      <c r="AB314">
        <f t="shared" si="75"/>
        <v>5</v>
      </c>
      <c r="AC314" s="10">
        <f t="shared" si="76"/>
        <v>-9</v>
      </c>
      <c r="AD314">
        <f t="shared" si="77"/>
        <v>5</v>
      </c>
      <c r="AE314" s="10">
        <f t="shared" si="78"/>
        <v>6</v>
      </c>
      <c r="AF314" s="5">
        <f t="shared" si="71"/>
        <v>1</v>
      </c>
      <c r="AG314" s="5">
        <f t="shared" si="72"/>
        <v>1</v>
      </c>
      <c r="AH314" s="5">
        <f t="shared" si="79"/>
        <v>0</v>
      </c>
      <c r="AI314">
        <f>IF(B314&lt;&gt;"", COUNTIFS($B$2:B314, B314), "")</f>
        <v>3</v>
      </c>
      <c r="AJ314">
        <f t="shared" si="80"/>
        <v>5</v>
      </c>
      <c r="AK314">
        <f t="shared" si="73"/>
        <v>5</v>
      </c>
      <c r="AL314">
        <f t="shared" si="81"/>
        <v>4</v>
      </c>
      <c r="AM314" t="str">
        <f t="shared" si="82"/>
        <v>April</v>
      </c>
      <c r="AN314">
        <f t="shared" si="83"/>
        <v>2023</v>
      </c>
      <c r="AO314" t="str">
        <f t="shared" si="84"/>
        <v>&gt;3</v>
      </c>
      <c r="AP314" t="str">
        <f t="shared" si="85"/>
        <v>&gt;3</v>
      </c>
      <c r="AQ314" t="str">
        <f t="shared" si="86"/>
        <v>&gt;3</v>
      </c>
    </row>
    <row r="315" spans="1:43" x14ac:dyDescent="0.3">
      <c r="A315" t="s">
        <v>33</v>
      </c>
      <c r="B315" t="s">
        <v>366</v>
      </c>
      <c r="C315" t="s">
        <v>87</v>
      </c>
      <c r="D315">
        <v>3042</v>
      </c>
      <c r="E315">
        <v>23210410</v>
      </c>
      <c r="F315" t="s">
        <v>392</v>
      </c>
      <c r="G315" t="s">
        <v>393</v>
      </c>
      <c r="H315">
        <v>200</v>
      </c>
      <c r="I315">
        <v>10200</v>
      </c>
      <c r="J315">
        <v>2040000</v>
      </c>
      <c r="K315" s="7" t="str">
        <f>IFERROR(IF(B315&lt;&gt;"", TEXT(VLOOKUP(B315, 'Expected Date'!A:B, 2, FALSE) + DATE(RIGHT(C315,2),MID(C315,4,2),LEFT(C315,2)), "dd/mm/yy"), ""), "")</f>
        <v>14/07/23</v>
      </c>
      <c r="L315" t="s">
        <v>68</v>
      </c>
      <c r="M315" t="s">
        <v>48</v>
      </c>
      <c r="N315" t="s">
        <v>370</v>
      </c>
      <c r="O315" t="s">
        <v>203</v>
      </c>
      <c r="P315">
        <v>23290798</v>
      </c>
      <c r="Q315" t="s">
        <v>392</v>
      </c>
      <c r="R315" t="s">
        <v>393</v>
      </c>
      <c r="S315">
        <v>28.89</v>
      </c>
      <c r="T315">
        <v>10200</v>
      </c>
      <c r="U315">
        <v>294678</v>
      </c>
      <c r="V315" t="str">
        <f t="shared" si="89"/>
        <v>Dahej</v>
      </c>
      <c r="W315" t="str">
        <f>VLOOKUP(B315, Currency!A:B, 2, FALSE)</f>
        <v>INR</v>
      </c>
      <c r="X315" t="str">
        <f t="shared" si="89"/>
        <v>Accepted</v>
      </c>
      <c r="Y315">
        <f>IFERROR(VLOOKUP(N315, Payment_Terms!A:B, 2, FALSE), "Payment term not found!")</f>
        <v>15</v>
      </c>
      <c r="Z315" t="str">
        <f>IFERROR(VLOOKUP(R315, Item_Category!A:B, 2, FALSE), "Uncategorized")</f>
        <v>Coal materials</v>
      </c>
      <c r="AA315" s="5">
        <f t="shared" si="74"/>
        <v>0.57009999999999994</v>
      </c>
      <c r="AB315">
        <f t="shared" si="75"/>
        <v>1</v>
      </c>
      <c r="AC315" s="10">
        <f t="shared" si="76"/>
        <v>2</v>
      </c>
      <c r="AD315">
        <f t="shared" si="77"/>
        <v>5</v>
      </c>
      <c r="AE315" s="10">
        <f t="shared" si="78"/>
        <v>4</v>
      </c>
      <c r="AF315" s="5">
        <f t="shared" si="71"/>
        <v>1</v>
      </c>
      <c r="AG315" s="5">
        <f t="shared" si="72"/>
        <v>1</v>
      </c>
      <c r="AH315" s="5">
        <f t="shared" si="79"/>
        <v>0</v>
      </c>
      <c r="AI315">
        <f>IF(B315&lt;&gt;"", COUNTIFS($B$2:B315, B315), "")</f>
        <v>11</v>
      </c>
      <c r="AJ315">
        <f t="shared" si="80"/>
        <v>5</v>
      </c>
      <c r="AK315">
        <f t="shared" si="73"/>
        <v>4</v>
      </c>
      <c r="AL315">
        <f t="shared" si="81"/>
        <v>7</v>
      </c>
      <c r="AM315" t="str">
        <f t="shared" si="82"/>
        <v>July</v>
      </c>
      <c r="AN315">
        <f t="shared" si="83"/>
        <v>2023</v>
      </c>
      <c r="AO315" t="str">
        <f t="shared" si="84"/>
        <v>&gt;3</v>
      </c>
      <c r="AP315" t="str">
        <f t="shared" si="85"/>
        <v>&lt;=3</v>
      </c>
      <c r="AQ315" t="str">
        <f t="shared" si="86"/>
        <v>&gt;3</v>
      </c>
    </row>
    <row r="316" spans="1:43" x14ac:dyDescent="0.3">
      <c r="A316" t="s">
        <v>33</v>
      </c>
      <c r="B316" t="s">
        <v>122</v>
      </c>
      <c r="C316" t="s">
        <v>354</v>
      </c>
      <c r="D316">
        <v>2806</v>
      </c>
      <c r="E316">
        <v>23210359</v>
      </c>
      <c r="F316" t="s">
        <v>405</v>
      </c>
      <c r="G316" t="s">
        <v>406</v>
      </c>
      <c r="H316">
        <v>600</v>
      </c>
      <c r="I316">
        <v>930</v>
      </c>
      <c r="J316">
        <v>558000</v>
      </c>
      <c r="K316" s="7" t="str">
        <f>IFERROR(IF(B316&lt;&gt;"", TEXT(VLOOKUP(B316, 'Expected Date'!A:B, 2, FALSE) + DATE(RIGHT(C316,2),MID(C316,4,2),LEFT(C316,2)), "dd/mm/yy"), ""), "")</f>
        <v>18/07/23</v>
      </c>
      <c r="L316" t="s">
        <v>38</v>
      </c>
      <c r="M316" t="s">
        <v>39</v>
      </c>
      <c r="N316" t="s">
        <v>364</v>
      </c>
      <c r="O316" t="s">
        <v>407</v>
      </c>
      <c r="P316">
        <v>23291036</v>
      </c>
      <c r="Q316" t="s">
        <v>405</v>
      </c>
      <c r="R316" t="s">
        <v>406</v>
      </c>
      <c r="S316">
        <v>180</v>
      </c>
      <c r="T316">
        <v>930</v>
      </c>
      <c r="U316">
        <v>167400</v>
      </c>
      <c r="V316" t="str">
        <f t="shared" si="89"/>
        <v>Dahej</v>
      </c>
      <c r="W316" t="str">
        <f>VLOOKUP(B316, Currency!A:B, 2, FALSE)</f>
        <v>INR</v>
      </c>
      <c r="X316" t="str">
        <f t="shared" si="89"/>
        <v>Accepted</v>
      </c>
      <c r="Y316">
        <f>IFERROR(VLOOKUP(N316, Payment_Terms!A:B, 2, FALSE), "Payment term not found!")</f>
        <v>30</v>
      </c>
      <c r="Z316" t="str">
        <f>IFERROR(VLOOKUP(R316, Item_Category!A:B, 2, FALSE), "Uncategorized")</f>
        <v>Pallets</v>
      </c>
      <c r="AA316" s="5">
        <f t="shared" si="74"/>
        <v>0</v>
      </c>
      <c r="AB316">
        <f t="shared" si="75"/>
        <v>5</v>
      </c>
      <c r="AC316" s="10">
        <f t="shared" si="76"/>
        <v>8</v>
      </c>
      <c r="AD316">
        <f t="shared" si="77"/>
        <v>2</v>
      </c>
      <c r="AE316" s="10">
        <f t="shared" si="78"/>
        <v>23</v>
      </c>
      <c r="AF316" s="5">
        <f t="shared" si="71"/>
        <v>1</v>
      </c>
      <c r="AG316" s="5">
        <f t="shared" si="72"/>
        <v>1</v>
      </c>
      <c r="AH316" s="5">
        <f t="shared" si="79"/>
        <v>0</v>
      </c>
      <c r="AI316">
        <f>IF(B316&lt;&gt;"", COUNTIFS($B$2:B316, B316), "")</f>
        <v>4</v>
      </c>
      <c r="AJ316">
        <f t="shared" si="80"/>
        <v>5</v>
      </c>
      <c r="AK316">
        <f t="shared" si="73"/>
        <v>5</v>
      </c>
      <c r="AL316">
        <f t="shared" si="81"/>
        <v>7</v>
      </c>
      <c r="AM316" t="str">
        <f t="shared" si="82"/>
        <v>July</v>
      </c>
      <c r="AN316">
        <f t="shared" si="83"/>
        <v>2023</v>
      </c>
      <c r="AO316" t="str">
        <f t="shared" si="84"/>
        <v>&gt;3</v>
      </c>
      <c r="AP316" t="str">
        <f t="shared" si="85"/>
        <v>&gt;3</v>
      </c>
      <c r="AQ316" t="str">
        <f t="shared" si="86"/>
        <v>&lt;=3</v>
      </c>
    </row>
    <row r="317" spans="1:43" x14ac:dyDescent="0.3">
      <c r="A317" t="s">
        <v>33</v>
      </c>
      <c r="B317" t="s">
        <v>371</v>
      </c>
      <c r="C317" t="s">
        <v>365</v>
      </c>
      <c r="D317">
        <v>3436</v>
      </c>
      <c r="E317">
        <v>23210463</v>
      </c>
      <c r="F317" t="s">
        <v>372</v>
      </c>
      <c r="G317" t="s">
        <v>373</v>
      </c>
      <c r="H317">
        <v>20</v>
      </c>
      <c r="I317">
        <v>1100</v>
      </c>
      <c r="J317">
        <v>22000</v>
      </c>
      <c r="K317" s="7" t="str">
        <f>IFERROR(IF(B317&lt;&gt;"", TEXT(VLOOKUP(B317, 'Expected Date'!A:B, 2, FALSE) + DATE(RIGHT(C317,2),MID(C317,4,2),LEFT(C317,2)), "dd/mm/yy"), ""), "")</f>
        <v>03/08/23</v>
      </c>
      <c r="L317" t="s">
        <v>38</v>
      </c>
      <c r="M317" t="s">
        <v>48</v>
      </c>
      <c r="N317" t="s">
        <v>342</v>
      </c>
      <c r="O317" t="s">
        <v>408</v>
      </c>
      <c r="P317">
        <v>23291048</v>
      </c>
      <c r="Q317" t="s">
        <v>372</v>
      </c>
      <c r="R317" t="s">
        <v>373</v>
      </c>
      <c r="S317">
        <v>10.130000000000001</v>
      </c>
      <c r="T317">
        <v>1100</v>
      </c>
      <c r="U317">
        <v>11143</v>
      </c>
      <c r="V317" t="str">
        <f t="shared" si="89"/>
        <v>Dahej</v>
      </c>
      <c r="W317" t="str">
        <f>VLOOKUP(B317, Currency!A:B, 2, FALSE)</f>
        <v>INR</v>
      </c>
      <c r="X317" t="str">
        <f t="shared" si="89"/>
        <v>Accepted</v>
      </c>
      <c r="Y317">
        <f>IFERROR(VLOOKUP(N317, Payment_Terms!A:B, 2, FALSE), "Payment term not found!")</f>
        <v>30</v>
      </c>
      <c r="Z317" t="str">
        <f>IFERROR(VLOOKUP(R317, Item_Category!A:B, 2, FALSE), "Uncategorized")</f>
        <v>HCL</v>
      </c>
      <c r="AA317" s="5">
        <f t="shared" si="74"/>
        <v>0</v>
      </c>
      <c r="AB317">
        <f t="shared" si="75"/>
        <v>5</v>
      </c>
      <c r="AC317" s="10">
        <f t="shared" si="76"/>
        <v>5</v>
      </c>
      <c r="AD317">
        <f t="shared" si="77"/>
        <v>3</v>
      </c>
      <c r="AE317" s="10">
        <f t="shared" si="78"/>
        <v>10</v>
      </c>
      <c r="AF317" s="5">
        <f t="shared" si="71"/>
        <v>1</v>
      </c>
      <c r="AG317" s="5">
        <f t="shared" si="72"/>
        <v>1</v>
      </c>
      <c r="AH317" s="5">
        <f t="shared" si="79"/>
        <v>0</v>
      </c>
      <c r="AI317">
        <f>IF(B317&lt;&gt;"", COUNTIFS($B$2:B317, B317), "")</f>
        <v>2</v>
      </c>
      <c r="AJ317">
        <f t="shared" si="80"/>
        <v>5</v>
      </c>
      <c r="AK317">
        <f t="shared" si="73"/>
        <v>5</v>
      </c>
      <c r="AL317">
        <f t="shared" si="81"/>
        <v>7</v>
      </c>
      <c r="AM317" t="str">
        <f t="shared" si="82"/>
        <v>July</v>
      </c>
      <c r="AN317">
        <f t="shared" si="83"/>
        <v>2023</v>
      </c>
      <c r="AO317" t="str">
        <f t="shared" si="84"/>
        <v>&gt;3</v>
      </c>
      <c r="AP317" t="str">
        <f t="shared" si="85"/>
        <v>&gt;3</v>
      </c>
      <c r="AQ317" t="str">
        <f t="shared" si="86"/>
        <v>&lt;=3</v>
      </c>
    </row>
    <row r="318" spans="1:43" x14ac:dyDescent="0.3">
      <c r="A318" t="s">
        <v>33</v>
      </c>
      <c r="B318" t="s">
        <v>409</v>
      </c>
      <c r="C318" t="s">
        <v>57</v>
      </c>
      <c r="D318">
        <v>3536</v>
      </c>
      <c r="E318">
        <v>23210490</v>
      </c>
      <c r="F318" t="s">
        <v>410</v>
      </c>
      <c r="G318" t="s">
        <v>411</v>
      </c>
      <c r="H318">
        <v>1000</v>
      </c>
      <c r="I318">
        <v>126</v>
      </c>
      <c r="J318">
        <v>126000</v>
      </c>
      <c r="K318" s="7" t="str">
        <f>IFERROR(IF(B318&lt;&gt;"", TEXT(VLOOKUP(B318, 'Expected Date'!A:B, 2, FALSE) + DATE(RIGHT(C318,2),MID(C318,4,2),LEFT(C318,2)), "dd/mm/yy"), ""), "")</f>
        <v>13/08/23</v>
      </c>
      <c r="L318" t="s">
        <v>68</v>
      </c>
      <c r="M318" t="s">
        <v>48</v>
      </c>
      <c r="N318" t="s">
        <v>364</v>
      </c>
      <c r="O318" t="s">
        <v>59</v>
      </c>
      <c r="P318">
        <v>23291032</v>
      </c>
      <c r="Q318" t="s">
        <v>410</v>
      </c>
      <c r="R318" t="s">
        <v>411</v>
      </c>
      <c r="S318">
        <v>900.45</v>
      </c>
      <c r="T318">
        <v>126</v>
      </c>
      <c r="U318">
        <v>113456.7</v>
      </c>
      <c r="V318" t="str">
        <f t="shared" si="89"/>
        <v>Dahej</v>
      </c>
      <c r="W318" t="str">
        <f>VLOOKUP(B318, Currency!A:B, 2, FALSE)</f>
        <v>INR</v>
      </c>
      <c r="X318" t="str">
        <f t="shared" si="89"/>
        <v>Accepted</v>
      </c>
      <c r="Y318">
        <f>IFERROR(VLOOKUP(N318, Payment_Terms!A:B, 2, FALSE), "Payment term not found!")</f>
        <v>30</v>
      </c>
      <c r="Z318" t="str">
        <f>IFERROR(VLOOKUP(R318, Item_Category!A:B, 2, FALSE), "Uncategorized")</f>
        <v>Wrapping 23</v>
      </c>
      <c r="AA318" s="5">
        <f t="shared" si="74"/>
        <v>9.9549999999999958E-2</v>
      </c>
      <c r="AB318">
        <f t="shared" si="75"/>
        <v>2</v>
      </c>
      <c r="AC318" s="10">
        <f t="shared" si="76"/>
        <v>-8</v>
      </c>
      <c r="AD318">
        <f t="shared" si="77"/>
        <v>5</v>
      </c>
      <c r="AE318" s="10">
        <f t="shared" si="78"/>
        <v>2</v>
      </c>
      <c r="AF318" s="5">
        <f t="shared" si="71"/>
        <v>1</v>
      </c>
      <c r="AG318" s="5">
        <f t="shared" si="72"/>
        <v>1</v>
      </c>
      <c r="AH318" s="5">
        <f t="shared" si="79"/>
        <v>0</v>
      </c>
      <c r="AI318">
        <f>IF(B318&lt;&gt;"", COUNTIFS($B$2:B318, B318), "")</f>
        <v>1</v>
      </c>
      <c r="AJ318">
        <f t="shared" si="80"/>
        <v>5</v>
      </c>
      <c r="AK318">
        <f t="shared" si="73"/>
        <v>5</v>
      </c>
      <c r="AL318">
        <f t="shared" si="81"/>
        <v>8</v>
      </c>
      <c r="AM318" t="str">
        <f t="shared" si="82"/>
        <v>August</v>
      </c>
      <c r="AN318">
        <f t="shared" si="83"/>
        <v>2023</v>
      </c>
      <c r="AO318" t="str">
        <f t="shared" si="84"/>
        <v>&gt;3</v>
      </c>
      <c r="AP318" t="str">
        <f t="shared" si="85"/>
        <v>&lt;=3</v>
      </c>
      <c r="AQ318" t="str">
        <f t="shared" si="86"/>
        <v>&gt;3</v>
      </c>
    </row>
    <row r="319" spans="1:43" x14ac:dyDescent="0.3">
      <c r="A319" t="s">
        <v>33</v>
      </c>
      <c r="B319" t="s">
        <v>382</v>
      </c>
      <c r="C319" t="s">
        <v>110</v>
      </c>
      <c r="D319">
        <v>2239</v>
      </c>
      <c r="E319">
        <v>23210227</v>
      </c>
      <c r="F319" t="s">
        <v>412</v>
      </c>
      <c r="G319" t="s">
        <v>413</v>
      </c>
      <c r="H319">
        <v>1000</v>
      </c>
      <c r="I319">
        <v>18</v>
      </c>
      <c r="J319">
        <v>18000</v>
      </c>
      <c r="K319" s="7" t="str">
        <f>IFERROR(IF(B319&lt;&gt;"", TEXT(VLOOKUP(B319, 'Expected Date'!A:B, 2, FALSE) + DATE(RIGHT(C319,2),MID(C319,4,2),LEFT(C319,2)), "dd/mm/yy"), ""), "")</f>
        <v>10/06/23</v>
      </c>
      <c r="L319" t="s">
        <v>38</v>
      </c>
      <c r="M319" t="s">
        <v>48</v>
      </c>
      <c r="N319" t="s">
        <v>342</v>
      </c>
      <c r="O319" t="s">
        <v>414</v>
      </c>
      <c r="P319">
        <v>23290434</v>
      </c>
      <c r="Q319" t="s">
        <v>412</v>
      </c>
      <c r="R319" t="s">
        <v>413</v>
      </c>
      <c r="S319">
        <v>1000</v>
      </c>
      <c r="T319">
        <v>18</v>
      </c>
      <c r="U319">
        <v>18000</v>
      </c>
      <c r="V319" t="str">
        <f t="shared" si="89"/>
        <v>Dahej</v>
      </c>
      <c r="W319" t="str">
        <f>VLOOKUP(B319, Currency!A:B, 2, FALSE)</f>
        <v>INR</v>
      </c>
      <c r="X319" t="str">
        <f t="shared" si="89"/>
        <v>Accepted</v>
      </c>
      <c r="Y319">
        <f>IFERROR(VLOOKUP(N319, Payment_Terms!A:B, 2, FALSE), "Payment term not found!")</f>
        <v>30</v>
      </c>
      <c r="Z319" t="str">
        <f>IFERROR(VLOOKUP(R319, Item_Category!A:B, 2, FALSE), "Uncategorized")</f>
        <v>NON FERRIC ALUM</v>
      </c>
      <c r="AA319" s="5">
        <f t="shared" si="74"/>
        <v>0</v>
      </c>
      <c r="AB319">
        <f t="shared" si="75"/>
        <v>5</v>
      </c>
      <c r="AC319" s="10">
        <f t="shared" si="76"/>
        <v>-9</v>
      </c>
      <c r="AD319">
        <f t="shared" si="77"/>
        <v>5</v>
      </c>
      <c r="AE319" s="10">
        <f t="shared" si="78"/>
        <v>1</v>
      </c>
      <c r="AF319" s="5">
        <f t="shared" si="71"/>
        <v>1</v>
      </c>
      <c r="AG319" s="5">
        <f t="shared" si="72"/>
        <v>1</v>
      </c>
      <c r="AH319" s="5">
        <f t="shared" si="79"/>
        <v>0</v>
      </c>
      <c r="AI319">
        <f>IF(B319&lt;&gt;"", COUNTIFS($B$2:B319, B319), "")</f>
        <v>2</v>
      </c>
      <c r="AJ319">
        <f t="shared" si="80"/>
        <v>5</v>
      </c>
      <c r="AK319">
        <f t="shared" si="73"/>
        <v>5</v>
      </c>
      <c r="AL319">
        <f t="shared" si="81"/>
        <v>5</v>
      </c>
      <c r="AM319" t="str">
        <f t="shared" si="82"/>
        <v>May</v>
      </c>
      <c r="AN319">
        <f t="shared" si="83"/>
        <v>2023</v>
      </c>
      <c r="AO319" t="str">
        <f t="shared" si="84"/>
        <v>&gt;3</v>
      </c>
      <c r="AP319" t="str">
        <f t="shared" si="85"/>
        <v>&gt;3</v>
      </c>
      <c r="AQ319" t="str">
        <f t="shared" si="86"/>
        <v>&gt;3</v>
      </c>
    </row>
    <row r="320" spans="1:43" x14ac:dyDescent="0.3">
      <c r="A320" t="s">
        <v>33</v>
      </c>
      <c r="B320" t="s">
        <v>409</v>
      </c>
      <c r="C320" t="s">
        <v>162</v>
      </c>
      <c r="D320">
        <v>2763</v>
      </c>
      <c r="E320">
        <v>23210345</v>
      </c>
      <c r="F320" t="s">
        <v>410</v>
      </c>
      <c r="G320" t="s">
        <v>411</v>
      </c>
      <c r="H320">
        <v>600</v>
      </c>
      <c r="I320">
        <v>123</v>
      </c>
      <c r="J320">
        <v>73800</v>
      </c>
      <c r="K320" s="7" t="str">
        <f>IFERROR(IF(B320&lt;&gt;"", TEXT(VLOOKUP(B320, 'Expected Date'!A:B, 2, FALSE) + DATE(RIGHT(C320,2),MID(C320,4,2),LEFT(C320,2)), "dd/mm/yy"), ""), "")</f>
        <v>09/07/23</v>
      </c>
      <c r="L320" t="s">
        <v>68</v>
      </c>
      <c r="M320" t="s">
        <v>48</v>
      </c>
      <c r="N320" t="s">
        <v>364</v>
      </c>
      <c r="O320" t="s">
        <v>89</v>
      </c>
      <c r="P320">
        <v>23290668</v>
      </c>
      <c r="Q320" t="s">
        <v>410</v>
      </c>
      <c r="R320" t="s">
        <v>411</v>
      </c>
      <c r="S320">
        <v>585.6</v>
      </c>
      <c r="T320">
        <v>123</v>
      </c>
      <c r="U320">
        <v>72028.800000000003</v>
      </c>
      <c r="V320" t="str">
        <f t="shared" si="89"/>
        <v>Dahej</v>
      </c>
      <c r="W320" t="str">
        <f>VLOOKUP(B320, Currency!A:B, 2, FALSE)</f>
        <v>INR</v>
      </c>
      <c r="X320" t="str">
        <f t="shared" si="89"/>
        <v>Accepted</v>
      </c>
      <c r="Y320">
        <f>IFERROR(VLOOKUP(N320, Payment_Terms!A:B, 2, FALSE), "Payment term not found!")</f>
        <v>30</v>
      </c>
      <c r="Z320" t="str">
        <f>IFERROR(VLOOKUP(R320, Item_Category!A:B, 2, FALSE), "Uncategorized")</f>
        <v>Wrapping 23</v>
      </c>
      <c r="AA320" s="5">
        <f t="shared" si="74"/>
        <v>2.3999999999999962E-2</v>
      </c>
      <c r="AB320">
        <f t="shared" si="75"/>
        <v>3</v>
      </c>
      <c r="AC320" s="10">
        <f t="shared" si="76"/>
        <v>-4</v>
      </c>
      <c r="AD320">
        <f t="shared" si="77"/>
        <v>5</v>
      </c>
      <c r="AE320" s="10">
        <f t="shared" si="78"/>
        <v>6</v>
      </c>
      <c r="AF320" s="5">
        <f t="shared" si="71"/>
        <v>1</v>
      </c>
      <c r="AG320" s="5">
        <f t="shared" si="72"/>
        <v>1</v>
      </c>
      <c r="AH320" s="5">
        <f t="shared" si="79"/>
        <v>0</v>
      </c>
      <c r="AI320">
        <f>IF(B320&lt;&gt;"", COUNTIFS($B$2:B320, B320), "")</f>
        <v>2</v>
      </c>
      <c r="AJ320">
        <f t="shared" si="80"/>
        <v>5</v>
      </c>
      <c r="AK320">
        <f t="shared" si="73"/>
        <v>5</v>
      </c>
      <c r="AL320">
        <f t="shared" si="81"/>
        <v>6</v>
      </c>
      <c r="AM320" t="str">
        <f t="shared" si="82"/>
        <v>June</v>
      </c>
      <c r="AN320">
        <f t="shared" si="83"/>
        <v>2023</v>
      </c>
      <c r="AO320" t="str">
        <f t="shared" si="84"/>
        <v>&gt;3</v>
      </c>
      <c r="AP320" t="str">
        <f t="shared" si="85"/>
        <v>&lt;=3</v>
      </c>
      <c r="AQ320" t="str">
        <f t="shared" si="86"/>
        <v>&gt;3</v>
      </c>
    </row>
    <row r="321" spans="1:43" x14ac:dyDescent="0.3">
      <c r="A321" t="s">
        <v>33</v>
      </c>
      <c r="B321" t="s">
        <v>122</v>
      </c>
      <c r="C321" t="s">
        <v>192</v>
      </c>
      <c r="D321">
        <v>3695</v>
      </c>
      <c r="E321">
        <v>23210540</v>
      </c>
      <c r="F321" t="s">
        <v>405</v>
      </c>
      <c r="G321" t="s">
        <v>406</v>
      </c>
      <c r="H321">
        <v>600</v>
      </c>
      <c r="I321">
        <v>930</v>
      </c>
      <c r="J321">
        <v>558000</v>
      </c>
      <c r="K321" s="7" t="str">
        <f>IFERROR(IF(B321&lt;&gt;"", TEXT(VLOOKUP(B321, 'Expected Date'!A:B, 2, FALSE) + DATE(RIGHT(C321,2),MID(C321,4,2),LEFT(C321,2)), "dd/mm/yy"), ""), "")</f>
        <v>29/08/23</v>
      </c>
      <c r="L321" t="s">
        <v>38</v>
      </c>
      <c r="M321" t="s">
        <v>39</v>
      </c>
      <c r="N321" t="s">
        <v>364</v>
      </c>
      <c r="O321" t="s">
        <v>394</v>
      </c>
      <c r="P321">
        <v>23291128</v>
      </c>
      <c r="Q321" t="s">
        <v>405</v>
      </c>
      <c r="R321" t="s">
        <v>406</v>
      </c>
      <c r="S321">
        <v>80</v>
      </c>
      <c r="T321">
        <v>930</v>
      </c>
      <c r="U321">
        <v>74400</v>
      </c>
      <c r="V321" t="str">
        <f t="shared" si="89"/>
        <v>Dahej</v>
      </c>
      <c r="W321" t="str">
        <f>VLOOKUP(B321, Currency!A:B, 2, FALSE)</f>
        <v>INR</v>
      </c>
      <c r="X321" t="str">
        <f t="shared" si="89"/>
        <v>Accepted</v>
      </c>
      <c r="Y321">
        <f>IFERROR(VLOOKUP(N321, Payment_Terms!A:B, 2, FALSE), "Payment term not found!")</f>
        <v>30</v>
      </c>
      <c r="Z321" t="str">
        <f>IFERROR(VLOOKUP(R321, Item_Category!A:B, 2, FALSE), "Uncategorized")</f>
        <v>Pallets</v>
      </c>
      <c r="AA321" s="5">
        <f t="shared" si="74"/>
        <v>0</v>
      </c>
      <c r="AB321">
        <f t="shared" si="75"/>
        <v>5</v>
      </c>
      <c r="AC321" s="10">
        <f t="shared" si="76"/>
        <v>-12</v>
      </c>
      <c r="AD321">
        <f t="shared" si="77"/>
        <v>5</v>
      </c>
      <c r="AE321" s="10">
        <f t="shared" si="78"/>
        <v>3</v>
      </c>
      <c r="AF321" s="5">
        <f t="shared" si="71"/>
        <v>1</v>
      </c>
      <c r="AG321" s="5">
        <f t="shared" si="72"/>
        <v>1</v>
      </c>
      <c r="AH321" s="5">
        <f t="shared" si="79"/>
        <v>0</v>
      </c>
      <c r="AI321">
        <f>IF(B321&lt;&gt;"", COUNTIFS($B$2:B321, B321), "")</f>
        <v>5</v>
      </c>
      <c r="AJ321">
        <f t="shared" si="80"/>
        <v>5</v>
      </c>
      <c r="AK321">
        <f t="shared" si="73"/>
        <v>5</v>
      </c>
      <c r="AL321">
        <f t="shared" si="81"/>
        <v>8</v>
      </c>
      <c r="AM321" t="str">
        <f t="shared" si="82"/>
        <v>August</v>
      </c>
      <c r="AN321">
        <f t="shared" si="83"/>
        <v>2023</v>
      </c>
      <c r="AO321" t="str">
        <f t="shared" si="84"/>
        <v>&gt;3</v>
      </c>
      <c r="AP321" t="str">
        <f t="shared" si="85"/>
        <v>&gt;3</v>
      </c>
      <c r="AQ321" t="str">
        <f t="shared" si="86"/>
        <v>&gt;3</v>
      </c>
    </row>
    <row r="322" spans="1:43" x14ac:dyDescent="0.3">
      <c r="A322" t="s">
        <v>33</v>
      </c>
      <c r="B322" t="s">
        <v>122</v>
      </c>
      <c r="C322" t="s">
        <v>404</v>
      </c>
      <c r="D322">
        <v>1611</v>
      </c>
      <c r="E322">
        <v>23210100</v>
      </c>
      <c r="F322" t="s">
        <v>405</v>
      </c>
      <c r="G322" t="s">
        <v>406</v>
      </c>
      <c r="H322">
        <v>600</v>
      </c>
      <c r="I322">
        <v>930</v>
      </c>
      <c r="J322">
        <v>558000</v>
      </c>
      <c r="K322" s="7" t="str">
        <f>IFERROR(IF(B322&lt;&gt;"", TEXT(VLOOKUP(B322, 'Expected Date'!A:B, 2, FALSE) + DATE(RIGHT(C322,2),MID(C322,4,2),LEFT(C322,2)), "dd/mm/yy"), ""), "")</f>
        <v>13/05/23</v>
      </c>
      <c r="L322" t="s">
        <v>38</v>
      </c>
      <c r="M322" t="s">
        <v>39</v>
      </c>
      <c r="N322" t="s">
        <v>364</v>
      </c>
      <c r="O322" t="s">
        <v>415</v>
      </c>
      <c r="P322">
        <v>23290359</v>
      </c>
      <c r="Q322" t="s">
        <v>405</v>
      </c>
      <c r="R322" t="s">
        <v>406</v>
      </c>
      <c r="S322">
        <v>140</v>
      </c>
      <c r="T322">
        <v>930</v>
      </c>
      <c r="U322">
        <v>130200</v>
      </c>
      <c r="V322" t="str">
        <f t="shared" si="89"/>
        <v>Dahej</v>
      </c>
      <c r="W322" t="str">
        <f>VLOOKUP(B322, Currency!A:B, 2, FALSE)</f>
        <v>INR</v>
      </c>
      <c r="X322" t="str">
        <f t="shared" si="89"/>
        <v>Accepted</v>
      </c>
      <c r="Y322">
        <f>IFERROR(VLOOKUP(N322, Payment_Terms!A:B, 2, FALSE), "Payment term not found!")</f>
        <v>30</v>
      </c>
      <c r="Z322" t="str">
        <f>IFERROR(VLOOKUP(R322, Item_Category!A:B, 2, FALSE), "Uncategorized")</f>
        <v>Pallets</v>
      </c>
      <c r="AA322" s="5">
        <f t="shared" si="74"/>
        <v>0</v>
      </c>
      <c r="AB322">
        <f t="shared" si="75"/>
        <v>5</v>
      </c>
      <c r="AC322" s="10">
        <f t="shared" si="76"/>
        <v>8</v>
      </c>
      <c r="AD322">
        <f t="shared" si="77"/>
        <v>2</v>
      </c>
      <c r="AE322" s="10">
        <f t="shared" si="78"/>
        <v>23</v>
      </c>
      <c r="AF322" s="5">
        <f t="shared" ref="AF322:AF385" si="90">IF(X322="Accepted",1,0)</f>
        <v>1</v>
      </c>
      <c r="AG322" s="5">
        <f t="shared" ref="AG322:AG385" si="91">ROUNDUP((SUMIFS(S:S, B:B, B322, X:X, "Accepted")/SUMIF(B:B,B322,S:S)),2)</f>
        <v>1</v>
      </c>
      <c r="AH322" s="5">
        <f t="shared" si="79"/>
        <v>0</v>
      </c>
      <c r="AI322">
        <f>IF(B322&lt;&gt;"", COUNTIFS($B$2:B322, B322), "")</f>
        <v>6</v>
      </c>
      <c r="AJ322">
        <f t="shared" si="80"/>
        <v>5</v>
      </c>
      <c r="AK322">
        <f t="shared" ref="AK322:AK385" si="92">_xlfn.CEILING.MATH(((0.4*AJ322)+(0.3*AD322)+(0.3*AB322)),1)</f>
        <v>5</v>
      </c>
      <c r="AL322">
        <f t="shared" si="81"/>
        <v>4</v>
      </c>
      <c r="AM322" t="str">
        <f t="shared" si="82"/>
        <v>April</v>
      </c>
      <c r="AN322">
        <f t="shared" si="83"/>
        <v>2023</v>
      </c>
      <c r="AO322" t="str">
        <f t="shared" si="84"/>
        <v>&gt;3</v>
      </c>
      <c r="AP322" t="str">
        <f t="shared" si="85"/>
        <v>&gt;3</v>
      </c>
      <c r="AQ322" t="str">
        <f t="shared" si="86"/>
        <v>&lt;=3</v>
      </c>
    </row>
    <row r="323" spans="1:43" x14ac:dyDescent="0.3">
      <c r="A323" t="s">
        <v>33</v>
      </c>
      <c r="B323" t="s">
        <v>122</v>
      </c>
      <c r="C323" t="s">
        <v>416</v>
      </c>
      <c r="D323">
        <v>2054</v>
      </c>
      <c r="E323">
        <v>23210173</v>
      </c>
      <c r="F323" t="s">
        <v>405</v>
      </c>
      <c r="G323" t="s">
        <v>406</v>
      </c>
      <c r="H323">
        <v>600</v>
      </c>
      <c r="I323">
        <v>930</v>
      </c>
      <c r="J323">
        <v>558000</v>
      </c>
      <c r="K323" s="7" t="str">
        <f>IFERROR(IF(B323&lt;&gt;"", TEXT(VLOOKUP(B323, 'Expected Date'!A:B, 2, FALSE) + DATE(RIGHT(C323,2),MID(C323,4,2),LEFT(C323,2)), "dd/mm/yy"), ""), "")</f>
        <v>04/06/23</v>
      </c>
      <c r="L323" t="s">
        <v>38</v>
      </c>
      <c r="M323" t="s">
        <v>39</v>
      </c>
      <c r="N323" t="s">
        <v>364</v>
      </c>
      <c r="O323" t="s">
        <v>415</v>
      </c>
      <c r="P323">
        <v>23290359</v>
      </c>
      <c r="Q323" t="s">
        <v>405</v>
      </c>
      <c r="R323" t="s">
        <v>406</v>
      </c>
      <c r="S323">
        <v>40</v>
      </c>
      <c r="T323">
        <v>930</v>
      </c>
      <c r="U323">
        <v>37200</v>
      </c>
      <c r="V323" t="str">
        <f t="shared" si="89"/>
        <v>Dahej</v>
      </c>
      <c r="W323" t="str">
        <f>VLOOKUP(B323, Currency!A:B, 2, FALSE)</f>
        <v>INR</v>
      </c>
      <c r="X323" t="str">
        <f t="shared" si="89"/>
        <v>Accepted</v>
      </c>
      <c r="Y323">
        <f>IFERROR(VLOOKUP(N323, Payment_Terms!A:B, 2, FALSE), "Payment term not found!")</f>
        <v>30</v>
      </c>
      <c r="Z323" t="str">
        <f>IFERROR(VLOOKUP(R323, Item_Category!A:B, 2, FALSE), "Uncategorized")</f>
        <v>Pallets</v>
      </c>
      <c r="AA323" s="5">
        <f t="shared" ref="AA323:AA386" si="93">IFERROR(IF(AND(E323&lt;&gt;"", G323&lt;&gt;""), MAX(0, (H323-SUMIFS(S:S, E:E, E323, G:G, G323))/H323), ""), (H323-S323)/H323)</f>
        <v>0</v>
      </c>
      <c r="AB323">
        <f t="shared" ref="AB323:AB386" si="94">IF(AA323&lt;=0%,5,(IF(AND(AA323&gt;0%,AA323&lt;=2%),4,IF(AND(AA323&gt;2%,AA323&lt;=5%),3,IF(AND(AA323&gt;5%,AA323&lt;10%),2,1)))))</f>
        <v>5</v>
      </c>
      <c r="AC323" s="10">
        <f t="shared" ref="AC323:AC386" si="95">DATE(RIGHT(O323,2),MID(O323,4,2),LEFT(O323,2)) - DATE(RIGHT(K323,2),MID(K323,4,2),LEFT(K323,2))</f>
        <v>-14</v>
      </c>
      <c r="AD323">
        <f t="shared" ref="AD323:AD386" si="96">IF(AC323 &lt;= 2, 5, IF(AC323 &lt;= 4, 4, IF(AC323 &lt;= 7, 3, IF(AC323&lt;=10,2,1))))</f>
        <v>5</v>
      </c>
      <c r="AE323" s="10">
        <f t="shared" ref="AE323:AE386" si="97">ABS(DATE(RIGHT(O323,2),MID(O323,4,2),LEFT(O323,2)) - DATE(RIGHT(C323,2),MID(C323,4,2),LEFT(C323,2)))</f>
        <v>1</v>
      </c>
      <c r="AF323" s="5">
        <f t="shared" si="90"/>
        <v>1</v>
      </c>
      <c r="AG323" s="5">
        <f t="shared" si="91"/>
        <v>1</v>
      </c>
      <c r="AH323" s="5">
        <f t="shared" ref="AH323:AH386" si="98">ROUNDUP(ABS(100%-AG323),2)</f>
        <v>0</v>
      </c>
      <c r="AI323">
        <f>IF(B323&lt;&gt;"", COUNTIFS($B$2:B323, B323), "")</f>
        <v>7</v>
      </c>
      <c r="AJ323">
        <f t="shared" ref="AJ323:AJ386" si="99">IF(AH323=0%,5,IF(AND(AH323&gt;0%,AH323&lt;=2%),4,IF(AND(AH323&gt;2%,AH323&lt;=5%),3,IF(AND(AH323&gt;5%,AH323&lt;10%),2,1))))</f>
        <v>5</v>
      </c>
      <c r="AK323">
        <f t="shared" si="92"/>
        <v>5</v>
      </c>
      <c r="AL323">
        <f t="shared" ref="AL323:AL386" si="100">MONTH(DATE(RIGHT(C323,2),MID(C323,4,2),LEFT(C323,2)))</f>
        <v>5</v>
      </c>
      <c r="AM323" t="str">
        <f t="shared" ref="AM323:AM386" si="101">TEXT(DATE(RIGHT(C323,2),MID(C323,4,2),LEFT(C323,2)),"mmmm")</f>
        <v>May</v>
      </c>
      <c r="AN323">
        <f t="shared" ref="AN323:AN386" si="102">YEAR(DATE(VALUE(MID(C323,7,2))+2000, MID(C323,4,2), MID(C323,1,2)))</f>
        <v>2023</v>
      </c>
      <c r="AO323" t="str">
        <f t="shared" ref="AO323:AO386" si="103">IF(AJ323&lt;=3,"&lt;=3","&gt;3")</f>
        <v>&gt;3</v>
      </c>
      <c r="AP323" t="str">
        <f t="shared" ref="AP323:AP386" si="104">IF(AB323&lt;=3,"&lt;=3","&gt;3")</f>
        <v>&gt;3</v>
      </c>
      <c r="AQ323" t="str">
        <f t="shared" ref="AQ323:AQ386" si="105">IF(AD323&lt;=3,"&lt;=3","&gt;3")</f>
        <v>&gt;3</v>
      </c>
    </row>
    <row r="324" spans="1:43" x14ac:dyDescent="0.3">
      <c r="A324" t="s">
        <v>33</v>
      </c>
      <c r="B324" t="s">
        <v>366</v>
      </c>
      <c r="C324" t="s">
        <v>367</v>
      </c>
      <c r="D324">
        <v>2422</v>
      </c>
      <c r="E324">
        <v>23210274</v>
      </c>
      <c r="F324" t="s">
        <v>392</v>
      </c>
      <c r="G324" t="s">
        <v>393</v>
      </c>
      <c r="H324">
        <v>150</v>
      </c>
      <c r="I324">
        <v>11000</v>
      </c>
      <c r="J324">
        <v>1650000</v>
      </c>
      <c r="K324" s="7" t="str">
        <f>IFERROR(IF(B324&lt;&gt;"", TEXT(VLOOKUP(B324, 'Expected Date'!A:B, 2, FALSE) + DATE(RIGHT(C324,2),MID(C324,4,2),LEFT(C324,2)), "dd/mm/yy"), ""), "")</f>
        <v>31/05/23</v>
      </c>
      <c r="L324" t="s">
        <v>68</v>
      </c>
      <c r="M324" t="s">
        <v>48</v>
      </c>
      <c r="N324" t="s">
        <v>370</v>
      </c>
      <c r="O324" t="s">
        <v>134</v>
      </c>
      <c r="P324">
        <v>23290505</v>
      </c>
      <c r="Q324" t="s">
        <v>392</v>
      </c>
      <c r="R324" t="s">
        <v>393</v>
      </c>
      <c r="S324">
        <v>28.85</v>
      </c>
      <c r="T324">
        <v>11000</v>
      </c>
      <c r="U324">
        <v>317350</v>
      </c>
      <c r="V324" t="str">
        <f t="shared" si="89"/>
        <v>Dahej</v>
      </c>
      <c r="W324" t="str">
        <f>VLOOKUP(B324, Currency!A:B, 2, FALSE)</f>
        <v>INR</v>
      </c>
      <c r="X324" t="str">
        <f t="shared" si="89"/>
        <v>Accepted</v>
      </c>
      <c r="Y324">
        <f>IFERROR(VLOOKUP(N324, Payment_Terms!A:B, 2, FALSE), "Payment term not found!")</f>
        <v>15</v>
      </c>
      <c r="Z324" t="str">
        <f>IFERROR(VLOOKUP(R324, Item_Category!A:B, 2, FALSE), "Uncategorized")</f>
        <v>Coal materials</v>
      </c>
      <c r="AA324" s="5">
        <f t="shared" si="93"/>
        <v>0</v>
      </c>
      <c r="AB324">
        <f t="shared" si="94"/>
        <v>5</v>
      </c>
      <c r="AC324" s="10">
        <f t="shared" si="95"/>
        <v>8</v>
      </c>
      <c r="AD324">
        <f t="shared" si="96"/>
        <v>2</v>
      </c>
      <c r="AE324" s="10">
        <f t="shared" si="97"/>
        <v>10</v>
      </c>
      <c r="AF324" s="5">
        <f t="shared" si="90"/>
        <v>1</v>
      </c>
      <c r="AG324" s="5">
        <f t="shared" si="91"/>
        <v>1</v>
      </c>
      <c r="AH324" s="5">
        <f t="shared" si="98"/>
        <v>0</v>
      </c>
      <c r="AI324">
        <f>IF(B324&lt;&gt;"", COUNTIFS($B$2:B324, B324), "")</f>
        <v>12</v>
      </c>
      <c r="AJ324">
        <f t="shared" si="99"/>
        <v>5</v>
      </c>
      <c r="AK324">
        <f t="shared" si="92"/>
        <v>5</v>
      </c>
      <c r="AL324">
        <f t="shared" si="100"/>
        <v>5</v>
      </c>
      <c r="AM324" t="str">
        <f t="shared" si="101"/>
        <v>May</v>
      </c>
      <c r="AN324">
        <f t="shared" si="102"/>
        <v>2023</v>
      </c>
      <c r="AO324" t="str">
        <f t="shared" si="103"/>
        <v>&gt;3</v>
      </c>
      <c r="AP324" t="str">
        <f t="shared" si="104"/>
        <v>&gt;3</v>
      </c>
      <c r="AQ324" t="str">
        <f t="shared" si="105"/>
        <v>&lt;=3</v>
      </c>
    </row>
    <row r="325" spans="1:43" x14ac:dyDescent="0.3">
      <c r="A325" t="s">
        <v>33</v>
      </c>
      <c r="B325" t="s">
        <v>366</v>
      </c>
      <c r="C325" t="s">
        <v>367</v>
      </c>
      <c r="D325">
        <v>2422</v>
      </c>
      <c r="E325">
        <v>23210274</v>
      </c>
      <c r="F325" t="s">
        <v>392</v>
      </c>
      <c r="G325" t="s">
        <v>393</v>
      </c>
      <c r="H325">
        <v>150</v>
      </c>
      <c r="I325">
        <v>11000</v>
      </c>
      <c r="J325">
        <v>1650000</v>
      </c>
      <c r="K325" s="7" t="str">
        <f>IFERROR(IF(B325&lt;&gt;"", TEXT(VLOOKUP(B325, 'Expected Date'!A:B, 2, FALSE) + DATE(RIGHT(C325,2),MID(C325,4,2),LEFT(C325,2)), "dd/mm/yy"), ""), "")</f>
        <v>31/05/23</v>
      </c>
      <c r="L325" t="s">
        <v>68</v>
      </c>
      <c r="M325" t="s">
        <v>48</v>
      </c>
      <c r="N325" t="s">
        <v>370</v>
      </c>
      <c r="O325" t="s">
        <v>45</v>
      </c>
      <c r="P325">
        <v>23290525</v>
      </c>
      <c r="Q325" t="s">
        <v>392</v>
      </c>
      <c r="R325" t="s">
        <v>393</v>
      </c>
      <c r="S325">
        <v>30.6</v>
      </c>
      <c r="T325">
        <v>11000</v>
      </c>
      <c r="U325">
        <v>336600</v>
      </c>
      <c r="V325" t="str">
        <f t="shared" si="89"/>
        <v>Dahej</v>
      </c>
      <c r="W325" t="str">
        <f>VLOOKUP(B325, Currency!A:B, 2, FALSE)</f>
        <v>INR</v>
      </c>
      <c r="X325" t="str">
        <f t="shared" si="89"/>
        <v>Accepted</v>
      </c>
      <c r="Y325">
        <f>IFERROR(VLOOKUP(N325, Payment_Terms!A:B, 2, FALSE), "Payment term not found!")</f>
        <v>15</v>
      </c>
      <c r="Z325" t="str">
        <f>IFERROR(VLOOKUP(R325, Item_Category!A:B, 2, FALSE), "Uncategorized")</f>
        <v>Coal materials</v>
      </c>
      <c r="AA325" s="5">
        <f t="shared" si="93"/>
        <v>0</v>
      </c>
      <c r="AB325">
        <f t="shared" si="94"/>
        <v>5</v>
      </c>
      <c r="AC325" s="10">
        <f t="shared" si="95"/>
        <v>17</v>
      </c>
      <c r="AD325">
        <f t="shared" si="96"/>
        <v>1</v>
      </c>
      <c r="AE325" s="10">
        <f t="shared" si="97"/>
        <v>19</v>
      </c>
      <c r="AF325" s="5">
        <f t="shared" si="90"/>
        <v>1</v>
      </c>
      <c r="AG325" s="5">
        <f t="shared" si="91"/>
        <v>1</v>
      </c>
      <c r="AH325" s="5">
        <f t="shared" si="98"/>
        <v>0</v>
      </c>
      <c r="AI325">
        <f>IF(B325&lt;&gt;"", COUNTIFS($B$2:B325, B325), "")</f>
        <v>13</v>
      </c>
      <c r="AJ325">
        <f t="shared" si="99"/>
        <v>5</v>
      </c>
      <c r="AK325">
        <f t="shared" si="92"/>
        <v>4</v>
      </c>
      <c r="AL325">
        <f t="shared" si="100"/>
        <v>5</v>
      </c>
      <c r="AM325" t="str">
        <f t="shared" si="101"/>
        <v>May</v>
      </c>
      <c r="AN325">
        <f t="shared" si="102"/>
        <v>2023</v>
      </c>
      <c r="AO325" t="str">
        <f t="shared" si="103"/>
        <v>&gt;3</v>
      </c>
      <c r="AP325" t="str">
        <f t="shared" si="104"/>
        <v>&gt;3</v>
      </c>
      <c r="AQ325" t="str">
        <f t="shared" si="105"/>
        <v>&lt;=3</v>
      </c>
    </row>
    <row r="326" spans="1:43" x14ac:dyDescent="0.3">
      <c r="A326" t="s">
        <v>33</v>
      </c>
      <c r="B326" t="s">
        <v>366</v>
      </c>
      <c r="C326" t="s">
        <v>378</v>
      </c>
      <c r="D326">
        <v>1347</v>
      </c>
      <c r="E326">
        <v>23210035</v>
      </c>
      <c r="F326" t="s">
        <v>368</v>
      </c>
      <c r="G326" t="s">
        <v>369</v>
      </c>
      <c r="H326">
        <v>100000</v>
      </c>
      <c r="I326">
        <v>8.6</v>
      </c>
      <c r="J326">
        <v>860000</v>
      </c>
      <c r="K326" s="7" t="str">
        <f>IFERROR(IF(B326&lt;&gt;"", TEXT(VLOOKUP(B326, 'Expected Date'!A:B, 2, FALSE) + DATE(RIGHT(C326,2),MID(C326,4,2),LEFT(C326,2)), "dd/mm/yy"), ""), "")</f>
        <v>17/04/23</v>
      </c>
      <c r="L326" t="s">
        <v>38</v>
      </c>
      <c r="M326" t="s">
        <v>48</v>
      </c>
      <c r="N326" t="s">
        <v>370</v>
      </c>
      <c r="O326" t="s">
        <v>417</v>
      </c>
      <c r="P326">
        <v>23290088</v>
      </c>
      <c r="Q326" t="s">
        <v>368</v>
      </c>
      <c r="R326" t="s">
        <v>369</v>
      </c>
      <c r="S326">
        <v>33745</v>
      </c>
      <c r="T326">
        <v>8.6</v>
      </c>
      <c r="U326">
        <v>290207</v>
      </c>
      <c r="V326" t="str">
        <f t="shared" si="89"/>
        <v>Dahej</v>
      </c>
      <c r="W326" t="str">
        <f>VLOOKUP(B326, Currency!A:B, 2, FALSE)</f>
        <v>INR</v>
      </c>
      <c r="X326" t="str">
        <f t="shared" si="89"/>
        <v>Accepted</v>
      </c>
      <c r="Y326">
        <f>IFERROR(VLOOKUP(N326, Payment_Terms!A:B, 2, FALSE), "Payment term not found!")</f>
        <v>15</v>
      </c>
      <c r="Z326" t="str">
        <f>IFERROR(VLOOKUP(R326, Item_Category!A:B, 2, FALSE), "Uncategorized")</f>
        <v>Coal materials</v>
      </c>
      <c r="AA326" s="5">
        <f t="shared" si="93"/>
        <v>0</v>
      </c>
      <c r="AB326">
        <f t="shared" si="94"/>
        <v>5</v>
      </c>
      <c r="AC326" s="10">
        <f t="shared" si="95"/>
        <v>-1</v>
      </c>
      <c r="AD326">
        <f t="shared" si="96"/>
        <v>5</v>
      </c>
      <c r="AE326" s="10">
        <f t="shared" si="97"/>
        <v>1</v>
      </c>
      <c r="AF326" s="5">
        <f t="shared" si="90"/>
        <v>1</v>
      </c>
      <c r="AG326" s="5">
        <f t="shared" si="91"/>
        <v>1</v>
      </c>
      <c r="AH326" s="5">
        <f t="shared" si="98"/>
        <v>0</v>
      </c>
      <c r="AI326">
        <f>IF(B326&lt;&gt;"", COUNTIFS($B$2:B326, B326), "")</f>
        <v>14</v>
      </c>
      <c r="AJ326">
        <f t="shared" si="99"/>
        <v>5</v>
      </c>
      <c r="AK326">
        <f t="shared" si="92"/>
        <v>5</v>
      </c>
      <c r="AL326">
        <f t="shared" si="100"/>
        <v>4</v>
      </c>
      <c r="AM326" t="str">
        <f t="shared" si="101"/>
        <v>April</v>
      </c>
      <c r="AN326">
        <f t="shared" si="102"/>
        <v>2023</v>
      </c>
      <c r="AO326" t="str">
        <f t="shared" si="103"/>
        <v>&gt;3</v>
      </c>
      <c r="AP326" t="str">
        <f t="shared" si="104"/>
        <v>&gt;3</v>
      </c>
      <c r="AQ326" t="str">
        <f t="shared" si="105"/>
        <v>&gt;3</v>
      </c>
    </row>
    <row r="327" spans="1:43" x14ac:dyDescent="0.3">
      <c r="A327" t="s">
        <v>33</v>
      </c>
      <c r="B327" t="s">
        <v>366</v>
      </c>
      <c r="C327" t="s">
        <v>378</v>
      </c>
      <c r="D327">
        <v>1347</v>
      </c>
      <c r="E327">
        <v>23210035</v>
      </c>
      <c r="F327" t="s">
        <v>368</v>
      </c>
      <c r="G327" t="s">
        <v>369</v>
      </c>
      <c r="H327">
        <v>100000</v>
      </c>
      <c r="I327">
        <v>8.6</v>
      </c>
      <c r="J327">
        <v>860000</v>
      </c>
      <c r="K327" s="7" t="str">
        <f>IFERROR(IF(B327&lt;&gt;"", TEXT(VLOOKUP(B327, 'Expected Date'!A:B, 2, FALSE) + DATE(RIGHT(C327,2),MID(C327,4,2),LEFT(C327,2)), "dd/mm/yy"), ""), "")</f>
        <v>17/04/23</v>
      </c>
      <c r="L327" t="s">
        <v>38</v>
      </c>
      <c r="M327" t="s">
        <v>48</v>
      </c>
      <c r="N327" t="s">
        <v>370</v>
      </c>
      <c r="O327" t="s">
        <v>124</v>
      </c>
      <c r="P327">
        <v>23290090</v>
      </c>
      <c r="Q327" t="s">
        <v>368</v>
      </c>
      <c r="R327" t="s">
        <v>369</v>
      </c>
      <c r="S327">
        <v>33935</v>
      </c>
      <c r="T327">
        <v>8.6</v>
      </c>
      <c r="U327">
        <v>291841</v>
      </c>
      <c r="V327" t="str">
        <f t="shared" si="89"/>
        <v>Dahej</v>
      </c>
      <c r="W327" t="str">
        <f>VLOOKUP(B327, Currency!A:B, 2, FALSE)</f>
        <v>INR</v>
      </c>
      <c r="X327" t="str">
        <f t="shared" si="89"/>
        <v>Accepted</v>
      </c>
      <c r="Y327">
        <f>IFERROR(VLOOKUP(N327, Payment_Terms!A:B, 2, FALSE), "Payment term not found!")</f>
        <v>15</v>
      </c>
      <c r="Z327" t="str">
        <f>IFERROR(VLOOKUP(R327, Item_Category!A:B, 2, FALSE), "Uncategorized")</f>
        <v>Coal materials</v>
      </c>
      <c r="AA327" s="5">
        <f t="shared" si="93"/>
        <v>0</v>
      </c>
      <c r="AB327">
        <f t="shared" si="94"/>
        <v>5</v>
      </c>
      <c r="AC327" s="10">
        <f t="shared" si="95"/>
        <v>1</v>
      </c>
      <c r="AD327">
        <f t="shared" si="96"/>
        <v>5</v>
      </c>
      <c r="AE327" s="10">
        <f t="shared" si="97"/>
        <v>3</v>
      </c>
      <c r="AF327" s="5">
        <f t="shared" si="90"/>
        <v>1</v>
      </c>
      <c r="AG327" s="5">
        <f t="shared" si="91"/>
        <v>1</v>
      </c>
      <c r="AH327" s="5">
        <f t="shared" si="98"/>
        <v>0</v>
      </c>
      <c r="AI327">
        <f>IF(B327&lt;&gt;"", COUNTIFS($B$2:B327, B327), "")</f>
        <v>15</v>
      </c>
      <c r="AJ327">
        <f t="shared" si="99"/>
        <v>5</v>
      </c>
      <c r="AK327">
        <f t="shared" si="92"/>
        <v>5</v>
      </c>
      <c r="AL327">
        <f t="shared" si="100"/>
        <v>4</v>
      </c>
      <c r="AM327" t="str">
        <f t="shared" si="101"/>
        <v>April</v>
      </c>
      <c r="AN327">
        <f t="shared" si="102"/>
        <v>2023</v>
      </c>
      <c r="AO327" t="str">
        <f t="shared" si="103"/>
        <v>&gt;3</v>
      </c>
      <c r="AP327" t="str">
        <f t="shared" si="104"/>
        <v>&gt;3</v>
      </c>
      <c r="AQ327" t="str">
        <f t="shared" si="105"/>
        <v>&gt;3</v>
      </c>
    </row>
    <row r="328" spans="1:43" x14ac:dyDescent="0.3">
      <c r="A328" t="s">
        <v>33</v>
      </c>
      <c r="B328" t="s">
        <v>353</v>
      </c>
      <c r="C328" t="s">
        <v>94</v>
      </c>
      <c r="D328">
        <v>3573</v>
      </c>
      <c r="E328">
        <v>23210500</v>
      </c>
      <c r="F328" t="s">
        <v>355</v>
      </c>
      <c r="G328" t="s">
        <v>356</v>
      </c>
      <c r="H328">
        <v>40000</v>
      </c>
      <c r="I328">
        <v>1.1000000000000001</v>
      </c>
      <c r="J328">
        <v>44000</v>
      </c>
      <c r="K328" s="7" t="str">
        <f>IFERROR(IF(B328&lt;&gt;"", TEXT(VLOOKUP(B328, 'Expected Date'!A:B, 2, FALSE) + DATE(RIGHT(C328,2),MID(C328,4,2),LEFT(C328,2)), "dd/mm/yy"), ""), "")</f>
        <v>09/08/23</v>
      </c>
      <c r="L328" t="s">
        <v>38</v>
      </c>
      <c r="M328" t="s">
        <v>39</v>
      </c>
      <c r="N328" t="s">
        <v>342</v>
      </c>
      <c r="O328" t="s">
        <v>202</v>
      </c>
      <c r="P328">
        <v>23291059</v>
      </c>
      <c r="Q328" t="s">
        <v>355</v>
      </c>
      <c r="R328" t="s">
        <v>356</v>
      </c>
      <c r="S328">
        <v>40000</v>
      </c>
      <c r="T328">
        <v>1.1000000000000001</v>
      </c>
      <c r="U328">
        <v>44000</v>
      </c>
      <c r="V328" t="str">
        <f t="shared" si="89"/>
        <v>Dahej</v>
      </c>
      <c r="W328" t="str">
        <f>VLOOKUP(B328, Currency!A:B, 2, FALSE)</f>
        <v>INR</v>
      </c>
      <c r="X328" t="str">
        <f t="shared" si="89"/>
        <v>Accepted</v>
      </c>
      <c r="Y328">
        <f>IFERROR(VLOOKUP(N328, Payment_Terms!A:B, 2, FALSE), "Payment term not found!")</f>
        <v>30</v>
      </c>
      <c r="Z328" t="str">
        <f>IFERROR(VLOOKUP(R328, Item_Category!A:B, 2, FALSE), "Uncategorized")</f>
        <v>Sticker</v>
      </c>
      <c r="AA328" s="5">
        <f t="shared" si="93"/>
        <v>0</v>
      </c>
      <c r="AB328">
        <f t="shared" si="94"/>
        <v>5</v>
      </c>
      <c r="AC328" s="10">
        <f t="shared" si="95"/>
        <v>0</v>
      </c>
      <c r="AD328">
        <f t="shared" si="96"/>
        <v>5</v>
      </c>
      <c r="AE328" s="10">
        <f t="shared" si="97"/>
        <v>2</v>
      </c>
      <c r="AF328" s="5">
        <f t="shared" si="90"/>
        <v>1</v>
      </c>
      <c r="AG328" s="5">
        <f t="shared" si="91"/>
        <v>1</v>
      </c>
      <c r="AH328" s="5">
        <f t="shared" si="98"/>
        <v>0</v>
      </c>
      <c r="AI328">
        <f>IF(B328&lt;&gt;"", COUNTIFS($B$2:B328, B328), "")</f>
        <v>3</v>
      </c>
      <c r="AJ328">
        <f t="shared" si="99"/>
        <v>5</v>
      </c>
      <c r="AK328">
        <f t="shared" si="92"/>
        <v>5</v>
      </c>
      <c r="AL328">
        <f t="shared" si="100"/>
        <v>8</v>
      </c>
      <c r="AM328" t="str">
        <f t="shared" si="101"/>
        <v>August</v>
      </c>
      <c r="AN328">
        <f t="shared" si="102"/>
        <v>2023</v>
      </c>
      <c r="AO328" t="str">
        <f t="shared" si="103"/>
        <v>&gt;3</v>
      </c>
      <c r="AP328" t="str">
        <f t="shared" si="104"/>
        <v>&gt;3</v>
      </c>
      <c r="AQ328" t="str">
        <f t="shared" si="105"/>
        <v>&gt;3</v>
      </c>
    </row>
    <row r="329" spans="1:43" x14ac:dyDescent="0.3">
      <c r="A329" t="s">
        <v>33</v>
      </c>
      <c r="B329" t="s">
        <v>418</v>
      </c>
      <c r="C329" t="s">
        <v>419</v>
      </c>
      <c r="D329">
        <v>1457</v>
      </c>
      <c r="E329">
        <v>23210063</v>
      </c>
      <c r="F329" t="s">
        <v>420</v>
      </c>
      <c r="G329" t="s">
        <v>421</v>
      </c>
      <c r="H329">
        <v>2000</v>
      </c>
      <c r="I329">
        <v>33</v>
      </c>
      <c r="J329">
        <v>66000</v>
      </c>
      <c r="K329" s="7" t="str">
        <f>IFERROR(IF(B329&lt;&gt;"", TEXT(VLOOKUP(B329, 'Expected Date'!A:B, 2, FALSE) + DATE(RIGHT(C329,2),MID(C329,4,2),LEFT(C329,2)), "dd/mm/yy"), ""), "")</f>
        <v>27/04/23</v>
      </c>
      <c r="L329" t="s">
        <v>38</v>
      </c>
      <c r="M329" t="s">
        <v>48</v>
      </c>
      <c r="N329" t="s">
        <v>342</v>
      </c>
      <c r="O329" t="s">
        <v>422</v>
      </c>
      <c r="P329">
        <v>23290122</v>
      </c>
      <c r="Q329" t="s">
        <v>420</v>
      </c>
      <c r="R329" t="s">
        <v>421</v>
      </c>
      <c r="S329">
        <v>2000</v>
      </c>
      <c r="T329">
        <v>33</v>
      </c>
      <c r="U329">
        <v>66000</v>
      </c>
      <c r="V329" t="str">
        <f t="shared" si="89"/>
        <v>Dahej</v>
      </c>
      <c r="W329" t="str">
        <f>VLOOKUP(B329, Currency!A:B, 2, FALSE)</f>
        <v>INR</v>
      </c>
      <c r="X329" t="str">
        <f t="shared" si="89"/>
        <v>Accepted</v>
      </c>
      <c r="Y329">
        <f>IFERROR(VLOOKUP(N329, Payment_Terms!A:B, 2, FALSE), "Payment term not found!")</f>
        <v>30</v>
      </c>
      <c r="Z329" t="str">
        <f>IFERROR(VLOOKUP(R329, Item_Category!A:B, 2, FALSE), "Uncategorized")</f>
        <v>Hydrogen Peroxide</v>
      </c>
      <c r="AA329" s="5">
        <f t="shared" si="93"/>
        <v>0</v>
      </c>
      <c r="AB329">
        <f t="shared" si="94"/>
        <v>5</v>
      </c>
      <c r="AC329" s="10">
        <f t="shared" si="95"/>
        <v>-4</v>
      </c>
      <c r="AD329">
        <f t="shared" si="96"/>
        <v>5</v>
      </c>
      <c r="AE329" s="10">
        <f t="shared" si="97"/>
        <v>1</v>
      </c>
      <c r="AF329" s="5">
        <f t="shared" si="90"/>
        <v>1</v>
      </c>
      <c r="AG329" s="5">
        <f t="shared" si="91"/>
        <v>1</v>
      </c>
      <c r="AH329" s="5">
        <f t="shared" si="98"/>
        <v>0</v>
      </c>
      <c r="AI329">
        <f>IF(B329&lt;&gt;"", COUNTIFS($B$2:B329, B329), "")</f>
        <v>1</v>
      </c>
      <c r="AJ329">
        <f t="shared" si="99"/>
        <v>5</v>
      </c>
      <c r="AK329">
        <f t="shared" si="92"/>
        <v>5</v>
      </c>
      <c r="AL329">
        <f t="shared" si="100"/>
        <v>4</v>
      </c>
      <c r="AM329" t="str">
        <f t="shared" si="101"/>
        <v>April</v>
      </c>
      <c r="AN329">
        <f t="shared" si="102"/>
        <v>2023</v>
      </c>
      <c r="AO329" t="str">
        <f t="shared" si="103"/>
        <v>&gt;3</v>
      </c>
      <c r="AP329" t="str">
        <f t="shared" si="104"/>
        <v>&gt;3</v>
      </c>
      <c r="AQ329" t="str">
        <f t="shared" si="105"/>
        <v>&gt;3</v>
      </c>
    </row>
    <row r="330" spans="1:43" x14ac:dyDescent="0.3">
      <c r="A330" t="s">
        <v>33</v>
      </c>
      <c r="B330" t="str">
        <f>B284</f>
        <v>Ami Enterprises</v>
      </c>
      <c r="C330" t="s">
        <v>423</v>
      </c>
      <c r="D330">
        <v>3302</v>
      </c>
      <c r="E330">
        <v>23210447</v>
      </c>
      <c r="F330" t="s">
        <v>424</v>
      </c>
      <c r="G330" t="s">
        <v>425</v>
      </c>
      <c r="H330">
        <v>250</v>
      </c>
      <c r="I330">
        <v>33.5</v>
      </c>
      <c r="J330">
        <v>8375</v>
      </c>
      <c r="K330" s="7" t="str">
        <f>IFERROR(IF(B330&lt;&gt;"", TEXT(VLOOKUP(B330, 'Expected Date'!A:B, 2, FALSE) + DATE(RIGHT(C330,2),MID(C330,4,2),LEFT(C330,2)), "dd/mm/yy"), ""), "")</f>
        <v>01/08/23</v>
      </c>
      <c r="L330" t="s">
        <v>68</v>
      </c>
      <c r="M330" t="s">
        <v>39</v>
      </c>
      <c r="N330" t="s">
        <v>342</v>
      </c>
      <c r="O330" t="s">
        <v>227</v>
      </c>
      <c r="P330">
        <v>23290943</v>
      </c>
      <c r="Q330" t="s">
        <v>424</v>
      </c>
      <c r="R330" t="s">
        <v>425</v>
      </c>
      <c r="S330">
        <v>212</v>
      </c>
      <c r="T330">
        <v>33.5</v>
      </c>
      <c r="U330">
        <v>7102</v>
      </c>
      <c r="V330" t="str">
        <f t="shared" si="89"/>
        <v>Dahej</v>
      </c>
      <c r="W330" t="str">
        <f>VLOOKUP(B330, Currency!A:B, 2, FALSE)</f>
        <v>INR</v>
      </c>
      <c r="X330" t="str">
        <f t="shared" si="89"/>
        <v>Accepted</v>
      </c>
      <c r="Y330">
        <f>IFERROR(VLOOKUP(N330, Payment_Terms!A:B, 2, FALSE), "Payment term not found!")</f>
        <v>30</v>
      </c>
      <c r="Z330" t="str">
        <f>IFERROR(VLOOKUP(R330, Item_Category!A:B, 2, FALSE), "Uncategorized")</f>
        <v>Bags</v>
      </c>
      <c r="AA330" s="5">
        <f t="shared" si="93"/>
        <v>0.152</v>
      </c>
      <c r="AB330">
        <f t="shared" si="94"/>
        <v>1</v>
      </c>
      <c r="AC330" s="10">
        <f t="shared" si="95"/>
        <v>-7</v>
      </c>
      <c r="AD330">
        <f t="shared" si="96"/>
        <v>5</v>
      </c>
      <c r="AE330" s="10">
        <f t="shared" si="97"/>
        <v>3</v>
      </c>
      <c r="AF330" s="5">
        <f t="shared" si="90"/>
        <v>1</v>
      </c>
      <c r="AG330" s="5">
        <f t="shared" si="91"/>
        <v>1</v>
      </c>
      <c r="AH330" s="5">
        <f t="shared" si="98"/>
        <v>0</v>
      </c>
      <c r="AI330">
        <f>IF(B330&lt;&gt;"", COUNTIFS($B$2:B330, B330), "")</f>
        <v>19</v>
      </c>
      <c r="AJ330">
        <f t="shared" si="99"/>
        <v>5</v>
      </c>
      <c r="AK330">
        <f t="shared" si="92"/>
        <v>4</v>
      </c>
      <c r="AL330">
        <f t="shared" si="100"/>
        <v>7</v>
      </c>
      <c r="AM330" t="str">
        <f t="shared" si="101"/>
        <v>July</v>
      </c>
      <c r="AN330">
        <f t="shared" si="102"/>
        <v>2023</v>
      </c>
      <c r="AO330" t="str">
        <f t="shared" si="103"/>
        <v>&gt;3</v>
      </c>
      <c r="AP330" t="str">
        <f t="shared" si="104"/>
        <v>&lt;=3</v>
      </c>
      <c r="AQ330" t="str">
        <f t="shared" si="105"/>
        <v>&gt;3</v>
      </c>
    </row>
    <row r="331" spans="1:43" x14ac:dyDescent="0.3">
      <c r="A331" t="s">
        <v>33</v>
      </c>
      <c r="B331" t="s">
        <v>395</v>
      </c>
      <c r="C331" t="s">
        <v>88</v>
      </c>
      <c r="D331">
        <v>2928</v>
      </c>
      <c r="E331">
        <v>23210383</v>
      </c>
      <c r="F331" t="s">
        <v>392</v>
      </c>
      <c r="G331" t="s">
        <v>393</v>
      </c>
      <c r="H331">
        <v>200</v>
      </c>
      <c r="I331">
        <v>10700</v>
      </c>
      <c r="J331">
        <v>2140000</v>
      </c>
      <c r="K331" s="7" t="str">
        <f>IFERROR(IF(B331&lt;&gt;"", TEXT(VLOOKUP(B331, 'Expected Date'!A:B, 2, FALSE) + DATE(RIGHT(C331,2),MID(C331,4,2),LEFT(C331,2)), "dd/mm/yy"), ""), "")</f>
        <v>09/07/23</v>
      </c>
      <c r="L331" t="s">
        <v>68</v>
      </c>
      <c r="M331" t="s">
        <v>48</v>
      </c>
      <c r="N331" t="s">
        <v>370</v>
      </c>
      <c r="O331" t="s">
        <v>426</v>
      </c>
      <c r="P331">
        <v>23290960</v>
      </c>
      <c r="Q331" t="s">
        <v>392</v>
      </c>
      <c r="R331" t="s">
        <v>393</v>
      </c>
      <c r="S331">
        <v>28.62</v>
      </c>
      <c r="T331">
        <v>10700</v>
      </c>
      <c r="U331">
        <v>306234</v>
      </c>
      <c r="V331" t="str">
        <f t="shared" si="89"/>
        <v>Dahej</v>
      </c>
      <c r="W331" t="str">
        <f>VLOOKUP(B331, Currency!A:B, 2, FALSE)</f>
        <v>INR</v>
      </c>
      <c r="X331" t="str">
        <f t="shared" si="89"/>
        <v>Accepted</v>
      </c>
      <c r="Y331">
        <f>IFERROR(VLOOKUP(N331, Payment_Terms!A:B, 2, FALSE), "Payment term not found!")</f>
        <v>15</v>
      </c>
      <c r="Z331" t="str">
        <f>IFERROR(VLOOKUP(R331, Item_Category!A:B, 2, FALSE), "Uncategorized")</f>
        <v>Coal materials</v>
      </c>
      <c r="AA331" s="5">
        <f t="shared" si="93"/>
        <v>5.1500000000000053E-3</v>
      </c>
      <c r="AB331">
        <f t="shared" si="94"/>
        <v>4</v>
      </c>
      <c r="AC331" s="10">
        <f t="shared" si="95"/>
        <v>-1</v>
      </c>
      <c r="AD331">
        <f t="shared" si="96"/>
        <v>5</v>
      </c>
      <c r="AE331" s="10">
        <f t="shared" si="97"/>
        <v>4</v>
      </c>
      <c r="AF331" s="5">
        <f t="shared" si="90"/>
        <v>1</v>
      </c>
      <c r="AG331" s="5">
        <f t="shared" si="91"/>
        <v>1</v>
      </c>
      <c r="AH331" s="5">
        <f t="shared" si="98"/>
        <v>0</v>
      </c>
      <c r="AI331">
        <f>IF(B331&lt;&gt;"", COUNTIFS($B$2:B331, B331), "")</f>
        <v>3</v>
      </c>
      <c r="AJ331">
        <f t="shared" si="99"/>
        <v>5</v>
      </c>
      <c r="AK331">
        <f t="shared" si="92"/>
        <v>5</v>
      </c>
      <c r="AL331">
        <f t="shared" si="100"/>
        <v>7</v>
      </c>
      <c r="AM331" t="str">
        <f t="shared" si="101"/>
        <v>July</v>
      </c>
      <c r="AN331">
        <f t="shared" si="102"/>
        <v>2023</v>
      </c>
      <c r="AO331" t="str">
        <f t="shared" si="103"/>
        <v>&gt;3</v>
      </c>
      <c r="AP331" t="str">
        <f t="shared" si="104"/>
        <v>&gt;3</v>
      </c>
      <c r="AQ331" t="str">
        <f t="shared" si="105"/>
        <v>&gt;3</v>
      </c>
    </row>
    <row r="332" spans="1:43" x14ac:dyDescent="0.3">
      <c r="A332" t="s">
        <v>33</v>
      </c>
      <c r="B332" t="s">
        <v>395</v>
      </c>
      <c r="C332" t="s">
        <v>88</v>
      </c>
      <c r="D332">
        <v>2928</v>
      </c>
      <c r="E332">
        <v>23210383</v>
      </c>
      <c r="F332" t="s">
        <v>392</v>
      </c>
      <c r="G332" t="s">
        <v>393</v>
      </c>
      <c r="H332">
        <v>200</v>
      </c>
      <c r="I332">
        <v>10700</v>
      </c>
      <c r="J332">
        <v>2140000</v>
      </c>
      <c r="K332" s="7" t="str">
        <f>IFERROR(IF(B332&lt;&gt;"", TEXT(VLOOKUP(B332, 'Expected Date'!A:B, 2, FALSE) + DATE(RIGHT(C332,2),MID(C332,4,2),LEFT(C332,2)), "dd/mm/yy"), ""), "")</f>
        <v>09/07/23</v>
      </c>
      <c r="L332" t="s">
        <v>68</v>
      </c>
      <c r="M332" t="s">
        <v>48</v>
      </c>
      <c r="N332" t="s">
        <v>370</v>
      </c>
      <c r="O332" t="s">
        <v>87</v>
      </c>
      <c r="P332">
        <v>23290961</v>
      </c>
      <c r="Q332" t="s">
        <v>392</v>
      </c>
      <c r="R332" t="s">
        <v>393</v>
      </c>
      <c r="S332">
        <v>28.47</v>
      </c>
      <c r="T332">
        <v>10700</v>
      </c>
      <c r="U332">
        <v>304629</v>
      </c>
      <c r="V332" t="str">
        <f t="shared" si="89"/>
        <v>Dahej</v>
      </c>
      <c r="W332" t="str">
        <f>VLOOKUP(B332, Currency!A:B, 2, FALSE)</f>
        <v>INR</v>
      </c>
      <c r="X332" t="str">
        <f t="shared" si="89"/>
        <v>Accepted</v>
      </c>
      <c r="Y332">
        <f>IFERROR(VLOOKUP(N332, Payment_Terms!A:B, 2, FALSE), "Payment term not found!")</f>
        <v>15</v>
      </c>
      <c r="Z332" t="str">
        <f>IFERROR(VLOOKUP(R332, Item_Category!A:B, 2, FALSE), "Uncategorized")</f>
        <v>Coal materials</v>
      </c>
      <c r="AA332" s="5">
        <f t="shared" si="93"/>
        <v>5.1500000000000053E-3</v>
      </c>
      <c r="AB332">
        <f t="shared" si="94"/>
        <v>4</v>
      </c>
      <c r="AC332" s="10">
        <f t="shared" si="95"/>
        <v>3</v>
      </c>
      <c r="AD332">
        <f t="shared" si="96"/>
        <v>4</v>
      </c>
      <c r="AE332" s="10">
        <f t="shared" si="97"/>
        <v>8</v>
      </c>
      <c r="AF332" s="5">
        <f t="shared" si="90"/>
        <v>1</v>
      </c>
      <c r="AG332" s="5">
        <f t="shared" si="91"/>
        <v>1</v>
      </c>
      <c r="AH332" s="5">
        <f t="shared" si="98"/>
        <v>0</v>
      </c>
      <c r="AI332">
        <f>IF(B332&lt;&gt;"", COUNTIFS($B$2:B332, B332), "")</f>
        <v>4</v>
      </c>
      <c r="AJ332">
        <f t="shared" si="99"/>
        <v>5</v>
      </c>
      <c r="AK332">
        <f t="shared" si="92"/>
        <v>5</v>
      </c>
      <c r="AL332">
        <f t="shared" si="100"/>
        <v>7</v>
      </c>
      <c r="AM332" t="str">
        <f t="shared" si="101"/>
        <v>July</v>
      </c>
      <c r="AN332">
        <f t="shared" si="102"/>
        <v>2023</v>
      </c>
      <c r="AO332" t="str">
        <f t="shared" si="103"/>
        <v>&gt;3</v>
      </c>
      <c r="AP332" t="str">
        <f t="shared" si="104"/>
        <v>&gt;3</v>
      </c>
      <c r="AQ332" t="str">
        <f t="shared" si="105"/>
        <v>&gt;3</v>
      </c>
    </row>
    <row r="333" spans="1:43" x14ac:dyDescent="0.3">
      <c r="A333" t="s">
        <v>33</v>
      </c>
      <c r="B333" t="s">
        <v>395</v>
      </c>
      <c r="C333" t="s">
        <v>427</v>
      </c>
      <c r="D333">
        <v>1224</v>
      </c>
      <c r="E333">
        <v>23210017</v>
      </c>
      <c r="F333" t="s">
        <v>368</v>
      </c>
      <c r="G333" t="s">
        <v>369</v>
      </c>
      <c r="H333">
        <v>150000</v>
      </c>
      <c r="I333">
        <v>8.125</v>
      </c>
      <c r="J333">
        <v>1218750</v>
      </c>
      <c r="K333" s="7" t="str">
        <f>IFERROR(IF(B333&lt;&gt;"", TEXT(VLOOKUP(B333, 'Expected Date'!A:B, 2, FALSE) + DATE(RIGHT(C333,2),MID(C333,4,2),LEFT(C333,2)), "dd/mm/yy"), ""), "")</f>
        <v>06/04/23</v>
      </c>
      <c r="L333" t="s">
        <v>68</v>
      </c>
      <c r="M333" t="s">
        <v>48</v>
      </c>
      <c r="N333" t="s">
        <v>342</v>
      </c>
      <c r="O333" t="s">
        <v>428</v>
      </c>
      <c r="P333">
        <v>23290123</v>
      </c>
      <c r="Q333" t="s">
        <v>368</v>
      </c>
      <c r="R333" t="s">
        <v>369</v>
      </c>
      <c r="S333">
        <v>37830</v>
      </c>
      <c r="T333">
        <v>8.125</v>
      </c>
      <c r="U333">
        <v>307368.75</v>
      </c>
      <c r="V333" t="str">
        <f t="shared" si="89"/>
        <v>Dahej</v>
      </c>
      <c r="W333" t="str">
        <f>VLOOKUP(B333, Currency!A:B, 2, FALSE)</f>
        <v>INR</v>
      </c>
      <c r="X333" t="str">
        <f t="shared" si="89"/>
        <v>Accepted</v>
      </c>
      <c r="Y333">
        <f>IFERROR(VLOOKUP(N333, Payment_Terms!A:B, 2, FALSE), "Payment term not found!")</f>
        <v>30</v>
      </c>
      <c r="Z333" t="str">
        <f>IFERROR(VLOOKUP(R333, Item_Category!A:B, 2, FALSE), "Uncategorized")</f>
        <v>Coal materials</v>
      </c>
      <c r="AA333" s="5">
        <f t="shared" si="93"/>
        <v>0.49559999999999998</v>
      </c>
      <c r="AB333">
        <f t="shared" si="94"/>
        <v>1</v>
      </c>
      <c r="AC333" s="10">
        <f t="shared" si="95"/>
        <v>-3</v>
      </c>
      <c r="AD333">
        <f t="shared" si="96"/>
        <v>5</v>
      </c>
      <c r="AE333" s="10">
        <f t="shared" si="97"/>
        <v>2</v>
      </c>
      <c r="AF333" s="5">
        <f t="shared" si="90"/>
        <v>1</v>
      </c>
      <c r="AG333" s="5">
        <f t="shared" si="91"/>
        <v>1</v>
      </c>
      <c r="AH333" s="5">
        <f t="shared" si="98"/>
        <v>0</v>
      </c>
      <c r="AI333">
        <f>IF(B333&lt;&gt;"", COUNTIFS($B$2:B333, B333), "")</f>
        <v>5</v>
      </c>
      <c r="AJ333">
        <f t="shared" si="99"/>
        <v>5</v>
      </c>
      <c r="AK333">
        <f t="shared" si="92"/>
        <v>4</v>
      </c>
      <c r="AL333">
        <f t="shared" si="100"/>
        <v>4</v>
      </c>
      <c r="AM333" t="str">
        <f t="shared" si="101"/>
        <v>April</v>
      </c>
      <c r="AN333">
        <f t="shared" si="102"/>
        <v>2023</v>
      </c>
      <c r="AO333" t="str">
        <f t="shared" si="103"/>
        <v>&gt;3</v>
      </c>
      <c r="AP333" t="str">
        <f t="shared" si="104"/>
        <v>&lt;=3</v>
      </c>
      <c r="AQ333" t="str">
        <f t="shared" si="105"/>
        <v>&gt;3</v>
      </c>
    </row>
    <row r="334" spans="1:43" x14ac:dyDescent="0.3">
      <c r="A334" t="s">
        <v>33</v>
      </c>
      <c r="B334" t="s">
        <v>366</v>
      </c>
      <c r="C334" t="s">
        <v>210</v>
      </c>
      <c r="D334">
        <v>1907</v>
      </c>
      <c r="E334">
        <v>23210167</v>
      </c>
      <c r="F334" t="s">
        <v>392</v>
      </c>
      <c r="G334" t="s">
        <v>393</v>
      </c>
      <c r="H334">
        <v>100</v>
      </c>
      <c r="I334">
        <v>11000</v>
      </c>
      <c r="J334">
        <v>1100000</v>
      </c>
      <c r="K334" s="7" t="str">
        <f>IFERROR(IF(B334&lt;&gt;"", TEXT(VLOOKUP(B334, 'Expected Date'!A:B, 2, FALSE) + DATE(RIGHT(C334,2),MID(C334,4,2),LEFT(C334,2)), "dd/mm/yy"), ""), "")</f>
        <v>15/05/23</v>
      </c>
      <c r="L334" t="s">
        <v>68</v>
      </c>
      <c r="M334" t="s">
        <v>48</v>
      </c>
      <c r="N334" t="s">
        <v>370</v>
      </c>
      <c r="O334" t="s">
        <v>269</v>
      </c>
      <c r="P334">
        <v>23290274</v>
      </c>
      <c r="Q334" t="s">
        <v>392</v>
      </c>
      <c r="R334" t="s">
        <v>393</v>
      </c>
      <c r="S334">
        <v>27.93</v>
      </c>
      <c r="T334">
        <v>11000</v>
      </c>
      <c r="U334">
        <v>307230</v>
      </c>
      <c r="V334" t="str">
        <f t="shared" si="89"/>
        <v>Dahej</v>
      </c>
      <c r="W334" t="str">
        <f>VLOOKUP(B334, Currency!A:B, 2, FALSE)</f>
        <v>INR</v>
      </c>
      <c r="X334" t="str">
        <f t="shared" si="89"/>
        <v>Accepted</v>
      </c>
      <c r="Y334">
        <f>IFERROR(VLOOKUP(N334, Payment_Terms!A:B, 2, FALSE), "Payment term not found!")</f>
        <v>15</v>
      </c>
      <c r="Z334" t="str">
        <f>IFERROR(VLOOKUP(R334, Item_Category!A:B, 2, FALSE), "Uncategorized")</f>
        <v>Coal materials</v>
      </c>
      <c r="AA334" s="5">
        <f t="shared" si="93"/>
        <v>0.1686</v>
      </c>
      <c r="AB334">
        <f t="shared" si="94"/>
        <v>1</v>
      </c>
      <c r="AC334" s="10">
        <f t="shared" si="95"/>
        <v>0</v>
      </c>
      <c r="AD334">
        <f t="shared" si="96"/>
        <v>5</v>
      </c>
      <c r="AE334" s="10">
        <f t="shared" si="97"/>
        <v>2</v>
      </c>
      <c r="AF334" s="5">
        <f t="shared" si="90"/>
        <v>1</v>
      </c>
      <c r="AG334" s="5">
        <f t="shared" si="91"/>
        <v>1</v>
      </c>
      <c r="AH334" s="5">
        <f t="shared" si="98"/>
        <v>0</v>
      </c>
      <c r="AI334">
        <f>IF(B334&lt;&gt;"", COUNTIFS($B$2:B334, B334), "")</f>
        <v>16</v>
      </c>
      <c r="AJ334">
        <f t="shared" si="99"/>
        <v>5</v>
      </c>
      <c r="AK334">
        <f t="shared" si="92"/>
        <v>4</v>
      </c>
      <c r="AL334">
        <f t="shared" si="100"/>
        <v>5</v>
      </c>
      <c r="AM334" t="str">
        <f t="shared" si="101"/>
        <v>May</v>
      </c>
      <c r="AN334">
        <f t="shared" si="102"/>
        <v>2023</v>
      </c>
      <c r="AO334" t="str">
        <f t="shared" si="103"/>
        <v>&gt;3</v>
      </c>
      <c r="AP334" t="str">
        <f t="shared" si="104"/>
        <v>&lt;=3</v>
      </c>
      <c r="AQ334" t="str">
        <f t="shared" si="105"/>
        <v>&gt;3</v>
      </c>
    </row>
    <row r="335" spans="1:43" x14ac:dyDescent="0.3">
      <c r="A335" t="s">
        <v>33</v>
      </c>
      <c r="B335" t="s">
        <v>366</v>
      </c>
      <c r="C335" t="s">
        <v>210</v>
      </c>
      <c r="D335">
        <v>1907</v>
      </c>
      <c r="E335">
        <v>23210167</v>
      </c>
      <c r="F335" t="s">
        <v>392</v>
      </c>
      <c r="G335" t="s">
        <v>393</v>
      </c>
      <c r="H335">
        <v>100</v>
      </c>
      <c r="I335">
        <v>11000</v>
      </c>
      <c r="J335">
        <v>1100000</v>
      </c>
      <c r="K335" s="7" t="str">
        <f>IFERROR(IF(B335&lt;&gt;"", TEXT(VLOOKUP(B335, 'Expected Date'!A:B, 2, FALSE) + DATE(RIGHT(C335,2),MID(C335,4,2),LEFT(C335,2)), "dd/mm/yy"), ""), "")</f>
        <v>15/05/23</v>
      </c>
      <c r="L335" t="s">
        <v>68</v>
      </c>
      <c r="M335" t="s">
        <v>48</v>
      </c>
      <c r="N335" t="s">
        <v>370</v>
      </c>
      <c r="O335" t="s">
        <v>223</v>
      </c>
      <c r="P335">
        <v>23290275</v>
      </c>
      <c r="Q335" t="s">
        <v>392</v>
      </c>
      <c r="R335" t="s">
        <v>393</v>
      </c>
      <c r="S335">
        <v>27.71</v>
      </c>
      <c r="T335">
        <v>11000</v>
      </c>
      <c r="U335">
        <v>304810</v>
      </c>
      <c r="V335" t="str">
        <f t="shared" si="89"/>
        <v>Dahej</v>
      </c>
      <c r="W335" t="str">
        <f>VLOOKUP(B335, Currency!A:B, 2, FALSE)</f>
        <v>INR</v>
      </c>
      <c r="X335" t="str">
        <f t="shared" si="89"/>
        <v>Accepted</v>
      </c>
      <c r="Y335">
        <f>IFERROR(VLOOKUP(N335, Payment_Terms!A:B, 2, FALSE), "Payment term not found!")</f>
        <v>15</v>
      </c>
      <c r="Z335" t="str">
        <f>IFERROR(VLOOKUP(R335, Item_Category!A:B, 2, FALSE), "Uncategorized")</f>
        <v>Coal materials</v>
      </c>
      <c r="AA335" s="5">
        <f t="shared" si="93"/>
        <v>0.1686</v>
      </c>
      <c r="AB335">
        <f t="shared" si="94"/>
        <v>1</v>
      </c>
      <c r="AC335" s="10">
        <f t="shared" si="95"/>
        <v>2</v>
      </c>
      <c r="AD335">
        <f t="shared" si="96"/>
        <v>5</v>
      </c>
      <c r="AE335" s="10">
        <f t="shared" si="97"/>
        <v>4</v>
      </c>
      <c r="AF335" s="5">
        <f t="shared" si="90"/>
        <v>1</v>
      </c>
      <c r="AG335" s="5">
        <f t="shared" si="91"/>
        <v>1</v>
      </c>
      <c r="AH335" s="5">
        <f t="shared" si="98"/>
        <v>0</v>
      </c>
      <c r="AI335">
        <f>IF(B335&lt;&gt;"", COUNTIFS($B$2:B335, B335), "")</f>
        <v>17</v>
      </c>
      <c r="AJ335">
        <f t="shared" si="99"/>
        <v>5</v>
      </c>
      <c r="AK335">
        <f t="shared" si="92"/>
        <v>4</v>
      </c>
      <c r="AL335">
        <f t="shared" si="100"/>
        <v>5</v>
      </c>
      <c r="AM335" t="str">
        <f t="shared" si="101"/>
        <v>May</v>
      </c>
      <c r="AN335">
        <f t="shared" si="102"/>
        <v>2023</v>
      </c>
      <c r="AO335" t="str">
        <f t="shared" si="103"/>
        <v>&gt;3</v>
      </c>
      <c r="AP335" t="str">
        <f t="shared" si="104"/>
        <v>&lt;=3</v>
      </c>
      <c r="AQ335" t="str">
        <f t="shared" si="105"/>
        <v>&gt;3</v>
      </c>
    </row>
    <row r="336" spans="1:43" x14ac:dyDescent="0.3">
      <c r="A336" t="s">
        <v>33</v>
      </c>
      <c r="B336" t="s">
        <v>429</v>
      </c>
      <c r="C336" t="s">
        <v>89</v>
      </c>
      <c r="D336">
        <v>2822</v>
      </c>
      <c r="E336">
        <v>23210366</v>
      </c>
      <c r="F336" t="s">
        <v>430</v>
      </c>
      <c r="G336" t="s">
        <v>431</v>
      </c>
      <c r="H336">
        <v>5000</v>
      </c>
      <c r="I336">
        <v>8.1999999999999993</v>
      </c>
      <c r="J336">
        <v>41000</v>
      </c>
      <c r="K336" s="7" t="str">
        <f>IFERROR(IF(B336&lt;&gt;"", TEXT(VLOOKUP(B336, 'Expected Date'!A:B, 2, FALSE) + DATE(RIGHT(C336,2),MID(C336,4,2),LEFT(C336,2)), "dd/mm/yy"), ""), "")</f>
        <v>10/07/23</v>
      </c>
      <c r="L336" t="s">
        <v>38</v>
      </c>
      <c r="M336" t="s">
        <v>48</v>
      </c>
      <c r="N336" t="s">
        <v>299</v>
      </c>
      <c r="O336" t="s">
        <v>90</v>
      </c>
      <c r="P336">
        <v>23290680</v>
      </c>
      <c r="Q336" t="s">
        <v>430</v>
      </c>
      <c r="R336" t="s">
        <v>431</v>
      </c>
      <c r="S336">
        <v>2500</v>
      </c>
      <c r="T336">
        <v>8.1999999999999993</v>
      </c>
      <c r="U336">
        <v>20500</v>
      </c>
      <c r="V336" t="str">
        <f t="shared" si="89"/>
        <v>Dahej</v>
      </c>
      <c r="W336" t="str">
        <f>VLOOKUP(B336, Currency!A:B, 2, FALSE)</f>
        <v>INR</v>
      </c>
      <c r="X336" t="str">
        <f t="shared" si="89"/>
        <v>Accepted</v>
      </c>
      <c r="Y336">
        <f>IFERROR(VLOOKUP(N336, Payment_Terms!A:B, 2, FALSE), "Payment term not found!")</f>
        <v>60</v>
      </c>
      <c r="Z336" t="str">
        <f>IFERROR(VLOOKUP(R336, Item_Category!A:B, 2, FALSE), "Uncategorized")</f>
        <v>Lime</v>
      </c>
      <c r="AA336" s="5">
        <f t="shared" si="93"/>
        <v>0</v>
      </c>
      <c r="AB336">
        <f t="shared" si="94"/>
        <v>5</v>
      </c>
      <c r="AC336" s="10">
        <f t="shared" si="95"/>
        <v>-4</v>
      </c>
      <c r="AD336">
        <f t="shared" si="96"/>
        <v>5</v>
      </c>
      <c r="AE336" s="10">
        <f t="shared" si="97"/>
        <v>1</v>
      </c>
      <c r="AF336" s="5">
        <f t="shared" si="90"/>
        <v>1</v>
      </c>
      <c r="AG336" s="5">
        <f t="shared" si="91"/>
        <v>1</v>
      </c>
      <c r="AH336" s="5">
        <f t="shared" si="98"/>
        <v>0</v>
      </c>
      <c r="AI336">
        <f>IF(B336&lt;&gt;"", COUNTIFS($B$2:B336, B336), "")</f>
        <v>1</v>
      </c>
      <c r="AJ336">
        <f t="shared" si="99"/>
        <v>5</v>
      </c>
      <c r="AK336">
        <f t="shared" si="92"/>
        <v>5</v>
      </c>
      <c r="AL336">
        <f t="shared" si="100"/>
        <v>7</v>
      </c>
      <c r="AM336" t="str">
        <f t="shared" si="101"/>
        <v>July</v>
      </c>
      <c r="AN336">
        <f t="shared" si="102"/>
        <v>2023</v>
      </c>
      <c r="AO336" t="str">
        <f t="shared" si="103"/>
        <v>&gt;3</v>
      </c>
      <c r="AP336" t="str">
        <f t="shared" si="104"/>
        <v>&gt;3</v>
      </c>
      <c r="AQ336" t="str">
        <f t="shared" si="105"/>
        <v>&gt;3</v>
      </c>
    </row>
    <row r="337" spans="1:43" x14ac:dyDescent="0.3">
      <c r="A337" t="s">
        <v>33</v>
      </c>
      <c r="B337" t="s">
        <v>157</v>
      </c>
      <c r="C337" t="s">
        <v>432</v>
      </c>
      <c r="D337">
        <v>2085</v>
      </c>
      <c r="E337">
        <v>23210176</v>
      </c>
      <c r="F337" t="s">
        <v>433</v>
      </c>
      <c r="G337" t="s">
        <v>434</v>
      </c>
      <c r="H337">
        <v>600</v>
      </c>
      <c r="I337">
        <v>270</v>
      </c>
      <c r="J337">
        <v>162000</v>
      </c>
      <c r="K337" s="7" t="str">
        <f>IFERROR(IF(B337&lt;&gt;"", TEXT(VLOOKUP(B337, 'Expected Date'!A:B, 2, FALSE) + DATE(RIGHT(C337,2),MID(C337,4,2),LEFT(C337,2)), "dd/mm/yy"), ""), "")</f>
        <v>01/06/23</v>
      </c>
      <c r="L337" t="s">
        <v>38</v>
      </c>
      <c r="M337" t="s">
        <v>48</v>
      </c>
      <c r="N337" t="s">
        <v>435</v>
      </c>
      <c r="O337" t="s">
        <v>308</v>
      </c>
      <c r="P337">
        <v>23290481</v>
      </c>
      <c r="Q337" t="s">
        <v>433</v>
      </c>
      <c r="R337" t="s">
        <v>434</v>
      </c>
      <c r="S337">
        <v>600</v>
      </c>
      <c r="T337">
        <v>270</v>
      </c>
      <c r="U337">
        <v>162000</v>
      </c>
      <c r="V337" t="str">
        <f t="shared" si="89"/>
        <v>Dahej</v>
      </c>
      <c r="W337" t="str">
        <f>VLOOKUP(B337, Currency!A:B, 2, FALSE)</f>
        <v>INR</v>
      </c>
      <c r="X337" t="str">
        <f t="shared" si="89"/>
        <v>Accepted</v>
      </c>
      <c r="Y337">
        <f>IFERROR(VLOOKUP(N337, Payment_Terms!A:B, 2, FALSE), "Payment term not found!")</f>
        <v>0</v>
      </c>
      <c r="Z337" t="str">
        <f>IFERROR(VLOOKUP(R337, Item_Category!A:B, 2, FALSE), "Uncategorized")</f>
        <v>Sodium salts</v>
      </c>
      <c r="AA337" s="5">
        <f t="shared" si="93"/>
        <v>0</v>
      </c>
      <c r="AB337">
        <f t="shared" si="94"/>
        <v>5</v>
      </c>
      <c r="AC337" s="10">
        <f t="shared" si="95"/>
        <v>9</v>
      </c>
      <c r="AD337">
        <f t="shared" si="96"/>
        <v>2</v>
      </c>
      <c r="AE337" s="10">
        <f t="shared" si="97"/>
        <v>19</v>
      </c>
      <c r="AF337" s="5">
        <f t="shared" si="90"/>
        <v>1</v>
      </c>
      <c r="AG337" s="5">
        <f t="shared" si="91"/>
        <v>1</v>
      </c>
      <c r="AH337" s="5">
        <f t="shared" si="98"/>
        <v>0</v>
      </c>
      <c r="AI337">
        <f>IF(B337&lt;&gt;"", COUNTIFS($B$2:B337, B337), "")</f>
        <v>3</v>
      </c>
      <c r="AJ337">
        <f t="shared" si="99"/>
        <v>5</v>
      </c>
      <c r="AK337">
        <f t="shared" si="92"/>
        <v>5</v>
      </c>
      <c r="AL337">
        <f t="shared" si="100"/>
        <v>5</v>
      </c>
      <c r="AM337" t="str">
        <f t="shared" si="101"/>
        <v>May</v>
      </c>
      <c r="AN337">
        <f t="shared" si="102"/>
        <v>2023</v>
      </c>
      <c r="AO337" t="str">
        <f t="shared" si="103"/>
        <v>&gt;3</v>
      </c>
      <c r="AP337" t="str">
        <f t="shared" si="104"/>
        <v>&gt;3</v>
      </c>
      <c r="AQ337" t="str">
        <f t="shared" si="105"/>
        <v>&lt;=3</v>
      </c>
    </row>
    <row r="338" spans="1:43" x14ac:dyDescent="0.3">
      <c r="A338" t="s">
        <v>33</v>
      </c>
      <c r="B338" t="s">
        <v>371</v>
      </c>
      <c r="C338" t="s">
        <v>416</v>
      </c>
      <c r="D338">
        <v>2120</v>
      </c>
      <c r="E338">
        <v>23210182</v>
      </c>
      <c r="F338" t="s">
        <v>372</v>
      </c>
      <c r="G338" t="s">
        <v>373</v>
      </c>
      <c r="H338">
        <v>50</v>
      </c>
      <c r="I338">
        <v>150</v>
      </c>
      <c r="J338">
        <v>7500</v>
      </c>
      <c r="K338" s="7" t="str">
        <f>IFERROR(IF(B338&lt;&gt;"", TEXT(VLOOKUP(B338, 'Expected Date'!A:B, 2, FALSE) + DATE(RIGHT(C338,2),MID(C338,4,2),LEFT(C338,2)), "dd/mm/yy"), ""), "")</f>
        <v>25/05/23</v>
      </c>
      <c r="L338" t="s">
        <v>68</v>
      </c>
      <c r="M338" t="s">
        <v>48</v>
      </c>
      <c r="N338" t="s">
        <v>342</v>
      </c>
      <c r="O338" t="s">
        <v>308</v>
      </c>
      <c r="P338">
        <v>23290482</v>
      </c>
      <c r="Q338" t="s">
        <v>372</v>
      </c>
      <c r="R338" t="s">
        <v>373</v>
      </c>
      <c r="S338">
        <v>9.98</v>
      </c>
      <c r="T338">
        <v>150</v>
      </c>
      <c r="U338">
        <v>1497</v>
      </c>
      <c r="V338" t="str">
        <f t="shared" si="89"/>
        <v>Dahej</v>
      </c>
      <c r="W338" t="str">
        <f>VLOOKUP(B338, Currency!A:B, 2, FALSE)</f>
        <v>INR</v>
      </c>
      <c r="X338" t="str">
        <f t="shared" si="89"/>
        <v>Accepted</v>
      </c>
      <c r="Y338">
        <f>IFERROR(VLOOKUP(N338, Payment_Terms!A:B, 2, FALSE), "Payment term not found!")</f>
        <v>30</v>
      </c>
      <c r="Z338" t="str">
        <f>IFERROR(VLOOKUP(R338, Item_Category!A:B, 2, FALSE), "Uncategorized")</f>
        <v>HCL</v>
      </c>
      <c r="AA338" s="5">
        <f t="shared" si="93"/>
        <v>6.3999999999998633E-3</v>
      </c>
      <c r="AB338">
        <f t="shared" si="94"/>
        <v>4</v>
      </c>
      <c r="AC338" s="10">
        <f t="shared" si="95"/>
        <v>16</v>
      </c>
      <c r="AD338">
        <f t="shared" si="96"/>
        <v>1</v>
      </c>
      <c r="AE338" s="10">
        <f t="shared" si="97"/>
        <v>21</v>
      </c>
      <c r="AF338" s="5">
        <f t="shared" si="90"/>
        <v>1</v>
      </c>
      <c r="AG338" s="5">
        <f t="shared" si="91"/>
        <v>1</v>
      </c>
      <c r="AH338" s="5">
        <f t="shared" si="98"/>
        <v>0</v>
      </c>
      <c r="AI338">
        <f>IF(B338&lt;&gt;"", COUNTIFS($B$2:B338, B338), "")</f>
        <v>3</v>
      </c>
      <c r="AJ338">
        <f t="shared" si="99"/>
        <v>5</v>
      </c>
      <c r="AK338">
        <f t="shared" si="92"/>
        <v>4</v>
      </c>
      <c r="AL338">
        <f t="shared" si="100"/>
        <v>5</v>
      </c>
      <c r="AM338" t="str">
        <f t="shared" si="101"/>
        <v>May</v>
      </c>
      <c r="AN338">
        <f t="shared" si="102"/>
        <v>2023</v>
      </c>
      <c r="AO338" t="str">
        <f t="shared" si="103"/>
        <v>&gt;3</v>
      </c>
      <c r="AP338" t="str">
        <f t="shared" si="104"/>
        <v>&gt;3</v>
      </c>
      <c r="AQ338" t="str">
        <f t="shared" si="105"/>
        <v>&lt;=3</v>
      </c>
    </row>
    <row r="339" spans="1:43" x14ac:dyDescent="0.3">
      <c r="A339" t="s">
        <v>33</v>
      </c>
      <c r="B339" t="s">
        <v>436</v>
      </c>
      <c r="C339" t="s">
        <v>80</v>
      </c>
      <c r="D339">
        <v>1262</v>
      </c>
      <c r="E339">
        <v>23210023</v>
      </c>
      <c r="F339" t="s">
        <v>430</v>
      </c>
      <c r="G339" t="s">
        <v>431</v>
      </c>
      <c r="H339">
        <v>7000</v>
      </c>
      <c r="I339">
        <v>9</v>
      </c>
      <c r="J339">
        <v>63000</v>
      </c>
      <c r="K339" s="7" t="str">
        <f>IFERROR(IF(B339&lt;&gt;"", TEXT(VLOOKUP(B339, 'Expected Date'!A:B, 2, FALSE) + DATE(RIGHT(C339,2),MID(C339,4,2),LEFT(C339,2)), "dd/mm/yy"), ""), "")</f>
        <v>24/04/23</v>
      </c>
      <c r="L339" t="s">
        <v>38</v>
      </c>
      <c r="M339" t="s">
        <v>48</v>
      </c>
      <c r="N339" t="s">
        <v>342</v>
      </c>
      <c r="O339" t="s">
        <v>168</v>
      </c>
      <c r="P339">
        <v>23290082</v>
      </c>
      <c r="Q339" t="s">
        <v>430</v>
      </c>
      <c r="R339" t="s">
        <v>431</v>
      </c>
      <c r="S339">
        <v>7010</v>
      </c>
      <c r="T339">
        <v>9</v>
      </c>
      <c r="U339">
        <v>63090</v>
      </c>
      <c r="V339" t="str">
        <f t="shared" si="89"/>
        <v>Dahej</v>
      </c>
      <c r="W339" t="str">
        <f>VLOOKUP(B339, Currency!A:B, 2, FALSE)</f>
        <v>INR</v>
      </c>
      <c r="X339" t="str">
        <f t="shared" si="89"/>
        <v>Accepted</v>
      </c>
      <c r="Y339">
        <f>IFERROR(VLOOKUP(N339, Payment_Terms!A:B, 2, FALSE), "Payment term not found!")</f>
        <v>30</v>
      </c>
      <c r="Z339" t="str">
        <f>IFERROR(VLOOKUP(R339, Item_Category!A:B, 2, FALSE), "Uncategorized")</f>
        <v>Lime</v>
      </c>
      <c r="AA339" s="5">
        <f t="shared" si="93"/>
        <v>0</v>
      </c>
      <c r="AB339">
        <f t="shared" si="94"/>
        <v>5</v>
      </c>
      <c r="AC339" s="10">
        <f t="shared" si="95"/>
        <v>-7</v>
      </c>
      <c r="AD339">
        <f t="shared" si="96"/>
        <v>5</v>
      </c>
      <c r="AE339" s="10">
        <f t="shared" si="97"/>
        <v>3</v>
      </c>
      <c r="AF339" s="5">
        <f t="shared" si="90"/>
        <v>1</v>
      </c>
      <c r="AG339" s="5">
        <f t="shared" si="91"/>
        <v>1</v>
      </c>
      <c r="AH339" s="5">
        <f t="shared" si="98"/>
        <v>0</v>
      </c>
      <c r="AI339">
        <f>IF(B339&lt;&gt;"", COUNTIFS($B$2:B339, B339), "")</f>
        <v>1</v>
      </c>
      <c r="AJ339">
        <f t="shared" si="99"/>
        <v>5</v>
      </c>
      <c r="AK339">
        <f t="shared" si="92"/>
        <v>5</v>
      </c>
      <c r="AL339">
        <f t="shared" si="100"/>
        <v>4</v>
      </c>
      <c r="AM339" t="str">
        <f t="shared" si="101"/>
        <v>April</v>
      </c>
      <c r="AN339">
        <f t="shared" si="102"/>
        <v>2023</v>
      </c>
      <c r="AO339" t="str">
        <f t="shared" si="103"/>
        <v>&gt;3</v>
      </c>
      <c r="AP339" t="str">
        <f t="shared" si="104"/>
        <v>&gt;3</v>
      </c>
      <c r="AQ339" t="str">
        <f t="shared" si="105"/>
        <v>&gt;3</v>
      </c>
    </row>
    <row r="340" spans="1:43" x14ac:dyDescent="0.3">
      <c r="A340" t="s">
        <v>33</v>
      </c>
      <c r="B340" t="s">
        <v>386</v>
      </c>
      <c r="C340" t="s">
        <v>378</v>
      </c>
      <c r="D340">
        <v>1308</v>
      </c>
      <c r="E340">
        <v>23210029</v>
      </c>
      <c r="F340" t="s">
        <v>437</v>
      </c>
      <c r="G340" t="s">
        <v>438</v>
      </c>
      <c r="H340">
        <v>15000</v>
      </c>
      <c r="I340">
        <v>9.35</v>
      </c>
      <c r="J340">
        <v>140250</v>
      </c>
      <c r="K340" s="7" t="str">
        <f>IFERROR(IF(B340&lt;&gt;"", TEXT(VLOOKUP(B340, 'Expected Date'!A:B, 2, FALSE) + DATE(RIGHT(C340,2),MID(C340,4,2),LEFT(C340,2)), "dd/mm/yy"), ""), "")</f>
        <v>20/04/23</v>
      </c>
      <c r="L340" t="s">
        <v>38</v>
      </c>
      <c r="M340" t="s">
        <v>48</v>
      </c>
      <c r="N340" t="s">
        <v>342</v>
      </c>
      <c r="O340" t="s">
        <v>439</v>
      </c>
      <c r="P340">
        <v>23290089</v>
      </c>
      <c r="Q340" t="s">
        <v>437</v>
      </c>
      <c r="R340" t="s">
        <v>438</v>
      </c>
      <c r="S340">
        <v>15950</v>
      </c>
      <c r="T340">
        <v>9.35</v>
      </c>
      <c r="U340">
        <v>149132.5</v>
      </c>
      <c r="V340" t="str">
        <f t="shared" si="89"/>
        <v>Dahej</v>
      </c>
      <c r="W340" t="str">
        <f>VLOOKUP(B340, Currency!A:B, 2, FALSE)</f>
        <v>INR</v>
      </c>
      <c r="X340" t="str">
        <f t="shared" si="89"/>
        <v>Accepted</v>
      </c>
      <c r="Y340">
        <f>IFERROR(VLOOKUP(N340, Payment_Terms!A:B, 2, FALSE), "Payment term not found!")</f>
        <v>30</v>
      </c>
      <c r="Z340" t="str">
        <f>IFERROR(VLOOKUP(R340, Item_Category!A:B, 2, FALSE), "Uncategorized")</f>
        <v>Liner</v>
      </c>
      <c r="AA340" s="5">
        <f t="shared" si="93"/>
        <v>0</v>
      </c>
      <c r="AB340">
        <f t="shared" si="94"/>
        <v>5</v>
      </c>
      <c r="AC340" s="10">
        <f t="shared" si="95"/>
        <v>0</v>
      </c>
      <c r="AD340">
        <f t="shared" si="96"/>
        <v>5</v>
      </c>
      <c r="AE340" s="10">
        <f t="shared" si="97"/>
        <v>5</v>
      </c>
      <c r="AF340" s="5">
        <f t="shared" si="90"/>
        <v>1</v>
      </c>
      <c r="AG340" s="5">
        <f t="shared" si="91"/>
        <v>1</v>
      </c>
      <c r="AH340" s="5">
        <f t="shared" si="98"/>
        <v>0</v>
      </c>
      <c r="AI340">
        <f>IF(B340&lt;&gt;"", COUNTIFS($B$2:B340, B340), "")</f>
        <v>3</v>
      </c>
      <c r="AJ340">
        <f t="shared" si="99"/>
        <v>5</v>
      </c>
      <c r="AK340">
        <f t="shared" si="92"/>
        <v>5</v>
      </c>
      <c r="AL340">
        <f t="shared" si="100"/>
        <v>4</v>
      </c>
      <c r="AM340" t="str">
        <f t="shared" si="101"/>
        <v>April</v>
      </c>
      <c r="AN340">
        <f t="shared" si="102"/>
        <v>2023</v>
      </c>
      <c r="AO340" t="str">
        <f t="shared" si="103"/>
        <v>&gt;3</v>
      </c>
      <c r="AP340" t="str">
        <f t="shared" si="104"/>
        <v>&gt;3</v>
      </c>
      <c r="AQ340" t="str">
        <f t="shared" si="105"/>
        <v>&gt;3</v>
      </c>
    </row>
    <row r="341" spans="1:43" x14ac:dyDescent="0.3">
      <c r="A341" t="s">
        <v>33</v>
      </c>
      <c r="B341" t="s">
        <v>385</v>
      </c>
      <c r="C341" t="s">
        <v>70</v>
      </c>
      <c r="D341">
        <v>1522</v>
      </c>
      <c r="E341">
        <v>23210078</v>
      </c>
      <c r="F341" t="s">
        <v>372</v>
      </c>
      <c r="G341" t="s">
        <v>373</v>
      </c>
      <c r="H341">
        <v>50</v>
      </c>
      <c r="I341">
        <v>250</v>
      </c>
      <c r="J341">
        <v>12500</v>
      </c>
      <c r="K341" s="7" t="str">
        <f>IFERROR(IF(B341&lt;&gt;"", TEXT(VLOOKUP(B341, 'Expected Date'!A:B, 2, FALSE) + DATE(RIGHT(C341,2),MID(C341,4,2),LEFT(C341,2)), "dd/mm/yy"), ""), "")</f>
        <v>04/05/23</v>
      </c>
      <c r="L341" t="s">
        <v>68</v>
      </c>
      <c r="M341" t="s">
        <v>48</v>
      </c>
      <c r="N341" t="s">
        <v>342</v>
      </c>
      <c r="O341" t="s">
        <v>108</v>
      </c>
      <c r="P341">
        <v>23290226</v>
      </c>
      <c r="Q341" t="s">
        <v>372</v>
      </c>
      <c r="R341" t="s">
        <v>373</v>
      </c>
      <c r="S341">
        <v>10.66</v>
      </c>
      <c r="T341">
        <v>250</v>
      </c>
      <c r="U341">
        <v>2665</v>
      </c>
      <c r="V341" t="str">
        <f t="shared" si="89"/>
        <v>Dahej</v>
      </c>
      <c r="W341" t="str">
        <f>VLOOKUP(B341, Currency!A:B, 2, FALSE)</f>
        <v>INR</v>
      </c>
      <c r="X341" t="str">
        <f t="shared" si="89"/>
        <v>Accepted</v>
      </c>
      <c r="Y341">
        <f>IFERROR(VLOOKUP(N341, Payment_Terms!A:B, 2, FALSE), "Payment term not found!")</f>
        <v>30</v>
      </c>
      <c r="Z341" t="str">
        <f>IFERROR(VLOOKUP(R341, Item_Category!A:B, 2, FALSE), "Uncategorized")</f>
        <v>HCL</v>
      </c>
      <c r="AA341" s="5">
        <f t="shared" si="93"/>
        <v>0.43</v>
      </c>
      <c r="AB341">
        <f t="shared" si="94"/>
        <v>1</v>
      </c>
      <c r="AC341" s="10">
        <f t="shared" si="95"/>
        <v>6</v>
      </c>
      <c r="AD341">
        <f t="shared" si="96"/>
        <v>3</v>
      </c>
      <c r="AE341" s="10">
        <f t="shared" si="97"/>
        <v>16</v>
      </c>
      <c r="AF341" s="5">
        <f t="shared" si="90"/>
        <v>1</v>
      </c>
      <c r="AG341" s="5">
        <f t="shared" si="91"/>
        <v>1</v>
      </c>
      <c r="AH341" s="5">
        <f t="shared" si="98"/>
        <v>0</v>
      </c>
      <c r="AI341">
        <f>IF(B341&lt;&gt;"", COUNTIFS($B$2:B341, B341), "")</f>
        <v>2</v>
      </c>
      <c r="AJ341">
        <f t="shared" si="99"/>
        <v>5</v>
      </c>
      <c r="AK341">
        <f t="shared" si="92"/>
        <v>4</v>
      </c>
      <c r="AL341">
        <f t="shared" si="100"/>
        <v>4</v>
      </c>
      <c r="AM341" t="str">
        <f t="shared" si="101"/>
        <v>April</v>
      </c>
      <c r="AN341">
        <f t="shared" si="102"/>
        <v>2023</v>
      </c>
      <c r="AO341" t="str">
        <f t="shared" si="103"/>
        <v>&gt;3</v>
      </c>
      <c r="AP341" t="str">
        <f t="shared" si="104"/>
        <v>&lt;=3</v>
      </c>
      <c r="AQ341" t="str">
        <f t="shared" si="105"/>
        <v>&lt;=3</v>
      </c>
    </row>
    <row r="342" spans="1:43" x14ac:dyDescent="0.3">
      <c r="A342" t="s">
        <v>33</v>
      </c>
      <c r="B342" t="s">
        <v>382</v>
      </c>
      <c r="C342" t="s">
        <v>404</v>
      </c>
      <c r="D342">
        <v>1759</v>
      </c>
      <c r="E342">
        <v>23210139</v>
      </c>
      <c r="F342" t="s">
        <v>412</v>
      </c>
      <c r="G342" t="s">
        <v>413</v>
      </c>
      <c r="H342">
        <v>1000</v>
      </c>
      <c r="I342">
        <v>16</v>
      </c>
      <c r="J342">
        <v>16000</v>
      </c>
      <c r="K342" s="7" t="str">
        <f>IFERROR(IF(B342&lt;&gt;"", TEXT(VLOOKUP(B342, 'Expected Date'!A:B, 2, FALSE) + DATE(RIGHT(C342,2),MID(C342,4,2),LEFT(C342,2)), "dd/mm/yy"), ""), "")</f>
        <v>08/05/23</v>
      </c>
      <c r="L342" t="s">
        <v>38</v>
      </c>
      <c r="M342" t="s">
        <v>48</v>
      </c>
      <c r="N342" t="s">
        <v>342</v>
      </c>
      <c r="O342" t="s">
        <v>41</v>
      </c>
      <c r="P342">
        <v>23290227</v>
      </c>
      <c r="Q342" t="s">
        <v>412</v>
      </c>
      <c r="R342" t="s">
        <v>413</v>
      </c>
      <c r="S342">
        <v>1000</v>
      </c>
      <c r="T342">
        <v>16</v>
      </c>
      <c r="U342">
        <v>16000</v>
      </c>
      <c r="V342" t="str">
        <f t="shared" si="89"/>
        <v>Dahej</v>
      </c>
      <c r="W342" t="str">
        <f>VLOOKUP(B342, Currency!A:B, 2, FALSE)</f>
        <v>INR</v>
      </c>
      <c r="X342" t="str">
        <f t="shared" si="89"/>
        <v>Accepted</v>
      </c>
      <c r="Y342">
        <f>IFERROR(VLOOKUP(N342, Payment_Terms!A:B, 2, FALSE), "Payment term not found!")</f>
        <v>30</v>
      </c>
      <c r="Z342" t="str">
        <f>IFERROR(VLOOKUP(R342, Item_Category!A:B, 2, FALSE), "Uncategorized")</f>
        <v>NON FERRIC ALUM</v>
      </c>
      <c r="AA342" s="5">
        <f t="shared" si="93"/>
        <v>0</v>
      </c>
      <c r="AB342">
        <f t="shared" si="94"/>
        <v>5</v>
      </c>
      <c r="AC342" s="10">
        <f t="shared" si="95"/>
        <v>-9</v>
      </c>
      <c r="AD342">
        <f t="shared" si="96"/>
        <v>5</v>
      </c>
      <c r="AE342" s="10">
        <f t="shared" si="97"/>
        <v>1</v>
      </c>
      <c r="AF342" s="5">
        <f t="shared" si="90"/>
        <v>1</v>
      </c>
      <c r="AG342" s="5">
        <f t="shared" si="91"/>
        <v>1</v>
      </c>
      <c r="AH342" s="5">
        <f t="shared" si="98"/>
        <v>0</v>
      </c>
      <c r="AI342">
        <f>IF(B342&lt;&gt;"", COUNTIFS($B$2:B342, B342), "")</f>
        <v>3</v>
      </c>
      <c r="AJ342">
        <f t="shared" si="99"/>
        <v>5</v>
      </c>
      <c r="AK342">
        <f t="shared" si="92"/>
        <v>5</v>
      </c>
      <c r="AL342">
        <f t="shared" si="100"/>
        <v>4</v>
      </c>
      <c r="AM342" t="str">
        <f t="shared" si="101"/>
        <v>April</v>
      </c>
      <c r="AN342">
        <f t="shared" si="102"/>
        <v>2023</v>
      </c>
      <c r="AO342" t="str">
        <f t="shared" si="103"/>
        <v>&gt;3</v>
      </c>
      <c r="AP342" t="str">
        <f t="shared" si="104"/>
        <v>&gt;3</v>
      </c>
      <c r="AQ342" t="str">
        <f t="shared" si="105"/>
        <v>&gt;3</v>
      </c>
    </row>
    <row r="343" spans="1:43" x14ac:dyDescent="0.3">
      <c r="A343" t="s">
        <v>33</v>
      </c>
      <c r="B343" t="s">
        <v>366</v>
      </c>
      <c r="C343" t="s">
        <v>398</v>
      </c>
      <c r="D343">
        <v>1762</v>
      </c>
      <c r="E343">
        <v>23210142</v>
      </c>
      <c r="F343" t="s">
        <v>392</v>
      </c>
      <c r="G343" t="s">
        <v>393</v>
      </c>
      <c r="H343">
        <v>100</v>
      </c>
      <c r="I343">
        <v>11000</v>
      </c>
      <c r="J343">
        <v>1100000</v>
      </c>
      <c r="K343" s="7" t="str">
        <f>IFERROR(IF(B343&lt;&gt;"", TEXT(VLOOKUP(B343, 'Expected Date'!A:B, 2, FALSE) + DATE(RIGHT(C343,2),MID(C343,4,2),LEFT(C343,2)), "dd/mm/yy"), ""), "")</f>
        <v>03/05/23</v>
      </c>
      <c r="L343" t="s">
        <v>68</v>
      </c>
      <c r="M343" t="s">
        <v>48</v>
      </c>
      <c r="N343" t="s">
        <v>370</v>
      </c>
      <c r="O343" t="s">
        <v>398</v>
      </c>
      <c r="P343">
        <v>23290228</v>
      </c>
      <c r="Q343" t="s">
        <v>392</v>
      </c>
      <c r="R343" t="s">
        <v>393</v>
      </c>
      <c r="S343">
        <v>28.33</v>
      </c>
      <c r="T343">
        <v>11000</v>
      </c>
      <c r="U343">
        <v>311630</v>
      </c>
      <c r="V343" t="str">
        <f t="shared" si="89"/>
        <v>Dahej</v>
      </c>
      <c r="W343" t="str">
        <f>VLOOKUP(B343, Currency!A:B, 2, FALSE)</f>
        <v>INR</v>
      </c>
      <c r="X343" t="str">
        <f t="shared" si="89"/>
        <v>Accepted</v>
      </c>
      <c r="Y343">
        <f>IFERROR(VLOOKUP(N343, Payment_Terms!A:B, 2, FALSE), "Payment term not found!")</f>
        <v>15</v>
      </c>
      <c r="Z343" t="str">
        <f>IFERROR(VLOOKUP(R343, Item_Category!A:B, 2, FALSE), "Uncategorized")</f>
        <v>Coal materials</v>
      </c>
      <c r="AA343" s="5">
        <f t="shared" si="93"/>
        <v>0.43375000000000002</v>
      </c>
      <c r="AB343">
        <f t="shared" si="94"/>
        <v>1</v>
      </c>
      <c r="AC343" s="10">
        <f t="shared" si="95"/>
        <v>-2</v>
      </c>
      <c r="AD343">
        <f t="shared" si="96"/>
        <v>5</v>
      </c>
      <c r="AE343" s="10">
        <f t="shared" si="97"/>
        <v>0</v>
      </c>
      <c r="AF343" s="5">
        <f t="shared" si="90"/>
        <v>1</v>
      </c>
      <c r="AG343" s="5">
        <f t="shared" si="91"/>
        <v>1</v>
      </c>
      <c r="AH343" s="5">
        <f t="shared" si="98"/>
        <v>0</v>
      </c>
      <c r="AI343">
        <f>IF(B343&lt;&gt;"", COUNTIFS($B$2:B343, B343), "")</f>
        <v>18</v>
      </c>
      <c r="AJ343">
        <f t="shared" si="99"/>
        <v>5</v>
      </c>
      <c r="AK343">
        <f t="shared" si="92"/>
        <v>4</v>
      </c>
      <c r="AL343">
        <f t="shared" si="100"/>
        <v>5</v>
      </c>
      <c r="AM343" t="str">
        <f t="shared" si="101"/>
        <v>May</v>
      </c>
      <c r="AN343">
        <f t="shared" si="102"/>
        <v>2023</v>
      </c>
      <c r="AO343" t="str">
        <f t="shared" si="103"/>
        <v>&gt;3</v>
      </c>
      <c r="AP343" t="str">
        <f t="shared" si="104"/>
        <v>&lt;=3</v>
      </c>
      <c r="AQ343" t="str">
        <f t="shared" si="105"/>
        <v>&gt;3</v>
      </c>
    </row>
    <row r="344" spans="1:43" x14ac:dyDescent="0.3">
      <c r="A344" t="s">
        <v>33</v>
      </c>
      <c r="B344" t="s">
        <v>366</v>
      </c>
      <c r="C344" t="s">
        <v>398</v>
      </c>
      <c r="D344">
        <v>1762</v>
      </c>
      <c r="E344">
        <v>23210142</v>
      </c>
      <c r="F344" t="s">
        <v>392</v>
      </c>
      <c r="G344" t="s">
        <v>393</v>
      </c>
      <c r="H344">
        <v>100</v>
      </c>
      <c r="I344">
        <v>11000</v>
      </c>
      <c r="J344">
        <v>1100000</v>
      </c>
      <c r="K344" s="7" t="str">
        <f>IFERROR(IF(B344&lt;&gt;"", TEXT(VLOOKUP(B344, 'Expected Date'!A:B, 2, FALSE) + DATE(RIGHT(C344,2),MID(C344,4,2),LEFT(C344,2)), "dd/mm/yy"), ""), "")</f>
        <v>03/05/23</v>
      </c>
      <c r="L344" t="s">
        <v>68</v>
      </c>
      <c r="M344" t="s">
        <v>48</v>
      </c>
      <c r="N344" t="s">
        <v>370</v>
      </c>
      <c r="O344" t="s">
        <v>209</v>
      </c>
      <c r="P344">
        <v>23290231</v>
      </c>
      <c r="Q344" t="s">
        <v>392</v>
      </c>
      <c r="R344" t="s">
        <v>393</v>
      </c>
      <c r="S344">
        <v>28.295000000000002</v>
      </c>
      <c r="T344">
        <v>11000</v>
      </c>
      <c r="U344">
        <v>311245</v>
      </c>
      <c r="V344" t="str">
        <f t="shared" si="89"/>
        <v>Dahej</v>
      </c>
      <c r="W344" t="str">
        <f>VLOOKUP(B344, Currency!A:B, 2, FALSE)</f>
        <v>INR</v>
      </c>
      <c r="X344" t="str">
        <f t="shared" si="89"/>
        <v>Accepted</v>
      </c>
      <c r="Y344">
        <f>IFERROR(VLOOKUP(N344, Payment_Terms!A:B, 2, FALSE), "Payment term not found!")</f>
        <v>15</v>
      </c>
      <c r="Z344" t="str">
        <f>IFERROR(VLOOKUP(R344, Item_Category!A:B, 2, FALSE), "Uncategorized")</f>
        <v>Coal materials</v>
      </c>
      <c r="AA344" s="5">
        <f t="shared" si="93"/>
        <v>0.43375000000000002</v>
      </c>
      <c r="AB344">
        <f t="shared" si="94"/>
        <v>1</v>
      </c>
      <c r="AC344" s="10">
        <f t="shared" si="95"/>
        <v>2</v>
      </c>
      <c r="AD344">
        <f t="shared" si="96"/>
        <v>5</v>
      </c>
      <c r="AE344" s="10">
        <f t="shared" si="97"/>
        <v>4</v>
      </c>
      <c r="AF344" s="5">
        <f t="shared" si="90"/>
        <v>1</v>
      </c>
      <c r="AG344" s="5">
        <f t="shared" si="91"/>
        <v>1</v>
      </c>
      <c r="AH344" s="5">
        <f t="shared" si="98"/>
        <v>0</v>
      </c>
      <c r="AI344">
        <f>IF(B344&lt;&gt;"", COUNTIFS($B$2:B344, B344), "")</f>
        <v>19</v>
      </c>
      <c r="AJ344">
        <f t="shared" si="99"/>
        <v>5</v>
      </c>
      <c r="AK344">
        <f t="shared" si="92"/>
        <v>4</v>
      </c>
      <c r="AL344">
        <f t="shared" si="100"/>
        <v>5</v>
      </c>
      <c r="AM344" t="str">
        <f t="shared" si="101"/>
        <v>May</v>
      </c>
      <c r="AN344">
        <f t="shared" si="102"/>
        <v>2023</v>
      </c>
      <c r="AO344" t="str">
        <f t="shared" si="103"/>
        <v>&gt;3</v>
      </c>
      <c r="AP344" t="str">
        <f t="shared" si="104"/>
        <v>&lt;=3</v>
      </c>
      <c r="AQ344" t="str">
        <f t="shared" si="105"/>
        <v>&gt;3</v>
      </c>
    </row>
    <row r="345" spans="1:43" x14ac:dyDescent="0.3">
      <c r="A345" t="s">
        <v>33</v>
      </c>
      <c r="B345" t="s">
        <v>386</v>
      </c>
      <c r="C345" t="s">
        <v>238</v>
      </c>
      <c r="D345">
        <v>1760</v>
      </c>
      <c r="E345">
        <v>23210140</v>
      </c>
      <c r="F345" t="s">
        <v>440</v>
      </c>
      <c r="G345" t="s">
        <v>441</v>
      </c>
      <c r="H345">
        <v>120.4</v>
      </c>
      <c r="I345">
        <v>130</v>
      </c>
      <c r="J345">
        <v>15652</v>
      </c>
      <c r="K345" s="7" t="str">
        <f>IFERROR(IF(B345&lt;&gt;"", TEXT(VLOOKUP(B345, 'Expected Date'!A:B, 2, FALSE) + DATE(RIGHT(C345,2),MID(C345,4,2),LEFT(C345,2)), "dd/mm/yy"), ""), "")</f>
        <v>09/05/23</v>
      </c>
      <c r="L345" t="s">
        <v>38</v>
      </c>
      <c r="M345" t="s">
        <v>48</v>
      </c>
      <c r="N345" t="s">
        <v>342</v>
      </c>
      <c r="O345" t="s">
        <v>145</v>
      </c>
      <c r="P345">
        <v>23290232</v>
      </c>
      <c r="Q345" t="s">
        <v>440</v>
      </c>
      <c r="R345" t="s">
        <v>441</v>
      </c>
      <c r="S345">
        <v>120.4</v>
      </c>
      <c r="T345">
        <v>130</v>
      </c>
      <c r="U345">
        <v>15652</v>
      </c>
      <c r="V345" t="str">
        <f t="shared" si="89"/>
        <v>Dahej</v>
      </c>
      <c r="W345" t="str">
        <f>VLOOKUP(B345, Currency!A:B, 2, FALSE)</f>
        <v>INR</v>
      </c>
      <c r="X345" t="str">
        <f t="shared" si="89"/>
        <v>Accepted</v>
      </c>
      <c r="Y345">
        <f>IFERROR(VLOOKUP(N345, Payment_Terms!A:B, 2, FALSE), "Payment term not found!")</f>
        <v>30</v>
      </c>
      <c r="Z345" t="str">
        <f>IFERROR(VLOOKUP(R345, Item_Category!A:B, 2, FALSE), "Uncategorized")</f>
        <v>PP rope</v>
      </c>
      <c r="AA345" s="5">
        <f t="shared" si="93"/>
        <v>0</v>
      </c>
      <c r="AB345">
        <f t="shared" si="94"/>
        <v>5</v>
      </c>
      <c r="AC345" s="10">
        <f t="shared" si="95"/>
        <v>-2</v>
      </c>
      <c r="AD345">
        <f t="shared" si="96"/>
        <v>5</v>
      </c>
      <c r="AE345" s="10">
        <f t="shared" si="97"/>
        <v>3</v>
      </c>
      <c r="AF345" s="5">
        <f t="shared" si="90"/>
        <v>1</v>
      </c>
      <c r="AG345" s="5">
        <f t="shared" si="91"/>
        <v>1</v>
      </c>
      <c r="AH345" s="5">
        <f t="shared" si="98"/>
        <v>0</v>
      </c>
      <c r="AI345">
        <f>IF(B345&lt;&gt;"", COUNTIFS($B$2:B345, B345), "")</f>
        <v>4</v>
      </c>
      <c r="AJ345">
        <f t="shared" si="99"/>
        <v>5</v>
      </c>
      <c r="AK345">
        <f t="shared" si="92"/>
        <v>5</v>
      </c>
      <c r="AL345">
        <f t="shared" si="100"/>
        <v>5</v>
      </c>
      <c r="AM345" t="str">
        <f t="shared" si="101"/>
        <v>May</v>
      </c>
      <c r="AN345">
        <f t="shared" si="102"/>
        <v>2023</v>
      </c>
      <c r="AO345" t="str">
        <f t="shared" si="103"/>
        <v>&gt;3</v>
      </c>
      <c r="AP345" t="str">
        <f t="shared" si="104"/>
        <v>&gt;3</v>
      </c>
      <c r="AQ345" t="str">
        <f t="shared" si="105"/>
        <v>&gt;3</v>
      </c>
    </row>
    <row r="346" spans="1:43" x14ac:dyDescent="0.3">
      <c r="A346" t="s">
        <v>33</v>
      </c>
      <c r="B346" t="s">
        <v>386</v>
      </c>
      <c r="C346" t="s">
        <v>428</v>
      </c>
      <c r="D346">
        <v>1630</v>
      </c>
      <c r="E346">
        <v>23210110</v>
      </c>
      <c r="F346" t="s">
        <v>410</v>
      </c>
      <c r="G346" t="s">
        <v>411</v>
      </c>
      <c r="H346">
        <v>610</v>
      </c>
      <c r="I346">
        <v>129</v>
      </c>
      <c r="J346">
        <v>78690</v>
      </c>
      <c r="K346" s="7" t="str">
        <f>IFERROR(IF(B346&lt;&gt;"", TEXT(VLOOKUP(B346, 'Expected Date'!A:B, 2, FALSE) + DATE(RIGHT(C346,2),MID(C346,4,2),LEFT(C346,2)), "dd/mm/yy"), ""), "")</f>
        <v>08/04/23</v>
      </c>
      <c r="L346" t="s">
        <v>68</v>
      </c>
      <c r="M346" t="s">
        <v>48</v>
      </c>
      <c r="N346" t="s">
        <v>342</v>
      </c>
      <c r="O346" t="s">
        <v>344</v>
      </c>
      <c r="P346">
        <v>23290242</v>
      </c>
      <c r="Q346" t="s">
        <v>410</v>
      </c>
      <c r="R346" t="s">
        <v>411</v>
      </c>
      <c r="S346">
        <v>607</v>
      </c>
      <c r="T346">
        <v>129</v>
      </c>
      <c r="U346">
        <v>78303</v>
      </c>
      <c r="V346" t="str">
        <f t="shared" si="89"/>
        <v>Dahej</v>
      </c>
      <c r="W346" t="str">
        <f>VLOOKUP(B346, Currency!A:B, 2, FALSE)</f>
        <v>INR</v>
      </c>
      <c r="X346" t="str">
        <f t="shared" si="89"/>
        <v>Accepted</v>
      </c>
      <c r="Y346">
        <f>IFERROR(VLOOKUP(N346, Payment_Terms!A:B, 2, FALSE), "Payment term not found!")</f>
        <v>30</v>
      </c>
      <c r="Z346" t="str">
        <f>IFERROR(VLOOKUP(R346, Item_Category!A:B, 2, FALSE), "Uncategorized")</f>
        <v>Wrapping 23</v>
      </c>
      <c r="AA346" s="5">
        <f t="shared" si="93"/>
        <v>4.9180327868852463E-3</v>
      </c>
      <c r="AB346">
        <f t="shared" si="94"/>
        <v>4</v>
      </c>
      <c r="AC346" s="10">
        <f t="shared" si="95"/>
        <v>-4</v>
      </c>
      <c r="AD346">
        <f t="shared" si="96"/>
        <v>5</v>
      </c>
      <c r="AE346" s="10">
        <f t="shared" si="97"/>
        <v>1</v>
      </c>
      <c r="AF346" s="5">
        <f t="shared" si="90"/>
        <v>1</v>
      </c>
      <c r="AG346" s="5">
        <f t="shared" si="91"/>
        <v>1</v>
      </c>
      <c r="AH346" s="5">
        <f t="shared" si="98"/>
        <v>0</v>
      </c>
      <c r="AI346">
        <f>IF(B346&lt;&gt;"", COUNTIFS($B$2:B346, B346), "")</f>
        <v>5</v>
      </c>
      <c r="AJ346">
        <f t="shared" si="99"/>
        <v>5</v>
      </c>
      <c r="AK346">
        <f t="shared" si="92"/>
        <v>5</v>
      </c>
      <c r="AL346">
        <f t="shared" si="100"/>
        <v>4</v>
      </c>
      <c r="AM346" t="str">
        <f t="shared" si="101"/>
        <v>April</v>
      </c>
      <c r="AN346">
        <f t="shared" si="102"/>
        <v>2023</v>
      </c>
      <c r="AO346" t="str">
        <f t="shared" si="103"/>
        <v>&gt;3</v>
      </c>
      <c r="AP346" t="str">
        <f t="shared" si="104"/>
        <v>&gt;3</v>
      </c>
      <c r="AQ346" t="str">
        <f t="shared" si="105"/>
        <v>&gt;3</v>
      </c>
    </row>
    <row r="347" spans="1:43" x14ac:dyDescent="0.3">
      <c r="A347" t="s">
        <v>33</v>
      </c>
      <c r="B347" t="s">
        <v>395</v>
      </c>
      <c r="C347" t="s">
        <v>88</v>
      </c>
      <c r="D347">
        <v>2928</v>
      </c>
      <c r="E347">
        <v>23210383</v>
      </c>
      <c r="F347" t="s">
        <v>392</v>
      </c>
      <c r="G347" t="s">
        <v>393</v>
      </c>
      <c r="H347">
        <v>200</v>
      </c>
      <c r="I347">
        <v>10700</v>
      </c>
      <c r="J347">
        <v>2140000</v>
      </c>
      <c r="K347" s="7" t="str">
        <f>IFERROR(IF(B347&lt;&gt;"", TEXT(VLOOKUP(B347, 'Expected Date'!A:B, 2, FALSE) + DATE(RIGHT(C347,2),MID(C347,4,2),LEFT(C347,2)), "dd/mm/yy"), ""), "")</f>
        <v>09/07/23</v>
      </c>
      <c r="L347" t="s">
        <v>68</v>
      </c>
      <c r="M347" t="s">
        <v>48</v>
      </c>
      <c r="N347" t="s">
        <v>370</v>
      </c>
      <c r="O347" t="s">
        <v>90</v>
      </c>
      <c r="P347">
        <v>23290695</v>
      </c>
      <c r="Q347" t="s">
        <v>392</v>
      </c>
      <c r="R347" t="s">
        <v>393</v>
      </c>
      <c r="S347">
        <v>29.81</v>
      </c>
      <c r="T347">
        <v>10700</v>
      </c>
      <c r="U347">
        <v>318967</v>
      </c>
      <c r="V347" t="str">
        <f t="shared" si="89"/>
        <v>Dahej</v>
      </c>
      <c r="W347" t="str">
        <f>VLOOKUP(B347, Currency!A:B, 2, FALSE)</f>
        <v>INR</v>
      </c>
      <c r="X347" t="str">
        <f t="shared" si="89"/>
        <v>Accepted</v>
      </c>
      <c r="Y347">
        <f>IFERROR(VLOOKUP(N347, Payment_Terms!A:B, 2, FALSE), "Payment term not found!")</f>
        <v>15</v>
      </c>
      <c r="Z347" t="str">
        <f>IFERROR(VLOOKUP(R347, Item_Category!A:B, 2, FALSE), "Uncategorized")</f>
        <v>Coal materials</v>
      </c>
      <c r="AA347" s="5">
        <f t="shared" si="93"/>
        <v>5.1500000000000053E-3</v>
      </c>
      <c r="AB347">
        <f t="shared" si="94"/>
        <v>4</v>
      </c>
      <c r="AC347" s="10">
        <f t="shared" si="95"/>
        <v>-3</v>
      </c>
      <c r="AD347">
        <f t="shared" si="96"/>
        <v>5</v>
      </c>
      <c r="AE347" s="10">
        <f t="shared" si="97"/>
        <v>2</v>
      </c>
      <c r="AF347" s="5">
        <f t="shared" si="90"/>
        <v>1</v>
      </c>
      <c r="AG347" s="5">
        <f t="shared" si="91"/>
        <v>1</v>
      </c>
      <c r="AH347" s="5">
        <f t="shared" si="98"/>
        <v>0</v>
      </c>
      <c r="AI347">
        <f>IF(B347&lt;&gt;"", COUNTIFS($B$2:B347, B347), "")</f>
        <v>6</v>
      </c>
      <c r="AJ347">
        <f t="shared" si="99"/>
        <v>5</v>
      </c>
      <c r="AK347">
        <f t="shared" si="92"/>
        <v>5</v>
      </c>
      <c r="AL347">
        <f t="shared" si="100"/>
        <v>7</v>
      </c>
      <c r="AM347" t="str">
        <f t="shared" si="101"/>
        <v>July</v>
      </c>
      <c r="AN347">
        <f t="shared" si="102"/>
        <v>2023</v>
      </c>
      <c r="AO347" t="str">
        <f t="shared" si="103"/>
        <v>&gt;3</v>
      </c>
      <c r="AP347" t="str">
        <f t="shared" si="104"/>
        <v>&gt;3</v>
      </c>
      <c r="AQ347" t="str">
        <f t="shared" si="105"/>
        <v>&gt;3</v>
      </c>
    </row>
    <row r="348" spans="1:43" x14ac:dyDescent="0.3">
      <c r="A348" t="s">
        <v>33</v>
      </c>
      <c r="B348" t="s">
        <v>395</v>
      </c>
      <c r="C348" t="s">
        <v>120</v>
      </c>
      <c r="D348">
        <v>3445</v>
      </c>
      <c r="E348">
        <v>23210471</v>
      </c>
      <c r="F348" t="s">
        <v>392</v>
      </c>
      <c r="G348" t="s">
        <v>393</v>
      </c>
      <c r="H348">
        <v>200</v>
      </c>
      <c r="I348">
        <v>10500</v>
      </c>
      <c r="J348">
        <v>2100000</v>
      </c>
      <c r="K348" s="7" t="str">
        <f>IFERROR(IF(B348&lt;&gt;"", TEXT(VLOOKUP(B348, 'Expected Date'!A:B, 2, FALSE) + DATE(RIGHT(C348,2),MID(C348,4,2),LEFT(C348,2)), "dd/mm/yy"), ""), "")</f>
        <v>25/07/23</v>
      </c>
      <c r="L348" t="s">
        <v>68</v>
      </c>
      <c r="M348" t="s">
        <v>48</v>
      </c>
      <c r="N348" t="s">
        <v>370</v>
      </c>
      <c r="O348" t="s">
        <v>198</v>
      </c>
      <c r="P348">
        <v>23291004</v>
      </c>
      <c r="Q348" t="s">
        <v>392</v>
      </c>
      <c r="R348" t="s">
        <v>393</v>
      </c>
      <c r="S348">
        <v>23.61</v>
      </c>
      <c r="T348">
        <v>10500</v>
      </c>
      <c r="U348">
        <v>247905</v>
      </c>
      <c r="V348" t="str">
        <f t="shared" si="89"/>
        <v>Dahej</v>
      </c>
      <c r="W348" t="str">
        <f>VLOOKUP(B348, Currency!A:B, 2, FALSE)</f>
        <v>INR</v>
      </c>
      <c r="X348" t="str">
        <f t="shared" si="89"/>
        <v>Accepted</v>
      </c>
      <c r="Y348">
        <f>IFERROR(VLOOKUP(N348, Payment_Terms!A:B, 2, FALSE), "Payment term not found!")</f>
        <v>15</v>
      </c>
      <c r="Z348" t="str">
        <f>IFERROR(VLOOKUP(R348, Item_Category!A:B, 2, FALSE), "Uncategorized")</f>
        <v>Coal materials</v>
      </c>
      <c r="AA348" s="5">
        <f t="shared" si="93"/>
        <v>4.2950000000000016E-2</v>
      </c>
      <c r="AB348">
        <f t="shared" si="94"/>
        <v>3</v>
      </c>
      <c r="AC348" s="10">
        <f t="shared" si="95"/>
        <v>6</v>
      </c>
      <c r="AD348">
        <f t="shared" si="96"/>
        <v>3</v>
      </c>
      <c r="AE348" s="10">
        <f t="shared" si="97"/>
        <v>11</v>
      </c>
      <c r="AF348" s="5">
        <f t="shared" si="90"/>
        <v>1</v>
      </c>
      <c r="AG348" s="5">
        <f t="shared" si="91"/>
        <v>1</v>
      </c>
      <c r="AH348" s="5">
        <f t="shared" si="98"/>
        <v>0</v>
      </c>
      <c r="AI348">
        <f>IF(B348&lt;&gt;"", COUNTIFS($B$2:B348, B348), "")</f>
        <v>7</v>
      </c>
      <c r="AJ348">
        <f t="shared" si="99"/>
        <v>5</v>
      </c>
      <c r="AK348">
        <f t="shared" si="92"/>
        <v>4</v>
      </c>
      <c r="AL348">
        <f t="shared" si="100"/>
        <v>7</v>
      </c>
      <c r="AM348" t="str">
        <f t="shared" si="101"/>
        <v>July</v>
      </c>
      <c r="AN348">
        <f t="shared" si="102"/>
        <v>2023</v>
      </c>
      <c r="AO348" t="str">
        <f t="shared" si="103"/>
        <v>&gt;3</v>
      </c>
      <c r="AP348" t="str">
        <f t="shared" si="104"/>
        <v>&lt;=3</v>
      </c>
      <c r="AQ348" t="str">
        <f t="shared" si="105"/>
        <v>&lt;=3</v>
      </c>
    </row>
    <row r="349" spans="1:43" x14ac:dyDescent="0.3">
      <c r="A349" t="s">
        <v>33</v>
      </c>
      <c r="B349" t="s">
        <v>395</v>
      </c>
      <c r="C349" t="s">
        <v>180</v>
      </c>
      <c r="D349">
        <v>3444</v>
      </c>
      <c r="E349">
        <v>23210470</v>
      </c>
      <c r="F349" t="s">
        <v>392</v>
      </c>
      <c r="G349" t="s">
        <v>393</v>
      </c>
      <c r="H349">
        <v>90</v>
      </c>
      <c r="I349">
        <v>10700</v>
      </c>
      <c r="J349">
        <v>963000</v>
      </c>
      <c r="K349" s="7" t="str">
        <f>IFERROR(IF(B349&lt;&gt;"", TEXT(VLOOKUP(B349, 'Expected Date'!A:B, 2, FALSE) + DATE(RIGHT(C349,2),MID(C349,4,2),LEFT(C349,2)), "dd/mm/yy"), ""), "")</f>
        <v>20/07/23</v>
      </c>
      <c r="L349" t="s">
        <v>68</v>
      </c>
      <c r="M349" t="s">
        <v>48</v>
      </c>
      <c r="N349" t="s">
        <v>370</v>
      </c>
      <c r="O349" t="s">
        <v>423</v>
      </c>
      <c r="P349">
        <v>23290975</v>
      </c>
      <c r="Q349" t="s">
        <v>392</v>
      </c>
      <c r="R349" t="s">
        <v>393</v>
      </c>
      <c r="S349">
        <v>31.51</v>
      </c>
      <c r="T349">
        <v>10700</v>
      </c>
      <c r="U349">
        <v>337157</v>
      </c>
      <c r="V349" t="str">
        <f t="shared" si="89"/>
        <v>Dahej</v>
      </c>
      <c r="W349" t="str">
        <f>VLOOKUP(B349, Currency!A:B, 2, FALSE)</f>
        <v>INR</v>
      </c>
      <c r="X349" t="str">
        <f t="shared" si="89"/>
        <v>Accepted</v>
      </c>
      <c r="Y349">
        <f>IFERROR(VLOOKUP(N349, Payment_Terms!A:B, 2, FALSE), "Payment term not found!")</f>
        <v>15</v>
      </c>
      <c r="Z349" t="str">
        <f>IFERROR(VLOOKUP(R349, Item_Category!A:B, 2, FALSE), "Uncategorized")</f>
        <v>Coal materials</v>
      </c>
      <c r="AA349" s="5">
        <f t="shared" si="93"/>
        <v>0.64988888888888885</v>
      </c>
      <c r="AB349">
        <f t="shared" si="94"/>
        <v>1</v>
      </c>
      <c r="AC349" s="10">
        <f t="shared" si="95"/>
        <v>2</v>
      </c>
      <c r="AD349">
        <f t="shared" si="96"/>
        <v>5</v>
      </c>
      <c r="AE349" s="10">
        <f t="shared" si="97"/>
        <v>7</v>
      </c>
      <c r="AF349" s="5">
        <f t="shared" si="90"/>
        <v>1</v>
      </c>
      <c r="AG349" s="5">
        <f t="shared" si="91"/>
        <v>1</v>
      </c>
      <c r="AH349" s="5">
        <f t="shared" si="98"/>
        <v>0</v>
      </c>
      <c r="AI349">
        <f>IF(B349&lt;&gt;"", COUNTIFS($B$2:B349, B349), "")</f>
        <v>8</v>
      </c>
      <c r="AJ349">
        <f t="shared" si="99"/>
        <v>5</v>
      </c>
      <c r="AK349">
        <f t="shared" si="92"/>
        <v>4</v>
      </c>
      <c r="AL349">
        <f t="shared" si="100"/>
        <v>7</v>
      </c>
      <c r="AM349" t="str">
        <f t="shared" si="101"/>
        <v>July</v>
      </c>
      <c r="AN349">
        <f t="shared" si="102"/>
        <v>2023</v>
      </c>
      <c r="AO349" t="str">
        <f t="shared" si="103"/>
        <v>&gt;3</v>
      </c>
      <c r="AP349" t="str">
        <f t="shared" si="104"/>
        <v>&lt;=3</v>
      </c>
      <c r="AQ349" t="str">
        <f t="shared" si="105"/>
        <v>&gt;3</v>
      </c>
    </row>
    <row r="350" spans="1:43" x14ac:dyDescent="0.3">
      <c r="A350" t="str">
        <f>A304</f>
        <v>Woodpulp</v>
      </c>
      <c r="B350" t="s">
        <v>96</v>
      </c>
      <c r="C350" t="s">
        <v>442</v>
      </c>
      <c r="D350">
        <v>1498</v>
      </c>
      <c r="E350">
        <v>23220011</v>
      </c>
      <c r="F350" t="s">
        <v>443</v>
      </c>
      <c r="G350" t="s">
        <v>99</v>
      </c>
      <c r="H350">
        <v>80</v>
      </c>
      <c r="I350">
        <v>860</v>
      </c>
      <c r="J350">
        <v>5600320</v>
      </c>
      <c r="K350" s="7" t="str">
        <f>IFERROR(IF(B350&lt;&gt;"", TEXT(VLOOKUP(B350, 'Expected Date'!A:B, 2, FALSE) + DATE(RIGHT(C350,2),MID(C350,4,2),LEFT(C350,2)), "dd/mm/yy"), ""), "")</f>
        <v>24/06/23</v>
      </c>
      <c r="L350" t="s">
        <v>68</v>
      </c>
      <c r="M350" t="str">
        <f>M304</f>
        <v>MT</v>
      </c>
      <c r="N350" t="s">
        <v>102</v>
      </c>
      <c r="O350" t="s">
        <v>70</v>
      </c>
      <c r="P350">
        <v>23290127</v>
      </c>
      <c r="Q350" t="s">
        <v>443</v>
      </c>
      <c r="R350" t="s">
        <v>99</v>
      </c>
      <c r="S350">
        <v>79.638999999999996</v>
      </c>
      <c r="T350">
        <v>860</v>
      </c>
      <c r="U350">
        <v>5575048.5599999996</v>
      </c>
      <c r="V350" t="str">
        <f t="shared" ref="V350:V413" si="106">V349</f>
        <v>Dahej</v>
      </c>
      <c r="W350" t="str">
        <f>VLOOKUP(B350, Currency!A:B, 2, FALSE)</f>
        <v>USD</v>
      </c>
      <c r="X350" t="str">
        <f t="shared" ref="X350:X413" si="107">X349</f>
        <v>Accepted</v>
      </c>
      <c r="Y350">
        <f>IFERROR(VLOOKUP(N350, Payment_Terms!A:B, 2, FALSE), "Payment term not found!")</f>
        <v>60</v>
      </c>
      <c r="Z350" t="str">
        <f>IFERROR(VLOOKUP(R350, Item_Category!A:B, 2, FALSE), "Uncategorized")</f>
        <v>Wood pulp</v>
      </c>
      <c r="AA350" s="5">
        <f t="shared" si="93"/>
        <v>4.5125000000000529E-3</v>
      </c>
      <c r="AB350">
        <f t="shared" si="94"/>
        <v>4</v>
      </c>
      <c r="AC350" s="10">
        <f t="shared" si="95"/>
        <v>-61</v>
      </c>
      <c r="AD350">
        <f t="shared" si="96"/>
        <v>5</v>
      </c>
      <c r="AE350" s="10">
        <f t="shared" si="97"/>
        <v>1</v>
      </c>
      <c r="AF350" s="5">
        <f t="shared" si="90"/>
        <v>1</v>
      </c>
      <c r="AG350" s="5">
        <f t="shared" si="91"/>
        <v>1</v>
      </c>
      <c r="AH350" s="5">
        <f t="shared" si="98"/>
        <v>0</v>
      </c>
      <c r="AI350">
        <f>IF(B350&lt;&gt;"", COUNTIFS($B$2:B350, B350), "")</f>
        <v>8</v>
      </c>
      <c r="AJ350">
        <f t="shared" si="99"/>
        <v>5</v>
      </c>
      <c r="AK350">
        <f t="shared" si="92"/>
        <v>5</v>
      </c>
      <c r="AL350">
        <f t="shared" si="100"/>
        <v>4</v>
      </c>
      <c r="AM350" t="str">
        <f t="shared" si="101"/>
        <v>April</v>
      </c>
      <c r="AN350">
        <f t="shared" si="102"/>
        <v>2023</v>
      </c>
      <c r="AO350" t="str">
        <f t="shared" si="103"/>
        <v>&gt;3</v>
      </c>
      <c r="AP350" t="str">
        <f t="shared" si="104"/>
        <v>&gt;3</v>
      </c>
      <c r="AQ350" t="str">
        <f t="shared" si="105"/>
        <v>&gt;3</v>
      </c>
    </row>
    <row r="351" spans="1:43" x14ac:dyDescent="0.3">
      <c r="A351" t="s">
        <v>111</v>
      </c>
      <c r="B351" t="s">
        <v>296</v>
      </c>
      <c r="C351" t="s">
        <v>374</v>
      </c>
      <c r="D351">
        <v>1251</v>
      </c>
      <c r="E351">
        <v>23210020</v>
      </c>
      <c r="F351" t="s">
        <v>445</v>
      </c>
      <c r="G351" t="s">
        <v>446</v>
      </c>
      <c r="H351">
        <v>12000</v>
      </c>
      <c r="I351">
        <v>205</v>
      </c>
      <c r="J351">
        <v>2460000</v>
      </c>
      <c r="K351" s="7" t="str">
        <f>IFERROR(IF(B351&lt;&gt;"", TEXT(VLOOKUP(B351, 'Expected Date'!A:B, 2, FALSE) + DATE(RIGHT(C351,2),MID(C351,4,2),LEFT(C351,2)), "dd/mm/yy"), ""), "")</f>
        <v>28/04/23</v>
      </c>
      <c r="L351" t="s">
        <v>38</v>
      </c>
      <c r="M351" t="s">
        <v>48</v>
      </c>
      <c r="N351" t="s">
        <v>381</v>
      </c>
      <c r="O351" t="s">
        <v>35</v>
      </c>
      <c r="P351">
        <v>23290128</v>
      </c>
      <c r="Q351" t="s">
        <v>445</v>
      </c>
      <c r="R351" t="s">
        <v>446</v>
      </c>
      <c r="S351">
        <v>2000</v>
      </c>
      <c r="T351">
        <v>205</v>
      </c>
      <c r="U351">
        <v>410000</v>
      </c>
      <c r="V351" t="str">
        <f t="shared" si="106"/>
        <v>Dahej</v>
      </c>
      <c r="W351" t="str">
        <f>VLOOKUP(B351, Currency!A:B, 2, FALSE)</f>
        <v>INR</v>
      </c>
      <c r="X351" t="str">
        <f t="shared" si="107"/>
        <v>Accepted</v>
      </c>
      <c r="Y351">
        <f>IFERROR(VLOOKUP(N351, Payment_Terms!A:B, 2, FALSE), "Payment term not found!")</f>
        <v>30</v>
      </c>
      <c r="Z351" t="str">
        <f>IFERROR(VLOOKUP(R351, Item_Category!A:B, 2, FALSE), "Uncategorized")</f>
        <v>SSG - Potato</v>
      </c>
      <c r="AA351" s="5">
        <f t="shared" si="93"/>
        <v>0</v>
      </c>
      <c r="AB351">
        <f t="shared" si="94"/>
        <v>5</v>
      </c>
      <c r="AC351" s="10">
        <f t="shared" si="95"/>
        <v>-1</v>
      </c>
      <c r="AD351">
        <f t="shared" si="96"/>
        <v>5</v>
      </c>
      <c r="AE351" s="10">
        <f t="shared" si="97"/>
        <v>14</v>
      </c>
      <c r="AF351" s="5">
        <f t="shared" si="90"/>
        <v>1</v>
      </c>
      <c r="AG351" s="5">
        <f t="shared" si="91"/>
        <v>1</v>
      </c>
      <c r="AH351" s="5">
        <f t="shared" si="98"/>
        <v>0</v>
      </c>
      <c r="AI351">
        <f>IF(B351&lt;&gt;"", COUNTIFS($B$2:B351, B351), "")</f>
        <v>3</v>
      </c>
      <c r="AJ351">
        <f t="shared" si="99"/>
        <v>5</v>
      </c>
      <c r="AK351">
        <f t="shared" si="92"/>
        <v>5</v>
      </c>
      <c r="AL351">
        <f t="shared" si="100"/>
        <v>4</v>
      </c>
      <c r="AM351" t="str">
        <f t="shared" si="101"/>
        <v>April</v>
      </c>
      <c r="AN351">
        <f t="shared" si="102"/>
        <v>2023</v>
      </c>
      <c r="AO351" t="str">
        <f t="shared" si="103"/>
        <v>&gt;3</v>
      </c>
      <c r="AP351" t="str">
        <f t="shared" si="104"/>
        <v>&gt;3</v>
      </c>
      <c r="AQ351" t="str">
        <f t="shared" si="105"/>
        <v>&gt;3</v>
      </c>
    </row>
    <row r="352" spans="1:43" x14ac:dyDescent="0.3">
      <c r="A352" t="s">
        <v>33</v>
      </c>
      <c r="B352" t="s">
        <v>436</v>
      </c>
      <c r="C352" t="s">
        <v>447</v>
      </c>
      <c r="D352">
        <v>2291</v>
      </c>
      <c r="E352">
        <v>23210245</v>
      </c>
      <c r="F352" t="s">
        <v>430</v>
      </c>
      <c r="G352" t="s">
        <v>431</v>
      </c>
      <c r="H352">
        <v>2500</v>
      </c>
      <c r="I352">
        <v>9.5</v>
      </c>
      <c r="J352">
        <v>23750</v>
      </c>
      <c r="K352" s="7" t="str">
        <f>IFERROR(IF(B352&lt;&gt;"", TEXT(VLOOKUP(B352, 'Expected Date'!A:B, 2, FALSE) + DATE(RIGHT(C352,2),MID(C352,4,2),LEFT(C352,2)), "dd/mm/yy"), ""), "")</f>
        <v>14/06/23</v>
      </c>
      <c r="L352" t="s">
        <v>38</v>
      </c>
      <c r="M352" t="s">
        <v>48</v>
      </c>
      <c r="N352" t="s">
        <v>318</v>
      </c>
      <c r="O352" t="s">
        <v>160</v>
      </c>
      <c r="P352">
        <v>23290445</v>
      </c>
      <c r="Q352" t="s">
        <v>430</v>
      </c>
      <c r="R352" t="s">
        <v>431</v>
      </c>
      <c r="S352">
        <v>2500</v>
      </c>
      <c r="T352">
        <v>9.5</v>
      </c>
      <c r="U352">
        <v>23750</v>
      </c>
      <c r="V352" t="str">
        <f t="shared" si="106"/>
        <v>Dahej</v>
      </c>
      <c r="W352" t="str">
        <f>VLOOKUP(B352, Currency!A:B, 2, FALSE)</f>
        <v>INR</v>
      </c>
      <c r="X352" t="str">
        <f t="shared" si="107"/>
        <v>Accepted</v>
      </c>
      <c r="Y352">
        <f>IFERROR(VLOOKUP(N352, Payment_Terms!A:B, 2, FALSE), "Payment term not found!")</f>
        <v>30</v>
      </c>
      <c r="Z352" t="str">
        <f>IFERROR(VLOOKUP(R352, Item_Category!A:B, 2, FALSE), "Uncategorized")</f>
        <v>Lime</v>
      </c>
      <c r="AA352" s="5">
        <f t="shared" si="93"/>
        <v>0</v>
      </c>
      <c r="AB352">
        <f t="shared" si="94"/>
        <v>5</v>
      </c>
      <c r="AC352" s="10">
        <f t="shared" si="95"/>
        <v>-9</v>
      </c>
      <c r="AD352">
        <f t="shared" si="96"/>
        <v>5</v>
      </c>
      <c r="AE352" s="10">
        <f t="shared" si="97"/>
        <v>1</v>
      </c>
      <c r="AF352" s="5">
        <f t="shared" si="90"/>
        <v>1</v>
      </c>
      <c r="AG352" s="5">
        <f t="shared" si="91"/>
        <v>1</v>
      </c>
      <c r="AH352" s="5">
        <f t="shared" si="98"/>
        <v>0</v>
      </c>
      <c r="AI352">
        <f>IF(B352&lt;&gt;"", COUNTIFS($B$2:B352, B352), "")</f>
        <v>2</v>
      </c>
      <c r="AJ352">
        <f t="shared" si="99"/>
        <v>5</v>
      </c>
      <c r="AK352">
        <f t="shared" si="92"/>
        <v>5</v>
      </c>
      <c r="AL352">
        <f t="shared" si="100"/>
        <v>6</v>
      </c>
      <c r="AM352" t="str">
        <f t="shared" si="101"/>
        <v>June</v>
      </c>
      <c r="AN352">
        <f t="shared" si="102"/>
        <v>2023</v>
      </c>
      <c r="AO352" t="str">
        <f t="shared" si="103"/>
        <v>&gt;3</v>
      </c>
      <c r="AP352" t="str">
        <f t="shared" si="104"/>
        <v>&gt;3</v>
      </c>
      <c r="AQ352" t="str">
        <f t="shared" si="105"/>
        <v>&gt;3</v>
      </c>
    </row>
    <row r="353" spans="1:43" x14ac:dyDescent="0.3">
      <c r="A353" t="s">
        <v>33</v>
      </c>
      <c r="B353" t="s">
        <v>448</v>
      </c>
      <c r="C353" t="s">
        <v>201</v>
      </c>
      <c r="D353">
        <v>2929</v>
      </c>
      <c r="E353">
        <v>23210384</v>
      </c>
      <c r="F353" t="s">
        <v>392</v>
      </c>
      <c r="G353" t="s">
        <v>393</v>
      </c>
      <c r="H353">
        <v>50</v>
      </c>
      <c r="I353">
        <v>9600</v>
      </c>
      <c r="J353">
        <v>480000</v>
      </c>
      <c r="K353" s="7" t="str">
        <f>IFERROR(IF(B353&lt;&gt;"", TEXT(VLOOKUP(B353, 'Expected Date'!A:B, 2, FALSE) + DATE(RIGHT(C353,2),MID(C353,4,2),LEFT(C353,2)), "dd/mm/yy"), ""), "")</f>
        <v>06/07/23</v>
      </c>
      <c r="L353" t="s">
        <v>68</v>
      </c>
      <c r="M353" t="s">
        <v>48</v>
      </c>
      <c r="N353" t="s">
        <v>364</v>
      </c>
      <c r="O353" t="s">
        <v>449</v>
      </c>
      <c r="P353">
        <v>23290699</v>
      </c>
      <c r="Q353" t="s">
        <v>392</v>
      </c>
      <c r="R353" t="s">
        <v>393</v>
      </c>
      <c r="S353">
        <v>25.52</v>
      </c>
      <c r="T353">
        <v>9600</v>
      </c>
      <c r="U353">
        <v>244992</v>
      </c>
      <c r="V353" t="str">
        <f t="shared" si="106"/>
        <v>Dahej</v>
      </c>
      <c r="W353" t="str">
        <f>VLOOKUP(B353, Currency!A:B, 2, FALSE)</f>
        <v>INR</v>
      </c>
      <c r="X353" t="str">
        <f t="shared" si="107"/>
        <v>Accepted</v>
      </c>
      <c r="Y353">
        <f>IFERROR(VLOOKUP(N353, Payment_Terms!A:B, 2, FALSE), "Payment term not found!")</f>
        <v>30</v>
      </c>
      <c r="Z353" t="str">
        <f>IFERROR(VLOOKUP(R353, Item_Category!A:B, 2, FALSE), "Uncategorized")</f>
        <v>Coal materials</v>
      </c>
      <c r="AA353" s="5">
        <f t="shared" si="93"/>
        <v>0.48960000000000004</v>
      </c>
      <c r="AB353">
        <f t="shared" si="94"/>
        <v>1</v>
      </c>
      <c r="AC353" s="10">
        <f t="shared" si="95"/>
        <v>-4</v>
      </c>
      <c r="AD353">
        <f t="shared" si="96"/>
        <v>5</v>
      </c>
      <c r="AE353" s="10">
        <f t="shared" si="97"/>
        <v>1</v>
      </c>
      <c r="AF353" s="5">
        <f t="shared" si="90"/>
        <v>1</v>
      </c>
      <c r="AG353" s="5">
        <f t="shared" si="91"/>
        <v>1</v>
      </c>
      <c r="AH353" s="5">
        <f t="shared" si="98"/>
        <v>0</v>
      </c>
      <c r="AI353">
        <f>IF(B353&lt;&gt;"", COUNTIFS($B$2:B353, B353), "")</f>
        <v>1</v>
      </c>
      <c r="AJ353">
        <f t="shared" si="99"/>
        <v>5</v>
      </c>
      <c r="AK353">
        <f t="shared" si="92"/>
        <v>4</v>
      </c>
      <c r="AL353">
        <f t="shared" si="100"/>
        <v>7</v>
      </c>
      <c r="AM353" t="str">
        <f t="shared" si="101"/>
        <v>July</v>
      </c>
      <c r="AN353">
        <f t="shared" si="102"/>
        <v>2023</v>
      </c>
      <c r="AO353" t="str">
        <f t="shared" si="103"/>
        <v>&gt;3</v>
      </c>
      <c r="AP353" t="str">
        <f t="shared" si="104"/>
        <v>&lt;=3</v>
      </c>
      <c r="AQ353" t="str">
        <f t="shared" si="105"/>
        <v>&gt;3</v>
      </c>
    </row>
    <row r="354" spans="1:43" x14ac:dyDescent="0.3">
      <c r="A354" t="s">
        <v>33</v>
      </c>
      <c r="B354" t="s">
        <v>122</v>
      </c>
      <c r="C354" t="s">
        <v>192</v>
      </c>
      <c r="D354">
        <v>3695</v>
      </c>
      <c r="E354">
        <v>23210540</v>
      </c>
      <c r="F354" t="s">
        <v>405</v>
      </c>
      <c r="G354" t="s">
        <v>406</v>
      </c>
      <c r="H354">
        <v>600</v>
      </c>
      <c r="I354">
        <v>930</v>
      </c>
      <c r="J354">
        <v>558000</v>
      </c>
      <c r="K354" s="7" t="str">
        <f>IFERROR(IF(B354&lt;&gt;"", TEXT(VLOOKUP(B354, 'Expected Date'!A:B, 2, FALSE) + DATE(RIGHT(C354,2),MID(C354,4,2),LEFT(C354,2)), "dd/mm/yy"), ""), "")</f>
        <v>29/08/23</v>
      </c>
      <c r="L354" t="s">
        <v>38</v>
      </c>
      <c r="M354" t="s">
        <v>39</v>
      </c>
      <c r="N354" t="s">
        <v>364</v>
      </c>
      <c r="O354" t="s">
        <v>78</v>
      </c>
      <c r="P354">
        <v>23291213</v>
      </c>
      <c r="Q354" t="s">
        <v>405</v>
      </c>
      <c r="R354" t="s">
        <v>406</v>
      </c>
      <c r="S354">
        <v>180</v>
      </c>
      <c r="T354">
        <v>930</v>
      </c>
      <c r="U354">
        <v>167400</v>
      </c>
      <c r="V354" t="str">
        <f t="shared" si="106"/>
        <v>Dahej</v>
      </c>
      <c r="W354" t="str">
        <f>VLOOKUP(B354, Currency!A:B, 2, FALSE)</f>
        <v>INR</v>
      </c>
      <c r="X354" t="str">
        <f t="shared" si="107"/>
        <v>Accepted</v>
      </c>
      <c r="Y354">
        <f>IFERROR(VLOOKUP(N354, Payment_Terms!A:B, 2, FALSE), "Payment term not found!")</f>
        <v>30</v>
      </c>
      <c r="Z354" t="str">
        <f>IFERROR(VLOOKUP(R354, Item_Category!A:B, 2, FALSE), "Uncategorized")</f>
        <v>Pallets</v>
      </c>
      <c r="AA354" s="5">
        <f t="shared" si="93"/>
        <v>0</v>
      </c>
      <c r="AB354">
        <f t="shared" si="94"/>
        <v>5</v>
      </c>
      <c r="AC354" s="10">
        <f t="shared" si="95"/>
        <v>-5</v>
      </c>
      <c r="AD354">
        <f t="shared" si="96"/>
        <v>5</v>
      </c>
      <c r="AE354" s="10">
        <f t="shared" si="97"/>
        <v>10</v>
      </c>
      <c r="AF354" s="5">
        <f t="shared" si="90"/>
        <v>1</v>
      </c>
      <c r="AG354" s="5">
        <f t="shared" si="91"/>
        <v>1</v>
      </c>
      <c r="AH354" s="5">
        <f t="shared" si="98"/>
        <v>0</v>
      </c>
      <c r="AI354">
        <f>IF(B354&lt;&gt;"", COUNTIFS($B$2:B354, B354), "")</f>
        <v>8</v>
      </c>
      <c r="AJ354">
        <f t="shared" si="99"/>
        <v>5</v>
      </c>
      <c r="AK354">
        <f t="shared" si="92"/>
        <v>5</v>
      </c>
      <c r="AL354">
        <f t="shared" si="100"/>
        <v>8</v>
      </c>
      <c r="AM354" t="str">
        <f t="shared" si="101"/>
        <v>August</v>
      </c>
      <c r="AN354">
        <f t="shared" si="102"/>
        <v>2023</v>
      </c>
      <c r="AO354" t="str">
        <f t="shared" si="103"/>
        <v>&gt;3</v>
      </c>
      <c r="AP354" t="str">
        <f t="shared" si="104"/>
        <v>&gt;3</v>
      </c>
      <c r="AQ354" t="str">
        <f t="shared" si="105"/>
        <v>&gt;3</v>
      </c>
    </row>
    <row r="355" spans="1:43" x14ac:dyDescent="0.3">
      <c r="A355" t="s">
        <v>95</v>
      </c>
      <c r="B355" t="s">
        <v>140</v>
      </c>
      <c r="C355" t="s">
        <v>146</v>
      </c>
      <c r="D355">
        <v>1747</v>
      </c>
      <c r="E355">
        <v>23220015</v>
      </c>
      <c r="F355" t="s">
        <v>359</v>
      </c>
      <c r="G355" t="s">
        <v>360</v>
      </c>
      <c r="H355">
        <v>75</v>
      </c>
      <c r="I355">
        <v>830</v>
      </c>
      <c r="J355">
        <v>5032912.5</v>
      </c>
      <c r="K355" s="7" t="str">
        <f>IFERROR(IF(B355&lt;&gt;"", TEXT(VLOOKUP(B355, 'Expected Date'!A:B, 2, FALSE) + DATE(RIGHT(C355,2),MID(C355,4,2),LEFT(C355,2)), "dd/mm/yy"), ""), "")</f>
        <v>23/06/23</v>
      </c>
      <c r="L355" t="s">
        <v>68</v>
      </c>
      <c r="M355" t="str">
        <f>M350</f>
        <v>MT</v>
      </c>
      <c r="N355" t="s">
        <v>144</v>
      </c>
      <c r="O355" t="s">
        <v>174</v>
      </c>
      <c r="P355">
        <v>23290273</v>
      </c>
      <c r="Q355" t="s">
        <v>359</v>
      </c>
      <c r="R355" t="s">
        <v>360</v>
      </c>
      <c r="S355">
        <v>74.194000000000003</v>
      </c>
      <c r="T355">
        <v>830</v>
      </c>
      <c r="U355">
        <v>4978825.47</v>
      </c>
      <c r="V355" t="str">
        <f t="shared" si="106"/>
        <v>Dahej</v>
      </c>
      <c r="W355" t="str">
        <f>VLOOKUP(B355, Currency!A:B, 2, FALSE)</f>
        <v>USD</v>
      </c>
      <c r="X355" t="str">
        <f t="shared" si="107"/>
        <v>Accepted</v>
      </c>
      <c r="Y355">
        <f>IFERROR(VLOOKUP(N355, Payment_Terms!A:B, 2, FALSE), "Payment term not found!")</f>
        <v>30</v>
      </c>
      <c r="Z355" t="str">
        <f>IFERROR(VLOOKUP(R355, Item_Category!A:B, 2, FALSE), "Uncategorized")</f>
        <v>Wood pulp</v>
      </c>
      <c r="AA355" s="5">
        <f t="shared" si="93"/>
        <v>1.0746666666666632E-2</v>
      </c>
      <c r="AB355">
        <f t="shared" si="94"/>
        <v>4</v>
      </c>
      <c r="AC355" s="10">
        <f t="shared" si="95"/>
        <v>-38</v>
      </c>
      <c r="AD355">
        <f t="shared" si="96"/>
        <v>5</v>
      </c>
      <c r="AE355" s="10">
        <f t="shared" si="97"/>
        <v>7</v>
      </c>
      <c r="AF355" s="5">
        <f t="shared" si="90"/>
        <v>1</v>
      </c>
      <c r="AG355" s="5">
        <f t="shared" si="91"/>
        <v>1</v>
      </c>
      <c r="AH355" s="5">
        <f t="shared" si="98"/>
        <v>0</v>
      </c>
      <c r="AI355">
        <f>IF(B355&lt;&gt;"", COUNTIFS($B$2:B355, B355), "")</f>
        <v>17</v>
      </c>
      <c r="AJ355">
        <f t="shared" si="99"/>
        <v>5</v>
      </c>
      <c r="AK355">
        <f t="shared" si="92"/>
        <v>5</v>
      </c>
      <c r="AL355">
        <f t="shared" si="100"/>
        <v>5</v>
      </c>
      <c r="AM355" t="str">
        <f t="shared" si="101"/>
        <v>May</v>
      </c>
      <c r="AN355">
        <f t="shared" si="102"/>
        <v>2023</v>
      </c>
      <c r="AO355" t="str">
        <f t="shared" si="103"/>
        <v>&gt;3</v>
      </c>
      <c r="AP355" t="str">
        <f t="shared" si="104"/>
        <v>&gt;3</v>
      </c>
      <c r="AQ355" t="str">
        <f t="shared" si="105"/>
        <v>&gt;3</v>
      </c>
    </row>
    <row r="356" spans="1:43" x14ac:dyDescent="0.3">
      <c r="A356" t="s">
        <v>33</v>
      </c>
      <c r="B356" t="s">
        <v>366</v>
      </c>
      <c r="C356" t="s">
        <v>63</v>
      </c>
      <c r="D356">
        <v>2875</v>
      </c>
      <c r="E356">
        <v>23210373</v>
      </c>
      <c r="F356" t="s">
        <v>392</v>
      </c>
      <c r="G356" t="s">
        <v>393</v>
      </c>
      <c r="H356">
        <v>200</v>
      </c>
      <c r="I356">
        <v>11000</v>
      </c>
      <c r="J356">
        <v>2200000</v>
      </c>
      <c r="K356" s="7" t="str">
        <f>IFERROR(IF(B356&lt;&gt;"", TEXT(VLOOKUP(B356, 'Expected Date'!A:B, 2, FALSE) + DATE(RIGHT(C356,2),MID(C356,4,2),LEFT(C356,2)), "dd/mm/yy"), ""), "")</f>
        <v>26/06/23</v>
      </c>
      <c r="L356" t="s">
        <v>68</v>
      </c>
      <c r="M356" t="s">
        <v>48</v>
      </c>
      <c r="N356" t="s">
        <v>370</v>
      </c>
      <c r="O356" t="s">
        <v>89</v>
      </c>
      <c r="P356">
        <v>23290697</v>
      </c>
      <c r="Q356" t="s">
        <v>392</v>
      </c>
      <c r="R356" t="s">
        <v>393</v>
      </c>
      <c r="S356">
        <v>29.38</v>
      </c>
      <c r="T356">
        <v>11000</v>
      </c>
      <c r="U356">
        <v>323180</v>
      </c>
      <c r="V356" t="str">
        <f t="shared" si="106"/>
        <v>Dahej</v>
      </c>
      <c r="W356" t="str">
        <f>VLOOKUP(B356, Currency!A:B, 2, FALSE)</f>
        <v>INR</v>
      </c>
      <c r="X356" t="str">
        <f t="shared" si="107"/>
        <v>Accepted</v>
      </c>
      <c r="Y356">
        <f>IFERROR(VLOOKUP(N356, Payment_Terms!A:B, 2, FALSE), "Payment term not found!")</f>
        <v>15</v>
      </c>
      <c r="Z356" t="str">
        <f>IFERROR(VLOOKUP(R356, Item_Category!A:B, 2, FALSE), "Uncategorized")</f>
        <v>Coal materials</v>
      </c>
      <c r="AA356" s="5">
        <f t="shared" si="93"/>
        <v>0.70605000000000007</v>
      </c>
      <c r="AB356">
        <f t="shared" si="94"/>
        <v>1</v>
      </c>
      <c r="AC356" s="10">
        <f t="shared" si="95"/>
        <v>9</v>
      </c>
      <c r="AD356">
        <f t="shared" si="96"/>
        <v>2</v>
      </c>
      <c r="AE356" s="10">
        <f t="shared" si="97"/>
        <v>11</v>
      </c>
      <c r="AF356" s="5">
        <f t="shared" si="90"/>
        <v>1</v>
      </c>
      <c r="AG356" s="5">
        <f t="shared" si="91"/>
        <v>1</v>
      </c>
      <c r="AH356" s="5">
        <f t="shared" si="98"/>
        <v>0</v>
      </c>
      <c r="AI356">
        <f>IF(B356&lt;&gt;"", COUNTIFS($B$2:B356, B356), "")</f>
        <v>20</v>
      </c>
      <c r="AJ356">
        <f t="shared" si="99"/>
        <v>5</v>
      </c>
      <c r="AK356">
        <f t="shared" si="92"/>
        <v>3</v>
      </c>
      <c r="AL356">
        <f t="shared" si="100"/>
        <v>6</v>
      </c>
      <c r="AM356" t="str">
        <f t="shared" si="101"/>
        <v>June</v>
      </c>
      <c r="AN356">
        <f t="shared" si="102"/>
        <v>2023</v>
      </c>
      <c r="AO356" t="str">
        <f t="shared" si="103"/>
        <v>&gt;3</v>
      </c>
      <c r="AP356" t="str">
        <f t="shared" si="104"/>
        <v>&lt;=3</v>
      </c>
      <c r="AQ356" t="str">
        <f t="shared" si="105"/>
        <v>&lt;=3</v>
      </c>
    </row>
    <row r="357" spans="1:43" x14ac:dyDescent="0.3">
      <c r="A357" t="s">
        <v>33</v>
      </c>
      <c r="B357" t="s">
        <v>366</v>
      </c>
      <c r="C357" t="s">
        <v>63</v>
      </c>
      <c r="D357">
        <v>2875</v>
      </c>
      <c r="E357">
        <v>23210373</v>
      </c>
      <c r="F357" t="s">
        <v>392</v>
      </c>
      <c r="G357" t="s">
        <v>393</v>
      </c>
      <c r="H357">
        <v>200</v>
      </c>
      <c r="I357">
        <v>11000</v>
      </c>
      <c r="J357">
        <v>2200000</v>
      </c>
      <c r="K357" s="7" t="str">
        <f>IFERROR(IF(B357&lt;&gt;"", TEXT(VLOOKUP(B357, 'Expected Date'!A:B, 2, FALSE) + DATE(RIGHT(C357,2),MID(C357,4,2),LEFT(C357,2)), "dd/mm/yy"), ""), "")</f>
        <v>26/06/23</v>
      </c>
      <c r="L357" t="s">
        <v>68</v>
      </c>
      <c r="M357" t="s">
        <v>48</v>
      </c>
      <c r="N357" t="s">
        <v>370</v>
      </c>
      <c r="O357" t="s">
        <v>89</v>
      </c>
      <c r="P357">
        <v>23290698</v>
      </c>
      <c r="Q357" t="s">
        <v>392</v>
      </c>
      <c r="R357" t="s">
        <v>393</v>
      </c>
      <c r="S357">
        <v>29.41</v>
      </c>
      <c r="T357">
        <v>11000</v>
      </c>
      <c r="U357">
        <v>323510</v>
      </c>
      <c r="V357" t="str">
        <f t="shared" si="106"/>
        <v>Dahej</v>
      </c>
      <c r="W357" t="str">
        <f>VLOOKUP(B357, Currency!A:B, 2, FALSE)</f>
        <v>INR</v>
      </c>
      <c r="X357" t="str">
        <f t="shared" si="107"/>
        <v>Accepted</v>
      </c>
      <c r="Y357">
        <f>IFERROR(VLOOKUP(N357, Payment_Terms!A:B, 2, FALSE), "Payment term not found!")</f>
        <v>15</v>
      </c>
      <c r="Z357" t="str">
        <f>IFERROR(VLOOKUP(R357, Item_Category!A:B, 2, FALSE), "Uncategorized")</f>
        <v>Coal materials</v>
      </c>
      <c r="AA357" s="5">
        <f t="shared" si="93"/>
        <v>0.70605000000000007</v>
      </c>
      <c r="AB357">
        <f t="shared" si="94"/>
        <v>1</v>
      </c>
      <c r="AC357" s="10">
        <f t="shared" si="95"/>
        <v>9</v>
      </c>
      <c r="AD357">
        <f t="shared" si="96"/>
        <v>2</v>
      </c>
      <c r="AE357" s="10">
        <f t="shared" si="97"/>
        <v>11</v>
      </c>
      <c r="AF357" s="5">
        <f t="shared" si="90"/>
        <v>1</v>
      </c>
      <c r="AG357" s="5">
        <f t="shared" si="91"/>
        <v>1</v>
      </c>
      <c r="AH357" s="5">
        <f t="shared" si="98"/>
        <v>0</v>
      </c>
      <c r="AI357">
        <f>IF(B357&lt;&gt;"", COUNTIFS($B$2:B357, B357), "")</f>
        <v>21</v>
      </c>
      <c r="AJ357">
        <f t="shared" si="99"/>
        <v>5</v>
      </c>
      <c r="AK357">
        <f t="shared" si="92"/>
        <v>3</v>
      </c>
      <c r="AL357">
        <f t="shared" si="100"/>
        <v>6</v>
      </c>
      <c r="AM357" t="str">
        <f t="shared" si="101"/>
        <v>June</v>
      </c>
      <c r="AN357">
        <f t="shared" si="102"/>
        <v>2023</v>
      </c>
      <c r="AO357" t="str">
        <f t="shared" si="103"/>
        <v>&gt;3</v>
      </c>
      <c r="AP357" t="str">
        <f t="shared" si="104"/>
        <v>&lt;=3</v>
      </c>
      <c r="AQ357" t="str">
        <f t="shared" si="105"/>
        <v>&lt;=3</v>
      </c>
    </row>
    <row r="358" spans="1:43" x14ac:dyDescent="0.3">
      <c r="A358" t="s">
        <v>33</v>
      </c>
      <c r="B358" t="s">
        <v>386</v>
      </c>
      <c r="C358" t="s">
        <v>238</v>
      </c>
      <c r="D358">
        <v>1760</v>
      </c>
      <c r="E358">
        <v>23210140</v>
      </c>
      <c r="F358" t="s">
        <v>450</v>
      </c>
      <c r="G358" t="s">
        <v>451</v>
      </c>
      <c r="H358">
        <v>280</v>
      </c>
      <c r="I358">
        <v>35</v>
      </c>
      <c r="J358">
        <v>9800</v>
      </c>
      <c r="K358" s="7" t="str">
        <f>IFERROR(IF(B358&lt;&gt;"", TEXT(VLOOKUP(B358, 'Expected Date'!A:B, 2, FALSE) + DATE(RIGHT(C358,2),MID(C358,4,2),LEFT(C358,2)), "dd/mm/yy"), ""), "")</f>
        <v>09/05/23</v>
      </c>
      <c r="L358" t="s">
        <v>38</v>
      </c>
      <c r="M358" t="s">
        <v>39</v>
      </c>
      <c r="N358" t="s">
        <v>342</v>
      </c>
      <c r="O358" t="s">
        <v>145</v>
      </c>
      <c r="P358">
        <v>23290232</v>
      </c>
      <c r="Q358" t="s">
        <v>450</v>
      </c>
      <c r="R358" t="s">
        <v>451</v>
      </c>
      <c r="S358">
        <v>280</v>
      </c>
      <c r="T358">
        <v>35</v>
      </c>
      <c r="U358">
        <v>9800</v>
      </c>
      <c r="V358" t="str">
        <f t="shared" si="106"/>
        <v>Dahej</v>
      </c>
      <c r="W358" t="str">
        <f>VLOOKUP(B358, Currency!A:B, 2, FALSE)</f>
        <v>INR</v>
      </c>
      <c r="X358" t="str">
        <f t="shared" si="107"/>
        <v>Accepted</v>
      </c>
      <c r="Y358">
        <f>IFERROR(VLOOKUP(N358, Payment_Terms!A:B, 2, FALSE), "Payment term not found!")</f>
        <v>30</v>
      </c>
      <c r="Z358" t="str">
        <f>IFERROR(VLOOKUP(R358, Item_Category!A:B, 2, FALSE), "Uncategorized")</f>
        <v>PP thread</v>
      </c>
      <c r="AA358" s="5">
        <f t="shared" si="93"/>
        <v>0</v>
      </c>
      <c r="AB358">
        <f t="shared" si="94"/>
        <v>5</v>
      </c>
      <c r="AC358" s="10">
        <f t="shared" si="95"/>
        <v>-2</v>
      </c>
      <c r="AD358">
        <f t="shared" si="96"/>
        <v>5</v>
      </c>
      <c r="AE358" s="10">
        <f t="shared" si="97"/>
        <v>3</v>
      </c>
      <c r="AF358" s="5">
        <f t="shared" si="90"/>
        <v>1</v>
      </c>
      <c r="AG358" s="5">
        <f t="shared" si="91"/>
        <v>1</v>
      </c>
      <c r="AH358" s="5">
        <f t="shared" si="98"/>
        <v>0</v>
      </c>
      <c r="AI358">
        <f>IF(B358&lt;&gt;"", COUNTIFS($B$2:B358, B358), "")</f>
        <v>6</v>
      </c>
      <c r="AJ358">
        <f t="shared" si="99"/>
        <v>5</v>
      </c>
      <c r="AK358">
        <f t="shared" si="92"/>
        <v>5</v>
      </c>
      <c r="AL358">
        <f t="shared" si="100"/>
        <v>5</v>
      </c>
      <c r="AM358" t="str">
        <f t="shared" si="101"/>
        <v>May</v>
      </c>
      <c r="AN358">
        <f t="shared" si="102"/>
        <v>2023</v>
      </c>
      <c r="AO358" t="str">
        <f t="shared" si="103"/>
        <v>&gt;3</v>
      </c>
      <c r="AP358" t="str">
        <f t="shared" si="104"/>
        <v>&gt;3</v>
      </c>
      <c r="AQ358" t="str">
        <f t="shared" si="105"/>
        <v>&gt;3</v>
      </c>
    </row>
    <row r="359" spans="1:43" x14ac:dyDescent="0.3">
      <c r="A359" t="s">
        <v>111</v>
      </c>
      <c r="B359" t="s">
        <v>452</v>
      </c>
      <c r="C359" t="s">
        <v>108</v>
      </c>
      <c r="D359">
        <v>1817</v>
      </c>
      <c r="E359">
        <v>23220018</v>
      </c>
      <c r="F359" t="s">
        <v>453</v>
      </c>
      <c r="G359" t="s">
        <v>454</v>
      </c>
      <c r="H359">
        <v>5</v>
      </c>
      <c r="I359">
        <v>7000</v>
      </c>
      <c r="J359">
        <v>35000</v>
      </c>
      <c r="K359" s="7" t="str">
        <f>IFERROR(IF(B359&lt;&gt;"", TEXT(VLOOKUP(B359, 'Expected Date'!A:B, 2, FALSE) + DATE(RIGHT(C359,2),MID(C359,4,2),LEFT(C359,2)), "dd/mm/yy"), ""), "")</f>
        <v>25/05/23</v>
      </c>
      <c r="L359" t="s">
        <v>38</v>
      </c>
      <c r="M359" t="s">
        <v>48</v>
      </c>
      <c r="N359" t="s">
        <v>237</v>
      </c>
      <c r="O359" t="s">
        <v>141</v>
      </c>
      <c r="P359">
        <v>23290239</v>
      </c>
      <c r="Q359" t="s">
        <v>453</v>
      </c>
      <c r="R359" t="s">
        <v>454</v>
      </c>
      <c r="S359">
        <v>5</v>
      </c>
      <c r="T359">
        <v>7000</v>
      </c>
      <c r="U359">
        <v>35000</v>
      </c>
      <c r="V359" t="str">
        <f t="shared" si="106"/>
        <v>Dahej</v>
      </c>
      <c r="W359" t="str">
        <f>VLOOKUP(B359, Currency!A:B, 2, FALSE)</f>
        <v>INR</v>
      </c>
      <c r="X359" t="str">
        <f t="shared" si="107"/>
        <v>Accepted</v>
      </c>
      <c r="Y359">
        <f>IFERROR(VLOOKUP(N359, Payment_Terms!A:B, 2, FALSE), "Payment term not found!")</f>
        <v>0</v>
      </c>
      <c r="Z359" t="str">
        <f>IFERROR(VLOOKUP(R359, Item_Category!A:B, 2, FALSE), "Uncategorized")</f>
        <v xml:space="preserve">Lithium salts </v>
      </c>
      <c r="AA359" s="5">
        <f t="shared" si="93"/>
        <v>0</v>
      </c>
      <c r="AB359">
        <f t="shared" si="94"/>
        <v>5</v>
      </c>
      <c r="AC359" s="10">
        <f t="shared" si="95"/>
        <v>-17</v>
      </c>
      <c r="AD359">
        <f t="shared" si="96"/>
        <v>5</v>
      </c>
      <c r="AE359" s="10">
        <f t="shared" si="97"/>
        <v>2</v>
      </c>
      <c r="AF359" s="5">
        <f t="shared" si="90"/>
        <v>1</v>
      </c>
      <c r="AG359" s="5">
        <f t="shared" si="91"/>
        <v>1</v>
      </c>
      <c r="AH359" s="5">
        <f t="shared" si="98"/>
        <v>0</v>
      </c>
      <c r="AI359">
        <f>IF(B359&lt;&gt;"", COUNTIFS($B$2:B359, B359), "")</f>
        <v>1</v>
      </c>
      <c r="AJ359">
        <f t="shared" si="99"/>
        <v>5</v>
      </c>
      <c r="AK359">
        <f t="shared" si="92"/>
        <v>5</v>
      </c>
      <c r="AL359">
        <f t="shared" si="100"/>
        <v>5</v>
      </c>
      <c r="AM359" t="str">
        <f t="shared" si="101"/>
        <v>May</v>
      </c>
      <c r="AN359">
        <f t="shared" si="102"/>
        <v>2023</v>
      </c>
      <c r="AO359" t="str">
        <f t="shared" si="103"/>
        <v>&gt;3</v>
      </c>
      <c r="AP359" t="str">
        <f t="shared" si="104"/>
        <v>&gt;3</v>
      </c>
      <c r="AQ359" t="str">
        <f t="shared" si="105"/>
        <v>&gt;3</v>
      </c>
    </row>
    <row r="360" spans="1:43" x14ac:dyDescent="0.3">
      <c r="A360" t="str">
        <f>A355</f>
        <v>Woodpulp</v>
      </c>
      <c r="B360" t="s">
        <v>140</v>
      </c>
      <c r="C360" t="s">
        <v>146</v>
      </c>
      <c r="D360">
        <v>1748</v>
      </c>
      <c r="E360">
        <v>23220016</v>
      </c>
      <c r="F360" t="s">
        <v>359</v>
      </c>
      <c r="G360" t="s">
        <v>360</v>
      </c>
      <c r="H360">
        <v>75</v>
      </c>
      <c r="I360">
        <v>830</v>
      </c>
      <c r="J360">
        <v>5032912.5</v>
      </c>
      <c r="K360" s="7" t="str">
        <f>IFERROR(IF(B360&lt;&gt;"", TEXT(VLOOKUP(B360, 'Expected Date'!A:B, 2, FALSE) + DATE(RIGHT(C360,2),MID(C360,4,2),LEFT(C360,2)), "dd/mm/yy"), ""), "")</f>
        <v>23/06/23</v>
      </c>
      <c r="L360" t="s">
        <v>68</v>
      </c>
      <c r="M360" t="str">
        <f>M355</f>
        <v>MT</v>
      </c>
      <c r="N360" t="s">
        <v>144</v>
      </c>
      <c r="O360" t="s">
        <v>238</v>
      </c>
      <c r="P360">
        <v>23290243</v>
      </c>
      <c r="Q360" t="s">
        <v>359</v>
      </c>
      <c r="R360" t="s">
        <v>360</v>
      </c>
      <c r="S360">
        <v>74.227999999999994</v>
      </c>
      <c r="T360">
        <v>830</v>
      </c>
      <c r="U360">
        <v>5014992.1399999997</v>
      </c>
      <c r="V360" t="str">
        <f t="shared" si="106"/>
        <v>Dahej</v>
      </c>
      <c r="W360" t="str">
        <f>VLOOKUP(B360, Currency!A:B, 2, FALSE)</f>
        <v>USD</v>
      </c>
      <c r="X360" t="str">
        <f t="shared" si="107"/>
        <v>Accepted</v>
      </c>
      <c r="Y360">
        <f>IFERROR(VLOOKUP(N360, Payment_Terms!A:B, 2, FALSE), "Payment term not found!")</f>
        <v>30</v>
      </c>
      <c r="Z360" t="str">
        <f>IFERROR(VLOOKUP(R360, Item_Category!A:B, 2, FALSE), "Uncategorized")</f>
        <v>Wood pulp</v>
      </c>
      <c r="AA360" s="5">
        <f t="shared" si="93"/>
        <v>1.0293333333333408E-2</v>
      </c>
      <c r="AB360">
        <f t="shared" si="94"/>
        <v>4</v>
      </c>
      <c r="AC360" s="10">
        <f t="shared" si="95"/>
        <v>-50</v>
      </c>
      <c r="AD360">
        <f t="shared" si="96"/>
        <v>5</v>
      </c>
      <c r="AE360" s="10">
        <f t="shared" si="97"/>
        <v>5</v>
      </c>
      <c r="AF360" s="5">
        <f t="shared" si="90"/>
        <v>1</v>
      </c>
      <c r="AG360" s="5">
        <f t="shared" si="91"/>
        <v>1</v>
      </c>
      <c r="AH360" s="5">
        <f t="shared" si="98"/>
        <v>0</v>
      </c>
      <c r="AI360">
        <f>IF(B360&lt;&gt;"", COUNTIFS($B$2:B360, B360), "")</f>
        <v>18</v>
      </c>
      <c r="AJ360">
        <f t="shared" si="99"/>
        <v>5</v>
      </c>
      <c r="AK360">
        <f t="shared" si="92"/>
        <v>5</v>
      </c>
      <c r="AL360">
        <f t="shared" si="100"/>
        <v>5</v>
      </c>
      <c r="AM360" t="str">
        <f t="shared" si="101"/>
        <v>May</v>
      </c>
      <c r="AN360">
        <f t="shared" si="102"/>
        <v>2023</v>
      </c>
      <c r="AO360" t="str">
        <f t="shared" si="103"/>
        <v>&gt;3</v>
      </c>
      <c r="AP360" t="str">
        <f t="shared" si="104"/>
        <v>&gt;3</v>
      </c>
      <c r="AQ360" t="str">
        <f t="shared" si="105"/>
        <v>&gt;3</v>
      </c>
    </row>
    <row r="361" spans="1:43" x14ac:dyDescent="0.3">
      <c r="A361" t="s">
        <v>33</v>
      </c>
      <c r="B361" t="s">
        <v>122</v>
      </c>
      <c r="C361" t="s">
        <v>404</v>
      </c>
      <c r="D361">
        <v>1611</v>
      </c>
      <c r="E361">
        <v>23210100</v>
      </c>
      <c r="F361" t="s">
        <v>405</v>
      </c>
      <c r="G361" t="s">
        <v>406</v>
      </c>
      <c r="H361">
        <v>600</v>
      </c>
      <c r="I361">
        <v>930</v>
      </c>
      <c r="J361">
        <v>558000</v>
      </c>
      <c r="K361" s="7" t="str">
        <f>IFERROR(IF(B361&lt;&gt;"", TEXT(VLOOKUP(B361, 'Expected Date'!A:B, 2, FALSE) + DATE(RIGHT(C361,2),MID(C361,4,2),LEFT(C361,2)), "dd/mm/yy"), ""), "")</f>
        <v>13/05/23</v>
      </c>
      <c r="L361" t="s">
        <v>38</v>
      </c>
      <c r="M361" t="s">
        <v>48</v>
      </c>
      <c r="N361" t="s">
        <v>364</v>
      </c>
      <c r="O361" t="s">
        <v>300</v>
      </c>
      <c r="P361">
        <v>23290244</v>
      </c>
      <c r="Q361" t="s">
        <v>405</v>
      </c>
      <c r="R361" t="s">
        <v>406</v>
      </c>
      <c r="S361">
        <v>180</v>
      </c>
      <c r="T361">
        <v>930</v>
      </c>
      <c r="U361">
        <v>167400</v>
      </c>
      <c r="V361" t="str">
        <f t="shared" si="106"/>
        <v>Dahej</v>
      </c>
      <c r="W361" t="str">
        <f>VLOOKUP(B361, Currency!A:B, 2, FALSE)</f>
        <v>INR</v>
      </c>
      <c r="X361" t="str">
        <f t="shared" si="107"/>
        <v>Accepted</v>
      </c>
      <c r="Y361">
        <f>IFERROR(VLOOKUP(N361, Payment_Terms!A:B, 2, FALSE), "Payment term not found!")</f>
        <v>30</v>
      </c>
      <c r="Z361" t="str">
        <f>IFERROR(VLOOKUP(R361, Item_Category!A:B, 2, FALSE), "Uncategorized")</f>
        <v>Pallets</v>
      </c>
      <c r="AA361" s="5">
        <f t="shared" si="93"/>
        <v>0</v>
      </c>
      <c r="AB361">
        <f t="shared" si="94"/>
        <v>5</v>
      </c>
      <c r="AC361" s="10">
        <f t="shared" si="95"/>
        <v>-1</v>
      </c>
      <c r="AD361">
        <f t="shared" si="96"/>
        <v>5</v>
      </c>
      <c r="AE361" s="10">
        <f t="shared" si="97"/>
        <v>14</v>
      </c>
      <c r="AF361" s="5">
        <f t="shared" si="90"/>
        <v>1</v>
      </c>
      <c r="AG361" s="5">
        <f t="shared" si="91"/>
        <v>1</v>
      </c>
      <c r="AH361" s="5">
        <f t="shared" si="98"/>
        <v>0</v>
      </c>
      <c r="AI361">
        <f>IF(B361&lt;&gt;"", COUNTIFS($B$2:B361, B361), "")</f>
        <v>9</v>
      </c>
      <c r="AJ361">
        <f t="shared" si="99"/>
        <v>5</v>
      </c>
      <c r="AK361">
        <f t="shared" si="92"/>
        <v>5</v>
      </c>
      <c r="AL361">
        <f t="shared" si="100"/>
        <v>4</v>
      </c>
      <c r="AM361" t="str">
        <f t="shared" si="101"/>
        <v>April</v>
      </c>
      <c r="AN361">
        <f t="shared" si="102"/>
        <v>2023</v>
      </c>
      <c r="AO361" t="str">
        <f t="shared" si="103"/>
        <v>&gt;3</v>
      </c>
      <c r="AP361" t="str">
        <f t="shared" si="104"/>
        <v>&gt;3</v>
      </c>
      <c r="AQ361" t="str">
        <f t="shared" si="105"/>
        <v>&gt;3</v>
      </c>
    </row>
    <row r="362" spans="1:43" x14ac:dyDescent="0.3">
      <c r="A362" t="s">
        <v>33</v>
      </c>
      <c r="B362" t="s">
        <v>386</v>
      </c>
      <c r="C362" t="s">
        <v>432</v>
      </c>
      <c r="D362">
        <v>2145</v>
      </c>
      <c r="E362">
        <v>23210192</v>
      </c>
      <c r="F362" t="s">
        <v>437</v>
      </c>
      <c r="G362" t="s">
        <v>438</v>
      </c>
      <c r="H362">
        <v>12279</v>
      </c>
      <c r="I362">
        <v>9.0442999999999998</v>
      </c>
      <c r="J362">
        <v>111054.96</v>
      </c>
      <c r="K362" s="7" t="str">
        <f>IFERROR(IF(B362&lt;&gt;"", TEXT(VLOOKUP(B362, 'Expected Date'!A:B, 2, FALSE) + DATE(RIGHT(C362,2),MID(C362,4,2),LEFT(C362,2)), "dd/mm/yy"), ""), "")</f>
        <v>27/05/23</v>
      </c>
      <c r="L362" t="s">
        <v>38</v>
      </c>
      <c r="M362" t="s">
        <v>48</v>
      </c>
      <c r="N362" t="s">
        <v>342</v>
      </c>
      <c r="O362" t="s">
        <v>239</v>
      </c>
      <c r="P362">
        <v>23290433</v>
      </c>
      <c r="Q362" t="s">
        <v>437</v>
      </c>
      <c r="R362" t="s">
        <v>438</v>
      </c>
      <c r="S362">
        <v>12279</v>
      </c>
      <c r="T362">
        <v>9.0442999999999998</v>
      </c>
      <c r="U362">
        <v>111054.96</v>
      </c>
      <c r="V362" t="str">
        <f t="shared" si="106"/>
        <v>Dahej</v>
      </c>
      <c r="W362" t="str">
        <f>VLOOKUP(B362, Currency!A:B, 2, FALSE)</f>
        <v>INR</v>
      </c>
      <c r="X362" t="str">
        <f t="shared" si="107"/>
        <v>Accepted</v>
      </c>
      <c r="Y362">
        <f>IFERROR(VLOOKUP(N362, Payment_Terms!A:B, 2, FALSE), "Payment term not found!")</f>
        <v>30</v>
      </c>
      <c r="Z362" t="str">
        <f>IFERROR(VLOOKUP(R362, Item_Category!A:B, 2, FALSE), "Uncategorized")</f>
        <v>Liner</v>
      </c>
      <c r="AA362" s="5">
        <f t="shared" si="93"/>
        <v>0</v>
      </c>
      <c r="AB362">
        <f t="shared" si="94"/>
        <v>5</v>
      </c>
      <c r="AC362" s="10">
        <f t="shared" si="95"/>
        <v>-3</v>
      </c>
      <c r="AD362">
        <f t="shared" si="96"/>
        <v>5</v>
      </c>
      <c r="AE362" s="10">
        <f t="shared" si="97"/>
        <v>2</v>
      </c>
      <c r="AF362" s="5">
        <f t="shared" si="90"/>
        <v>1</v>
      </c>
      <c r="AG362" s="5">
        <f t="shared" si="91"/>
        <v>1</v>
      </c>
      <c r="AH362" s="5">
        <f t="shared" si="98"/>
        <v>0</v>
      </c>
      <c r="AI362">
        <f>IF(B362&lt;&gt;"", COUNTIFS($B$2:B362, B362), "")</f>
        <v>7</v>
      </c>
      <c r="AJ362">
        <f t="shared" si="99"/>
        <v>5</v>
      </c>
      <c r="AK362">
        <f t="shared" si="92"/>
        <v>5</v>
      </c>
      <c r="AL362">
        <f t="shared" si="100"/>
        <v>5</v>
      </c>
      <c r="AM362" t="str">
        <f t="shared" si="101"/>
        <v>May</v>
      </c>
      <c r="AN362">
        <f t="shared" si="102"/>
        <v>2023</v>
      </c>
      <c r="AO362" t="str">
        <f t="shared" si="103"/>
        <v>&gt;3</v>
      </c>
      <c r="AP362" t="str">
        <f t="shared" si="104"/>
        <v>&gt;3</v>
      </c>
      <c r="AQ362" t="str">
        <f t="shared" si="105"/>
        <v>&gt;3</v>
      </c>
    </row>
    <row r="363" spans="1:43" x14ac:dyDescent="0.3">
      <c r="A363" t="s">
        <v>33</v>
      </c>
      <c r="B363" t="s">
        <v>436</v>
      </c>
      <c r="C363" t="s">
        <v>357</v>
      </c>
      <c r="D363">
        <v>2292</v>
      </c>
      <c r="E363">
        <v>23210246</v>
      </c>
      <c r="F363" t="s">
        <v>430</v>
      </c>
      <c r="G363" t="s">
        <v>431</v>
      </c>
      <c r="H363">
        <v>2500</v>
      </c>
      <c r="I363">
        <v>9.5</v>
      </c>
      <c r="J363">
        <v>23750</v>
      </c>
      <c r="K363" s="7" t="str">
        <f>IFERROR(IF(B363&lt;&gt;"", TEXT(VLOOKUP(B363, 'Expected Date'!A:B, 2, FALSE) + DATE(RIGHT(C363,2),MID(C363,4,2),LEFT(C363,2)), "dd/mm/yy"), ""), "")</f>
        <v>09/06/23</v>
      </c>
      <c r="L363" t="s">
        <v>38</v>
      </c>
      <c r="M363" t="s">
        <v>48</v>
      </c>
      <c r="N363" t="s">
        <v>318</v>
      </c>
      <c r="O363" t="s">
        <v>357</v>
      </c>
      <c r="P363">
        <v>23290444</v>
      </c>
      <c r="Q363" t="s">
        <v>430</v>
      </c>
      <c r="R363" t="s">
        <v>431</v>
      </c>
      <c r="S363">
        <v>2500</v>
      </c>
      <c r="T363">
        <v>9.5</v>
      </c>
      <c r="U363">
        <v>23750</v>
      </c>
      <c r="V363" t="str">
        <f t="shared" si="106"/>
        <v>Dahej</v>
      </c>
      <c r="W363" t="str">
        <f>VLOOKUP(B363, Currency!A:B, 2, FALSE)</f>
        <v>INR</v>
      </c>
      <c r="X363" t="str">
        <f t="shared" si="107"/>
        <v>Accepted</v>
      </c>
      <c r="Y363">
        <f>IFERROR(VLOOKUP(N363, Payment_Terms!A:B, 2, FALSE), "Payment term not found!")</f>
        <v>30</v>
      </c>
      <c r="Z363" t="str">
        <f>IFERROR(VLOOKUP(R363, Item_Category!A:B, 2, FALSE), "Uncategorized")</f>
        <v>Lime</v>
      </c>
      <c r="AA363" s="5">
        <f t="shared" si="93"/>
        <v>0</v>
      </c>
      <c r="AB363">
        <f t="shared" si="94"/>
        <v>5</v>
      </c>
      <c r="AC363" s="10">
        <f t="shared" si="95"/>
        <v>-10</v>
      </c>
      <c r="AD363">
        <f t="shared" si="96"/>
        <v>5</v>
      </c>
      <c r="AE363" s="10">
        <f t="shared" si="97"/>
        <v>0</v>
      </c>
      <c r="AF363" s="5">
        <f t="shared" si="90"/>
        <v>1</v>
      </c>
      <c r="AG363" s="5">
        <f t="shared" si="91"/>
        <v>1</v>
      </c>
      <c r="AH363" s="5">
        <f t="shared" si="98"/>
        <v>0</v>
      </c>
      <c r="AI363">
        <f>IF(B363&lt;&gt;"", COUNTIFS($B$2:B363, B363), "")</f>
        <v>3</v>
      </c>
      <c r="AJ363">
        <f t="shared" si="99"/>
        <v>5</v>
      </c>
      <c r="AK363">
        <f t="shared" si="92"/>
        <v>5</v>
      </c>
      <c r="AL363">
        <f t="shared" si="100"/>
        <v>5</v>
      </c>
      <c r="AM363" t="str">
        <f t="shared" si="101"/>
        <v>May</v>
      </c>
      <c r="AN363">
        <f t="shared" si="102"/>
        <v>2023</v>
      </c>
      <c r="AO363" t="str">
        <f t="shared" si="103"/>
        <v>&gt;3</v>
      </c>
      <c r="AP363" t="str">
        <f t="shared" si="104"/>
        <v>&gt;3</v>
      </c>
      <c r="AQ363" t="str">
        <f t="shared" si="105"/>
        <v>&gt;3</v>
      </c>
    </row>
    <row r="364" spans="1:43" x14ac:dyDescent="0.3">
      <c r="A364" t="s">
        <v>33</v>
      </c>
      <c r="B364" t="s">
        <v>122</v>
      </c>
      <c r="C364" t="s">
        <v>416</v>
      </c>
      <c r="D364">
        <v>2054</v>
      </c>
      <c r="E364">
        <v>23210173</v>
      </c>
      <c r="F364" t="s">
        <v>405</v>
      </c>
      <c r="G364" t="s">
        <v>406</v>
      </c>
      <c r="H364">
        <v>600</v>
      </c>
      <c r="I364">
        <v>930</v>
      </c>
      <c r="J364">
        <v>558000</v>
      </c>
      <c r="K364" s="7" t="str">
        <f>IFERROR(IF(B364&lt;&gt;"", TEXT(VLOOKUP(B364, 'Expected Date'!A:B, 2, FALSE) + DATE(RIGHT(C364,2),MID(C364,4,2),LEFT(C364,2)), "dd/mm/yy"), ""), "")</f>
        <v>04/06/23</v>
      </c>
      <c r="L364" t="s">
        <v>38</v>
      </c>
      <c r="M364" t="s">
        <v>39</v>
      </c>
      <c r="N364" t="s">
        <v>364</v>
      </c>
      <c r="O364" t="s">
        <v>89</v>
      </c>
      <c r="P364">
        <v>23290663</v>
      </c>
      <c r="Q364" t="s">
        <v>405</v>
      </c>
      <c r="R364" t="s">
        <v>406</v>
      </c>
      <c r="S364">
        <v>150</v>
      </c>
      <c r="T364">
        <v>930</v>
      </c>
      <c r="U364">
        <v>139500</v>
      </c>
      <c r="V364" t="str">
        <f t="shared" si="106"/>
        <v>Dahej</v>
      </c>
      <c r="W364" t="str">
        <f>VLOOKUP(B364, Currency!A:B, 2, FALSE)</f>
        <v>INR</v>
      </c>
      <c r="X364" t="str">
        <f t="shared" si="107"/>
        <v>Accepted</v>
      </c>
      <c r="Y364">
        <f>IFERROR(VLOOKUP(N364, Payment_Terms!A:B, 2, FALSE), "Payment term not found!")</f>
        <v>30</v>
      </c>
      <c r="Z364" t="str">
        <f>IFERROR(VLOOKUP(R364, Item_Category!A:B, 2, FALSE), "Uncategorized")</f>
        <v>Pallets</v>
      </c>
      <c r="AA364" s="5">
        <f t="shared" si="93"/>
        <v>0</v>
      </c>
      <c r="AB364">
        <f t="shared" si="94"/>
        <v>5</v>
      </c>
      <c r="AC364" s="10">
        <f t="shared" si="95"/>
        <v>31</v>
      </c>
      <c r="AD364">
        <f t="shared" si="96"/>
        <v>1</v>
      </c>
      <c r="AE364" s="10">
        <f t="shared" si="97"/>
        <v>46</v>
      </c>
      <c r="AF364" s="5">
        <f t="shared" si="90"/>
        <v>1</v>
      </c>
      <c r="AG364" s="5">
        <f t="shared" si="91"/>
        <v>1</v>
      </c>
      <c r="AH364" s="5">
        <f t="shared" si="98"/>
        <v>0</v>
      </c>
      <c r="AI364">
        <f>IF(B364&lt;&gt;"", COUNTIFS($B$2:B364, B364), "")</f>
        <v>10</v>
      </c>
      <c r="AJ364">
        <f t="shared" si="99"/>
        <v>5</v>
      </c>
      <c r="AK364">
        <f t="shared" si="92"/>
        <v>4</v>
      </c>
      <c r="AL364">
        <f t="shared" si="100"/>
        <v>5</v>
      </c>
      <c r="AM364" t="str">
        <f t="shared" si="101"/>
        <v>May</v>
      </c>
      <c r="AN364">
        <f t="shared" si="102"/>
        <v>2023</v>
      </c>
      <c r="AO364" t="str">
        <f t="shared" si="103"/>
        <v>&gt;3</v>
      </c>
      <c r="AP364" t="str">
        <f t="shared" si="104"/>
        <v>&gt;3</v>
      </c>
      <c r="AQ364" t="str">
        <f t="shared" si="105"/>
        <v>&lt;=3</v>
      </c>
    </row>
    <row r="365" spans="1:43" x14ac:dyDescent="0.3">
      <c r="A365" t="str">
        <f>A304</f>
        <v>Woodpulp</v>
      </c>
      <c r="B365" t="s">
        <v>96</v>
      </c>
      <c r="C365" t="s">
        <v>97</v>
      </c>
      <c r="D365">
        <v>1234</v>
      </c>
      <c r="E365">
        <v>23220003</v>
      </c>
      <c r="F365" t="s">
        <v>443</v>
      </c>
      <c r="G365" t="s">
        <v>99</v>
      </c>
      <c r="H365">
        <v>52</v>
      </c>
      <c r="I365">
        <v>820</v>
      </c>
      <c r="J365">
        <v>3458104</v>
      </c>
      <c r="K365" s="7" t="str">
        <f>IFERROR(IF(B365&lt;&gt;"", TEXT(VLOOKUP(B365, 'Expected Date'!A:B, 2, FALSE) + DATE(RIGHT(C365,2),MID(C365,4,2),LEFT(C365,2)), "dd/mm/yy"), ""), "")</f>
        <v>10/06/23</v>
      </c>
      <c r="L365" t="s">
        <v>38</v>
      </c>
      <c r="M365" t="str">
        <f>M355</f>
        <v>MT</v>
      </c>
      <c r="N365" t="s">
        <v>102</v>
      </c>
      <c r="O365" t="s">
        <v>120</v>
      </c>
      <c r="P365">
        <v>23290901</v>
      </c>
      <c r="Q365" t="s">
        <v>443</v>
      </c>
      <c r="R365" t="s">
        <v>99</v>
      </c>
      <c r="S365">
        <v>52.762999999999998</v>
      </c>
      <c r="T365">
        <v>820</v>
      </c>
      <c r="U365">
        <v>3528314.57</v>
      </c>
      <c r="V365" t="str">
        <f t="shared" si="106"/>
        <v>Dahej</v>
      </c>
      <c r="W365" t="str">
        <f>VLOOKUP(B365, Currency!A:B, 2, FALSE)</f>
        <v>USD</v>
      </c>
      <c r="X365" t="str">
        <f t="shared" si="107"/>
        <v>Accepted</v>
      </c>
      <c r="Y365">
        <f>IFERROR(VLOOKUP(N365, Payment_Terms!A:B, 2, FALSE), "Payment term not found!")</f>
        <v>60</v>
      </c>
      <c r="Z365" t="str">
        <f>IFERROR(VLOOKUP(R365, Item_Category!A:B, 2, FALSE), "Uncategorized")</f>
        <v>Wood pulp</v>
      </c>
      <c r="AA365" s="5">
        <f t="shared" si="93"/>
        <v>0</v>
      </c>
      <c r="AB365">
        <f t="shared" si="94"/>
        <v>5</v>
      </c>
      <c r="AC365" s="10">
        <f t="shared" si="95"/>
        <v>40</v>
      </c>
      <c r="AD365">
        <f t="shared" si="96"/>
        <v>1</v>
      </c>
      <c r="AE365" s="10">
        <f t="shared" si="97"/>
        <v>100</v>
      </c>
      <c r="AF365" s="5">
        <f t="shared" si="90"/>
        <v>1</v>
      </c>
      <c r="AG365" s="5">
        <f t="shared" si="91"/>
        <v>1</v>
      </c>
      <c r="AH365" s="5">
        <f t="shared" si="98"/>
        <v>0</v>
      </c>
      <c r="AI365">
        <f>IF(B365&lt;&gt;"", COUNTIFS($B$2:B365, B365), "")</f>
        <v>9</v>
      </c>
      <c r="AJ365">
        <f t="shared" si="99"/>
        <v>5</v>
      </c>
      <c r="AK365">
        <f t="shared" si="92"/>
        <v>4</v>
      </c>
      <c r="AL365">
        <f t="shared" si="100"/>
        <v>4</v>
      </c>
      <c r="AM365" t="str">
        <f t="shared" si="101"/>
        <v>April</v>
      </c>
      <c r="AN365">
        <f t="shared" si="102"/>
        <v>2023</v>
      </c>
      <c r="AO365" t="str">
        <f t="shared" si="103"/>
        <v>&gt;3</v>
      </c>
      <c r="AP365" t="str">
        <f t="shared" si="104"/>
        <v>&gt;3</v>
      </c>
      <c r="AQ365" t="str">
        <f t="shared" si="105"/>
        <v>&lt;=3</v>
      </c>
    </row>
    <row r="366" spans="1:43" x14ac:dyDescent="0.3">
      <c r="A366" t="s">
        <v>33</v>
      </c>
      <c r="B366" t="s">
        <v>366</v>
      </c>
      <c r="C366" t="s">
        <v>432</v>
      </c>
      <c r="D366">
        <v>2140</v>
      </c>
      <c r="E366">
        <v>23210187</v>
      </c>
      <c r="F366" t="s">
        <v>368</v>
      </c>
      <c r="G366" t="s">
        <v>369</v>
      </c>
      <c r="H366">
        <v>100000</v>
      </c>
      <c r="I366">
        <v>9.1</v>
      </c>
      <c r="J366">
        <v>910000</v>
      </c>
      <c r="K366" s="7" t="str">
        <f>IFERROR(IF(B366&lt;&gt;"", TEXT(VLOOKUP(B366, 'Expected Date'!A:B, 2, FALSE) + DATE(RIGHT(C366,2),MID(C366,4,2),LEFT(C366,2)), "dd/mm/yy"), ""), "")</f>
        <v>24/05/23</v>
      </c>
      <c r="L366" t="s">
        <v>68</v>
      </c>
      <c r="M366" t="s">
        <v>48</v>
      </c>
      <c r="N366" t="s">
        <v>370</v>
      </c>
      <c r="O366" t="s">
        <v>138</v>
      </c>
      <c r="P366">
        <v>23290399</v>
      </c>
      <c r="Q366" t="s">
        <v>368</v>
      </c>
      <c r="R366" t="s">
        <v>369</v>
      </c>
      <c r="S366">
        <v>29490</v>
      </c>
      <c r="T366">
        <v>9.1</v>
      </c>
      <c r="U366">
        <v>268359</v>
      </c>
      <c r="V366" t="str">
        <f t="shared" si="106"/>
        <v>Dahej</v>
      </c>
      <c r="W366" t="str">
        <f>VLOOKUP(B366, Currency!A:B, 2, FALSE)</f>
        <v>INR</v>
      </c>
      <c r="X366" t="str">
        <f t="shared" si="107"/>
        <v>Accepted</v>
      </c>
      <c r="Y366">
        <f>IFERROR(VLOOKUP(N366, Payment_Terms!A:B, 2, FALSE), "Payment term not found!")</f>
        <v>15</v>
      </c>
      <c r="Z366" t="str">
        <f>IFERROR(VLOOKUP(R366, Item_Category!A:B, 2, FALSE), "Uncategorized")</f>
        <v>Coal materials</v>
      </c>
      <c r="AA366" s="5">
        <f t="shared" si="93"/>
        <v>2.7099999999999999E-2</v>
      </c>
      <c r="AB366">
        <f t="shared" si="94"/>
        <v>3</v>
      </c>
      <c r="AC366" s="10">
        <f t="shared" si="95"/>
        <v>4</v>
      </c>
      <c r="AD366">
        <f t="shared" si="96"/>
        <v>4</v>
      </c>
      <c r="AE366" s="10">
        <f t="shared" si="97"/>
        <v>6</v>
      </c>
      <c r="AF366" s="5">
        <f t="shared" si="90"/>
        <v>1</v>
      </c>
      <c r="AG366" s="5">
        <f t="shared" si="91"/>
        <v>1</v>
      </c>
      <c r="AH366" s="5">
        <f t="shared" si="98"/>
        <v>0</v>
      </c>
      <c r="AI366">
        <f>IF(B366&lt;&gt;"", COUNTIFS($B$2:B366, B366), "")</f>
        <v>22</v>
      </c>
      <c r="AJ366">
        <f t="shared" si="99"/>
        <v>5</v>
      </c>
      <c r="AK366">
        <f t="shared" si="92"/>
        <v>5</v>
      </c>
      <c r="AL366">
        <f t="shared" si="100"/>
        <v>5</v>
      </c>
      <c r="AM366" t="str">
        <f t="shared" si="101"/>
        <v>May</v>
      </c>
      <c r="AN366">
        <f t="shared" si="102"/>
        <v>2023</v>
      </c>
      <c r="AO366" t="str">
        <f t="shared" si="103"/>
        <v>&gt;3</v>
      </c>
      <c r="AP366" t="str">
        <f t="shared" si="104"/>
        <v>&lt;=3</v>
      </c>
      <c r="AQ366" t="str">
        <f t="shared" si="105"/>
        <v>&gt;3</v>
      </c>
    </row>
    <row r="367" spans="1:43" x14ac:dyDescent="0.3">
      <c r="A367" t="s">
        <v>33</v>
      </c>
      <c r="B367" t="s">
        <v>122</v>
      </c>
      <c r="C367" t="s">
        <v>416</v>
      </c>
      <c r="D367">
        <v>2054</v>
      </c>
      <c r="E367">
        <v>23210173</v>
      </c>
      <c r="F367" t="s">
        <v>405</v>
      </c>
      <c r="G367" t="s">
        <v>406</v>
      </c>
      <c r="H367">
        <v>600</v>
      </c>
      <c r="I367">
        <v>930</v>
      </c>
      <c r="J367">
        <v>558000</v>
      </c>
      <c r="K367" s="7" t="str">
        <f>IFERROR(IF(B367&lt;&gt;"", TEXT(VLOOKUP(B367, 'Expected Date'!A:B, 2, FALSE) + DATE(RIGHT(C367,2),MID(C367,4,2),LEFT(C367,2)), "dd/mm/yy"), ""), "")</f>
        <v>04/06/23</v>
      </c>
      <c r="L367" t="s">
        <v>38</v>
      </c>
      <c r="M367" t="s">
        <v>39</v>
      </c>
      <c r="N367" t="s">
        <v>364</v>
      </c>
      <c r="O367" t="s">
        <v>72</v>
      </c>
      <c r="P367">
        <v>23290554</v>
      </c>
      <c r="Q367" t="s">
        <v>405</v>
      </c>
      <c r="R367" t="s">
        <v>406</v>
      </c>
      <c r="S367">
        <v>50</v>
      </c>
      <c r="T367">
        <v>930</v>
      </c>
      <c r="U367">
        <v>46500</v>
      </c>
      <c r="V367" t="str">
        <f t="shared" si="106"/>
        <v>Dahej</v>
      </c>
      <c r="W367" t="str">
        <f>VLOOKUP(B367, Currency!A:B, 2, FALSE)</f>
        <v>INR</v>
      </c>
      <c r="X367" t="str">
        <f t="shared" si="107"/>
        <v>Accepted</v>
      </c>
      <c r="Y367">
        <f>IFERROR(VLOOKUP(N367, Payment_Terms!A:B, 2, FALSE), "Payment term not found!")</f>
        <v>30</v>
      </c>
      <c r="Z367" t="str">
        <f>IFERROR(VLOOKUP(R367, Item_Category!A:B, 2, FALSE), "Uncategorized")</f>
        <v>Pallets</v>
      </c>
      <c r="AA367" s="5">
        <f t="shared" si="93"/>
        <v>0</v>
      </c>
      <c r="AB367">
        <f t="shared" si="94"/>
        <v>5</v>
      </c>
      <c r="AC367" s="10">
        <f t="shared" si="95"/>
        <v>19</v>
      </c>
      <c r="AD367">
        <f t="shared" si="96"/>
        <v>1</v>
      </c>
      <c r="AE367" s="10">
        <f t="shared" si="97"/>
        <v>34</v>
      </c>
      <c r="AF367" s="5">
        <f t="shared" si="90"/>
        <v>1</v>
      </c>
      <c r="AG367" s="5">
        <f t="shared" si="91"/>
        <v>1</v>
      </c>
      <c r="AH367" s="5">
        <f t="shared" si="98"/>
        <v>0</v>
      </c>
      <c r="AI367">
        <f>IF(B367&lt;&gt;"", COUNTIFS($B$2:B367, B367), "")</f>
        <v>11</v>
      </c>
      <c r="AJ367">
        <f t="shared" si="99"/>
        <v>5</v>
      </c>
      <c r="AK367">
        <f t="shared" si="92"/>
        <v>4</v>
      </c>
      <c r="AL367">
        <f t="shared" si="100"/>
        <v>5</v>
      </c>
      <c r="AM367" t="str">
        <f t="shared" si="101"/>
        <v>May</v>
      </c>
      <c r="AN367">
        <f t="shared" si="102"/>
        <v>2023</v>
      </c>
      <c r="AO367" t="str">
        <f t="shared" si="103"/>
        <v>&gt;3</v>
      </c>
      <c r="AP367" t="str">
        <f t="shared" si="104"/>
        <v>&gt;3</v>
      </c>
      <c r="AQ367" t="str">
        <f t="shared" si="105"/>
        <v>&lt;=3</v>
      </c>
    </row>
    <row r="368" spans="1:43" x14ac:dyDescent="0.3">
      <c r="A368" t="s">
        <v>33</v>
      </c>
      <c r="B368" t="s">
        <v>122</v>
      </c>
      <c r="C368" t="s">
        <v>354</v>
      </c>
      <c r="D368">
        <v>2806</v>
      </c>
      <c r="E368">
        <v>23210359</v>
      </c>
      <c r="F368" t="s">
        <v>405</v>
      </c>
      <c r="G368" t="s">
        <v>406</v>
      </c>
      <c r="H368">
        <v>600</v>
      </c>
      <c r="I368">
        <v>930</v>
      </c>
      <c r="J368">
        <v>558000</v>
      </c>
      <c r="K368" s="7" t="str">
        <f>IFERROR(IF(B368&lt;&gt;"", TEXT(VLOOKUP(B368, 'Expected Date'!A:B, 2, FALSE) + DATE(RIGHT(C368,2),MID(C368,4,2),LEFT(C368,2)), "dd/mm/yy"), ""), "")</f>
        <v>18/07/23</v>
      </c>
      <c r="L368" t="s">
        <v>38</v>
      </c>
      <c r="M368" t="s">
        <v>39</v>
      </c>
      <c r="N368" t="s">
        <v>364</v>
      </c>
      <c r="O368" t="s">
        <v>91</v>
      </c>
      <c r="P368">
        <v>23290696</v>
      </c>
      <c r="Q368" t="s">
        <v>405</v>
      </c>
      <c r="R368" t="s">
        <v>406</v>
      </c>
      <c r="S368">
        <v>80</v>
      </c>
      <c r="T368">
        <v>930</v>
      </c>
      <c r="U368">
        <v>74400</v>
      </c>
      <c r="V368" t="str">
        <f t="shared" si="106"/>
        <v>Dahej</v>
      </c>
      <c r="W368" t="str">
        <f>VLOOKUP(B368, Currency!A:B, 2, FALSE)</f>
        <v>INR</v>
      </c>
      <c r="X368" t="str">
        <f t="shared" si="107"/>
        <v>Accepted</v>
      </c>
      <c r="Y368">
        <f>IFERROR(VLOOKUP(N368, Payment_Terms!A:B, 2, FALSE), "Payment term not found!")</f>
        <v>30</v>
      </c>
      <c r="Z368" t="str">
        <f>IFERROR(VLOOKUP(R368, Item_Category!A:B, 2, FALSE), "Uncategorized")</f>
        <v>Pallets</v>
      </c>
      <c r="AA368" s="5">
        <f t="shared" si="93"/>
        <v>0</v>
      </c>
      <c r="AB368">
        <f t="shared" si="94"/>
        <v>5</v>
      </c>
      <c r="AC368" s="10">
        <f t="shared" si="95"/>
        <v>-9</v>
      </c>
      <c r="AD368">
        <f t="shared" si="96"/>
        <v>5</v>
      </c>
      <c r="AE368" s="10">
        <f t="shared" si="97"/>
        <v>6</v>
      </c>
      <c r="AF368" s="5">
        <f t="shared" si="90"/>
        <v>1</v>
      </c>
      <c r="AG368" s="5">
        <f t="shared" si="91"/>
        <v>1</v>
      </c>
      <c r="AH368" s="5">
        <f t="shared" si="98"/>
        <v>0</v>
      </c>
      <c r="AI368">
        <f>IF(B368&lt;&gt;"", COUNTIFS($B$2:B368, B368), "")</f>
        <v>12</v>
      </c>
      <c r="AJ368">
        <f t="shared" si="99"/>
        <v>5</v>
      </c>
      <c r="AK368">
        <f t="shared" si="92"/>
        <v>5</v>
      </c>
      <c r="AL368">
        <f t="shared" si="100"/>
        <v>7</v>
      </c>
      <c r="AM368" t="str">
        <f t="shared" si="101"/>
        <v>July</v>
      </c>
      <c r="AN368">
        <f t="shared" si="102"/>
        <v>2023</v>
      </c>
      <c r="AO368" t="str">
        <f t="shared" si="103"/>
        <v>&gt;3</v>
      </c>
      <c r="AP368" t="str">
        <f t="shared" si="104"/>
        <v>&gt;3</v>
      </c>
      <c r="AQ368" t="str">
        <f t="shared" si="105"/>
        <v>&gt;3</v>
      </c>
    </row>
    <row r="369" spans="1:43" x14ac:dyDescent="0.3">
      <c r="A369" t="s">
        <v>33</v>
      </c>
      <c r="B369" t="s">
        <v>429</v>
      </c>
      <c r="C369" t="s">
        <v>198</v>
      </c>
      <c r="D369">
        <v>3458</v>
      </c>
      <c r="E369">
        <v>23210474</v>
      </c>
      <c r="F369" t="s">
        <v>430</v>
      </c>
      <c r="G369" t="s">
        <v>431</v>
      </c>
      <c r="H369">
        <v>10000</v>
      </c>
      <c r="I369">
        <v>8.1999999999999993</v>
      </c>
      <c r="J369">
        <v>82000</v>
      </c>
      <c r="K369" s="7" t="str">
        <f>IFERROR(IF(B369&lt;&gt;"", TEXT(VLOOKUP(B369, 'Expected Date'!A:B, 2, FALSE) + DATE(RIGHT(C369,2),MID(C369,4,2),LEFT(C369,2)), "dd/mm/yy"), ""), "")</f>
        <v>05/08/23</v>
      </c>
      <c r="L369" t="s">
        <v>38</v>
      </c>
      <c r="M369" t="s">
        <v>48</v>
      </c>
      <c r="N369" t="s">
        <v>299</v>
      </c>
      <c r="O369" t="s">
        <v>58</v>
      </c>
      <c r="P369">
        <v>23291000</v>
      </c>
      <c r="Q369" t="s">
        <v>430</v>
      </c>
      <c r="R369" t="s">
        <v>431</v>
      </c>
      <c r="S369">
        <v>2660</v>
      </c>
      <c r="T369">
        <v>8.1999999999999993</v>
      </c>
      <c r="U369">
        <v>21812</v>
      </c>
      <c r="V369" t="str">
        <f t="shared" si="106"/>
        <v>Dahej</v>
      </c>
      <c r="W369" t="str">
        <f>VLOOKUP(B369, Currency!A:B, 2, FALSE)</f>
        <v>INR</v>
      </c>
      <c r="X369" t="str">
        <f t="shared" si="107"/>
        <v>Accepted</v>
      </c>
      <c r="Y369">
        <f>IFERROR(VLOOKUP(N369, Payment_Terms!A:B, 2, FALSE), "Payment term not found!")</f>
        <v>60</v>
      </c>
      <c r="Z369" t="str">
        <f>IFERROR(VLOOKUP(R369, Item_Category!A:B, 2, FALSE), "Uncategorized")</f>
        <v>Lime</v>
      </c>
      <c r="AA369" s="5">
        <f t="shared" si="93"/>
        <v>0</v>
      </c>
      <c r="AB369">
        <f t="shared" si="94"/>
        <v>5</v>
      </c>
      <c r="AC369" s="10">
        <f t="shared" si="95"/>
        <v>-4</v>
      </c>
      <c r="AD369">
        <f t="shared" si="96"/>
        <v>5</v>
      </c>
      <c r="AE369" s="10">
        <f t="shared" si="97"/>
        <v>1</v>
      </c>
      <c r="AF369" s="5">
        <f t="shared" si="90"/>
        <v>1</v>
      </c>
      <c r="AG369" s="5">
        <f t="shared" si="91"/>
        <v>1</v>
      </c>
      <c r="AH369" s="5">
        <f t="shared" si="98"/>
        <v>0</v>
      </c>
      <c r="AI369">
        <f>IF(B369&lt;&gt;"", COUNTIFS($B$2:B369, B369), "")</f>
        <v>2</v>
      </c>
      <c r="AJ369">
        <f t="shared" si="99"/>
        <v>5</v>
      </c>
      <c r="AK369">
        <f t="shared" si="92"/>
        <v>5</v>
      </c>
      <c r="AL369">
        <f t="shared" si="100"/>
        <v>7</v>
      </c>
      <c r="AM369" t="str">
        <f t="shared" si="101"/>
        <v>July</v>
      </c>
      <c r="AN369">
        <f t="shared" si="102"/>
        <v>2023</v>
      </c>
      <c r="AO369" t="str">
        <f t="shared" si="103"/>
        <v>&gt;3</v>
      </c>
      <c r="AP369" t="str">
        <f t="shared" si="104"/>
        <v>&gt;3</v>
      </c>
      <c r="AQ369" t="str">
        <f t="shared" si="105"/>
        <v>&gt;3</v>
      </c>
    </row>
    <row r="370" spans="1:43" x14ac:dyDescent="0.3">
      <c r="A370" t="s">
        <v>33</v>
      </c>
      <c r="B370" t="s">
        <v>395</v>
      </c>
      <c r="C370" t="s">
        <v>58</v>
      </c>
      <c r="D370">
        <v>3539</v>
      </c>
      <c r="E370">
        <v>23210491</v>
      </c>
      <c r="F370" t="s">
        <v>368</v>
      </c>
      <c r="G370" t="s">
        <v>369</v>
      </c>
      <c r="H370">
        <v>100000</v>
      </c>
      <c r="I370">
        <v>7.7</v>
      </c>
      <c r="J370">
        <v>770000</v>
      </c>
      <c r="K370" s="7" t="str">
        <f>IFERROR(IF(B370&lt;&gt;"", TEXT(VLOOKUP(B370, 'Expected Date'!A:B, 2, FALSE) + DATE(RIGHT(C370,2),MID(C370,4,2),LEFT(C370,2)), "dd/mm/yy"), ""), "")</f>
        <v>06/08/23</v>
      </c>
      <c r="L370" t="s">
        <v>68</v>
      </c>
      <c r="M370" t="s">
        <v>48</v>
      </c>
      <c r="N370" t="s">
        <v>318</v>
      </c>
      <c r="O370" t="s">
        <v>56</v>
      </c>
      <c r="P370">
        <v>23291023</v>
      </c>
      <c r="Q370" t="s">
        <v>368</v>
      </c>
      <c r="R370" t="s">
        <v>369</v>
      </c>
      <c r="S370">
        <v>28480</v>
      </c>
      <c r="T370">
        <v>7.7</v>
      </c>
      <c r="U370">
        <v>219296</v>
      </c>
      <c r="V370" t="str">
        <f t="shared" si="106"/>
        <v>Dahej</v>
      </c>
      <c r="W370" t="str">
        <f>VLOOKUP(B370, Currency!A:B, 2, FALSE)</f>
        <v>INR</v>
      </c>
      <c r="X370" t="str">
        <f t="shared" si="107"/>
        <v>Accepted</v>
      </c>
      <c r="Y370">
        <f>IFERROR(VLOOKUP(N370, Payment_Terms!A:B, 2, FALSE), "Payment term not found!")</f>
        <v>30</v>
      </c>
      <c r="Z370" t="str">
        <f>IFERROR(VLOOKUP(R370, Item_Category!A:B, 2, FALSE), "Uncategorized")</f>
        <v>Coal materials</v>
      </c>
      <c r="AA370" s="5">
        <f t="shared" si="93"/>
        <v>0.38919999999999999</v>
      </c>
      <c r="AB370">
        <f t="shared" si="94"/>
        <v>1</v>
      </c>
      <c r="AC370" s="10">
        <f t="shared" si="95"/>
        <v>-2</v>
      </c>
      <c r="AD370">
        <f t="shared" si="96"/>
        <v>5</v>
      </c>
      <c r="AE370" s="10">
        <f t="shared" si="97"/>
        <v>3</v>
      </c>
      <c r="AF370" s="5">
        <f t="shared" si="90"/>
        <v>1</v>
      </c>
      <c r="AG370" s="5">
        <f t="shared" si="91"/>
        <v>1</v>
      </c>
      <c r="AH370" s="5">
        <f t="shared" si="98"/>
        <v>0</v>
      </c>
      <c r="AI370">
        <f>IF(B370&lt;&gt;"", COUNTIFS($B$2:B370, B370), "")</f>
        <v>9</v>
      </c>
      <c r="AJ370">
        <f t="shared" si="99"/>
        <v>5</v>
      </c>
      <c r="AK370">
        <f t="shared" si="92"/>
        <v>4</v>
      </c>
      <c r="AL370">
        <f t="shared" si="100"/>
        <v>8</v>
      </c>
      <c r="AM370" t="str">
        <f t="shared" si="101"/>
        <v>August</v>
      </c>
      <c r="AN370">
        <f t="shared" si="102"/>
        <v>2023</v>
      </c>
      <c r="AO370" t="str">
        <f t="shared" si="103"/>
        <v>&gt;3</v>
      </c>
      <c r="AP370" t="str">
        <f t="shared" si="104"/>
        <v>&lt;=3</v>
      </c>
      <c r="AQ370" t="str">
        <f t="shared" si="105"/>
        <v>&gt;3</v>
      </c>
    </row>
    <row r="371" spans="1:43" x14ac:dyDescent="0.3">
      <c r="A371" t="s">
        <v>33</v>
      </c>
      <c r="B371" t="s">
        <v>395</v>
      </c>
      <c r="C371" t="s">
        <v>70</v>
      </c>
      <c r="D371">
        <v>1553</v>
      </c>
      <c r="E371">
        <v>23210089</v>
      </c>
      <c r="F371" t="s">
        <v>368</v>
      </c>
      <c r="G371" t="s">
        <v>369</v>
      </c>
      <c r="H371">
        <v>35000</v>
      </c>
      <c r="I371">
        <v>8.9</v>
      </c>
      <c r="J371">
        <v>311500</v>
      </c>
      <c r="K371" s="7" t="str">
        <f>IFERROR(IF(B371&lt;&gt;"", TEXT(VLOOKUP(B371, 'Expected Date'!A:B, 2, FALSE) + DATE(RIGHT(C371,2),MID(C371,4,2),LEFT(C371,2)), "dd/mm/yy"), ""), "")</f>
        <v>29/04/23</v>
      </c>
      <c r="L371" t="s">
        <v>38</v>
      </c>
      <c r="M371" t="s">
        <v>48</v>
      </c>
      <c r="N371" t="s">
        <v>370</v>
      </c>
      <c r="O371" t="s">
        <v>442</v>
      </c>
      <c r="P371">
        <v>23290150</v>
      </c>
      <c r="Q371" t="s">
        <v>368</v>
      </c>
      <c r="R371" t="s">
        <v>369</v>
      </c>
      <c r="S371">
        <v>35030</v>
      </c>
      <c r="T371">
        <v>8.9</v>
      </c>
      <c r="U371">
        <v>311767</v>
      </c>
      <c r="V371" t="str">
        <f t="shared" si="106"/>
        <v>Dahej</v>
      </c>
      <c r="W371" t="str">
        <f>VLOOKUP(B371, Currency!A:B, 2, FALSE)</f>
        <v>INR</v>
      </c>
      <c r="X371" t="str">
        <f t="shared" si="107"/>
        <v>Accepted</v>
      </c>
      <c r="Y371">
        <f>IFERROR(VLOOKUP(N371, Payment_Terms!A:B, 2, FALSE), "Payment term not found!")</f>
        <v>15</v>
      </c>
      <c r="Z371" t="str">
        <f>IFERROR(VLOOKUP(R371, Item_Category!A:B, 2, FALSE), "Uncategorized")</f>
        <v>Coal materials</v>
      </c>
      <c r="AA371" s="5">
        <f t="shared" si="93"/>
        <v>0</v>
      </c>
      <c r="AB371">
        <f t="shared" si="94"/>
        <v>5</v>
      </c>
      <c r="AC371" s="10">
        <f t="shared" si="95"/>
        <v>-4</v>
      </c>
      <c r="AD371">
        <f t="shared" si="96"/>
        <v>5</v>
      </c>
      <c r="AE371" s="10">
        <f t="shared" si="97"/>
        <v>1</v>
      </c>
      <c r="AF371" s="5">
        <f t="shared" si="90"/>
        <v>1</v>
      </c>
      <c r="AG371" s="5">
        <f t="shared" si="91"/>
        <v>1</v>
      </c>
      <c r="AH371" s="5">
        <f t="shared" si="98"/>
        <v>0</v>
      </c>
      <c r="AI371">
        <f>IF(B371&lt;&gt;"", COUNTIFS($B$2:B371, B371), "")</f>
        <v>10</v>
      </c>
      <c r="AJ371">
        <f t="shared" si="99"/>
        <v>5</v>
      </c>
      <c r="AK371">
        <f t="shared" si="92"/>
        <v>5</v>
      </c>
      <c r="AL371">
        <f t="shared" si="100"/>
        <v>4</v>
      </c>
      <c r="AM371" t="str">
        <f t="shared" si="101"/>
        <v>April</v>
      </c>
      <c r="AN371">
        <f t="shared" si="102"/>
        <v>2023</v>
      </c>
      <c r="AO371" t="str">
        <f t="shared" si="103"/>
        <v>&gt;3</v>
      </c>
      <c r="AP371" t="str">
        <f t="shared" si="104"/>
        <v>&gt;3</v>
      </c>
      <c r="AQ371" t="str">
        <f t="shared" si="105"/>
        <v>&gt;3</v>
      </c>
    </row>
    <row r="372" spans="1:43" x14ac:dyDescent="0.3">
      <c r="A372" t="s">
        <v>33</v>
      </c>
      <c r="B372" t="s">
        <v>456</v>
      </c>
      <c r="C372" t="s">
        <v>88</v>
      </c>
      <c r="D372">
        <v>3063</v>
      </c>
      <c r="E372">
        <v>23210412</v>
      </c>
      <c r="F372" t="s">
        <v>457</v>
      </c>
      <c r="G372" t="s">
        <v>458</v>
      </c>
      <c r="H372">
        <v>1</v>
      </c>
      <c r="I372">
        <v>2090</v>
      </c>
      <c r="J372">
        <v>2090</v>
      </c>
      <c r="K372" s="7" t="str">
        <f>IFERROR(IF(B372&lt;&gt;"", TEXT(VLOOKUP(B372, 'Expected Date'!A:B, 2, FALSE) + DATE(RIGHT(C372,2),MID(C372,4,2),LEFT(C372,2)), "dd/mm/yy"), ""), "")</f>
        <v>14/07/23</v>
      </c>
      <c r="L372" t="s">
        <v>38</v>
      </c>
      <c r="M372" t="s">
        <v>39</v>
      </c>
      <c r="N372" t="s">
        <v>459</v>
      </c>
      <c r="O372" t="s">
        <v>78</v>
      </c>
      <c r="P372">
        <v>23291216</v>
      </c>
      <c r="Q372" t="s">
        <v>457</v>
      </c>
      <c r="R372" t="s">
        <v>458</v>
      </c>
      <c r="S372">
        <v>1</v>
      </c>
      <c r="T372">
        <v>2090</v>
      </c>
      <c r="U372">
        <v>2090</v>
      </c>
      <c r="V372" t="str">
        <f t="shared" si="106"/>
        <v>Dahej</v>
      </c>
      <c r="W372" t="str">
        <f>VLOOKUP(B372, Currency!A:B, 2, FALSE)</f>
        <v>INR</v>
      </c>
      <c r="X372" t="str">
        <f t="shared" si="107"/>
        <v>Accepted</v>
      </c>
      <c r="Y372">
        <f>IFERROR(VLOOKUP(N372, Payment_Terms!A:B, 2, FALSE), "Payment term not found!")</f>
        <v>0</v>
      </c>
      <c r="Z372" t="str">
        <f>IFERROR(VLOOKUP(R372, Item_Category!A:B, 2, FALSE), "Uncategorized")</f>
        <v>Mesh vibro sifter</v>
      </c>
      <c r="AA372" s="5">
        <f t="shared" si="93"/>
        <v>0</v>
      </c>
      <c r="AB372">
        <f t="shared" si="94"/>
        <v>5</v>
      </c>
      <c r="AC372" s="10">
        <f t="shared" si="95"/>
        <v>41</v>
      </c>
      <c r="AD372">
        <f t="shared" si="96"/>
        <v>1</v>
      </c>
      <c r="AE372" s="10">
        <f t="shared" si="97"/>
        <v>51</v>
      </c>
      <c r="AF372" s="5">
        <f t="shared" si="90"/>
        <v>1</v>
      </c>
      <c r="AG372" s="5">
        <f t="shared" si="91"/>
        <v>1</v>
      </c>
      <c r="AH372" s="5">
        <f t="shared" si="98"/>
        <v>0</v>
      </c>
      <c r="AI372">
        <f>IF(B372&lt;&gt;"", COUNTIFS($B$2:B372, B372), "")</f>
        <v>1</v>
      </c>
      <c r="AJ372">
        <f t="shared" si="99"/>
        <v>5</v>
      </c>
      <c r="AK372">
        <f t="shared" si="92"/>
        <v>4</v>
      </c>
      <c r="AL372">
        <f t="shared" si="100"/>
        <v>7</v>
      </c>
      <c r="AM372" t="str">
        <f t="shared" si="101"/>
        <v>July</v>
      </c>
      <c r="AN372">
        <f t="shared" si="102"/>
        <v>2023</v>
      </c>
      <c r="AO372" t="str">
        <f t="shared" si="103"/>
        <v>&gt;3</v>
      </c>
      <c r="AP372" t="str">
        <f t="shared" si="104"/>
        <v>&gt;3</v>
      </c>
      <c r="AQ372" t="str">
        <f t="shared" si="105"/>
        <v>&lt;=3</v>
      </c>
    </row>
    <row r="373" spans="1:43" x14ac:dyDescent="0.3">
      <c r="A373" t="s">
        <v>33</v>
      </c>
      <c r="B373" t="str">
        <f>B284</f>
        <v>Ami Enterprises</v>
      </c>
      <c r="C373" t="s">
        <v>78</v>
      </c>
      <c r="D373">
        <v>3974</v>
      </c>
      <c r="E373">
        <v>23210575</v>
      </c>
      <c r="F373" t="s">
        <v>460</v>
      </c>
      <c r="G373" t="s">
        <v>461</v>
      </c>
      <c r="H373">
        <v>15000</v>
      </c>
      <c r="I373">
        <v>33.5</v>
      </c>
      <c r="J373">
        <v>502500</v>
      </c>
      <c r="K373" s="7" t="str">
        <f>IFERROR(IF(B373&lt;&gt;"", TEXT(VLOOKUP(B373, 'Expected Date'!A:B, 2, FALSE) + DATE(RIGHT(C373,2),MID(C373,4,2),LEFT(C373,2)), "dd/mm/yy"), ""), "")</f>
        <v>03/09/23</v>
      </c>
      <c r="L373" t="s">
        <v>68</v>
      </c>
      <c r="M373" t="s">
        <v>39</v>
      </c>
      <c r="N373" t="s">
        <v>342</v>
      </c>
      <c r="O373" t="s">
        <v>105</v>
      </c>
      <c r="P373">
        <v>23291218</v>
      </c>
      <c r="Q373" t="s">
        <v>460</v>
      </c>
      <c r="R373" t="s">
        <v>461</v>
      </c>
      <c r="S373">
        <v>13000</v>
      </c>
      <c r="T373">
        <v>33.5</v>
      </c>
      <c r="U373">
        <v>435500</v>
      </c>
      <c r="V373" t="str">
        <f t="shared" si="106"/>
        <v>Dahej</v>
      </c>
      <c r="W373" t="str">
        <f>VLOOKUP(B373, Currency!A:B, 2, FALSE)</f>
        <v>INR</v>
      </c>
      <c r="X373" t="str">
        <f t="shared" si="107"/>
        <v>Accepted</v>
      </c>
      <c r="Y373">
        <f>IFERROR(VLOOKUP(N373, Payment_Terms!A:B, 2, FALSE), "Payment term not found!")</f>
        <v>30</v>
      </c>
      <c r="Z373" t="str">
        <f>IFERROR(VLOOKUP(R373, Item_Category!A:B, 2, FALSE), "Uncategorized")</f>
        <v>Bags</v>
      </c>
      <c r="AA373" s="5">
        <f t="shared" si="93"/>
        <v>0.13333333333333333</v>
      </c>
      <c r="AB373">
        <f t="shared" si="94"/>
        <v>1</v>
      </c>
      <c r="AC373" s="10">
        <f t="shared" si="95"/>
        <v>-9</v>
      </c>
      <c r="AD373">
        <f t="shared" si="96"/>
        <v>5</v>
      </c>
      <c r="AE373" s="10">
        <f t="shared" si="97"/>
        <v>1</v>
      </c>
      <c r="AF373" s="5">
        <f t="shared" si="90"/>
        <v>1</v>
      </c>
      <c r="AG373" s="5">
        <f t="shared" si="91"/>
        <v>1</v>
      </c>
      <c r="AH373" s="5">
        <f t="shared" si="98"/>
        <v>0</v>
      </c>
      <c r="AI373">
        <f>IF(B373&lt;&gt;"", COUNTIFS($B$2:B373, B373), "")</f>
        <v>20</v>
      </c>
      <c r="AJ373">
        <f t="shared" si="99"/>
        <v>5</v>
      </c>
      <c r="AK373">
        <f t="shared" si="92"/>
        <v>4</v>
      </c>
      <c r="AL373">
        <f t="shared" si="100"/>
        <v>8</v>
      </c>
      <c r="AM373" t="str">
        <f t="shared" si="101"/>
        <v>August</v>
      </c>
      <c r="AN373">
        <f t="shared" si="102"/>
        <v>2023</v>
      </c>
      <c r="AO373" t="str">
        <f t="shared" si="103"/>
        <v>&gt;3</v>
      </c>
      <c r="AP373" t="str">
        <f t="shared" si="104"/>
        <v>&lt;=3</v>
      </c>
      <c r="AQ373" t="str">
        <f t="shared" si="105"/>
        <v>&gt;3</v>
      </c>
    </row>
    <row r="374" spans="1:43" x14ac:dyDescent="0.3">
      <c r="A374" t="s">
        <v>33</v>
      </c>
      <c r="B374" t="s">
        <v>366</v>
      </c>
      <c r="C374" t="s">
        <v>210</v>
      </c>
      <c r="D374">
        <v>1907</v>
      </c>
      <c r="E374">
        <v>23210167</v>
      </c>
      <c r="F374" t="s">
        <v>392</v>
      </c>
      <c r="G374" t="s">
        <v>393</v>
      </c>
      <c r="H374">
        <v>100</v>
      </c>
      <c r="I374">
        <v>11000</v>
      </c>
      <c r="J374">
        <v>1100000</v>
      </c>
      <c r="K374" s="7" t="str">
        <f>IFERROR(IF(B374&lt;&gt;"", TEXT(VLOOKUP(B374, 'Expected Date'!A:B, 2, FALSE) + DATE(RIGHT(C374,2),MID(C374,4,2),LEFT(C374,2)), "dd/mm/yy"), ""), "")</f>
        <v>15/05/23</v>
      </c>
      <c r="L374" t="s">
        <v>68</v>
      </c>
      <c r="M374" t="s">
        <v>48</v>
      </c>
      <c r="N374" t="s">
        <v>370</v>
      </c>
      <c r="O374" t="s">
        <v>415</v>
      </c>
      <c r="P374">
        <v>23290360</v>
      </c>
      <c r="Q374" t="s">
        <v>392</v>
      </c>
      <c r="R374" t="s">
        <v>393</v>
      </c>
      <c r="S374">
        <v>27.5</v>
      </c>
      <c r="T374">
        <v>11000</v>
      </c>
      <c r="U374">
        <v>302500</v>
      </c>
      <c r="V374" t="str">
        <f t="shared" si="106"/>
        <v>Dahej</v>
      </c>
      <c r="W374" t="str">
        <f>VLOOKUP(B374, Currency!A:B, 2, FALSE)</f>
        <v>INR</v>
      </c>
      <c r="X374" t="str">
        <f t="shared" si="107"/>
        <v>Accepted</v>
      </c>
      <c r="Y374">
        <f>IFERROR(VLOOKUP(N374, Payment_Terms!A:B, 2, FALSE), "Payment term not found!")</f>
        <v>15</v>
      </c>
      <c r="Z374" t="str">
        <f>IFERROR(VLOOKUP(R374, Item_Category!A:B, 2, FALSE), "Uncategorized")</f>
        <v>Coal materials</v>
      </c>
      <c r="AA374" s="5">
        <f t="shared" si="93"/>
        <v>0.1686</v>
      </c>
      <c r="AB374">
        <f t="shared" si="94"/>
        <v>1</v>
      </c>
      <c r="AC374" s="10">
        <f t="shared" si="95"/>
        <v>6</v>
      </c>
      <c r="AD374">
        <f t="shared" si="96"/>
        <v>3</v>
      </c>
      <c r="AE374" s="10">
        <f t="shared" si="97"/>
        <v>8</v>
      </c>
      <c r="AF374" s="5">
        <f t="shared" si="90"/>
        <v>1</v>
      </c>
      <c r="AG374" s="5">
        <f t="shared" si="91"/>
        <v>1</v>
      </c>
      <c r="AH374" s="5">
        <f t="shared" si="98"/>
        <v>0</v>
      </c>
      <c r="AI374">
        <f>IF(B374&lt;&gt;"", COUNTIFS($B$2:B374, B374), "")</f>
        <v>23</v>
      </c>
      <c r="AJ374">
        <f t="shared" si="99"/>
        <v>5</v>
      </c>
      <c r="AK374">
        <f t="shared" si="92"/>
        <v>4</v>
      </c>
      <c r="AL374">
        <f t="shared" si="100"/>
        <v>5</v>
      </c>
      <c r="AM374" t="str">
        <f t="shared" si="101"/>
        <v>May</v>
      </c>
      <c r="AN374">
        <f t="shared" si="102"/>
        <v>2023</v>
      </c>
      <c r="AO374" t="str">
        <f t="shared" si="103"/>
        <v>&gt;3</v>
      </c>
      <c r="AP374" t="str">
        <f t="shared" si="104"/>
        <v>&lt;=3</v>
      </c>
      <c r="AQ374" t="str">
        <f t="shared" si="105"/>
        <v>&lt;=3</v>
      </c>
    </row>
    <row r="375" spans="1:43" x14ac:dyDescent="0.3">
      <c r="A375" t="s">
        <v>33</v>
      </c>
      <c r="B375" t="s">
        <v>456</v>
      </c>
      <c r="C375" t="s">
        <v>88</v>
      </c>
      <c r="D375">
        <v>3063</v>
      </c>
      <c r="E375">
        <v>23210412</v>
      </c>
      <c r="F375" t="s">
        <v>462</v>
      </c>
      <c r="G375" t="s">
        <v>463</v>
      </c>
      <c r="H375">
        <v>1</v>
      </c>
      <c r="I375">
        <v>2090</v>
      </c>
      <c r="J375">
        <v>2090</v>
      </c>
      <c r="K375" s="7" t="str">
        <f>IFERROR(IF(B375&lt;&gt;"", TEXT(VLOOKUP(B375, 'Expected Date'!A:B, 2, FALSE) + DATE(RIGHT(C375,2),MID(C375,4,2),LEFT(C375,2)), "dd/mm/yy"), ""), "")</f>
        <v>14/07/23</v>
      </c>
      <c r="L375" t="s">
        <v>38</v>
      </c>
      <c r="M375" t="s">
        <v>39</v>
      </c>
      <c r="N375" t="s">
        <v>459</v>
      </c>
      <c r="O375" t="s">
        <v>78</v>
      </c>
      <c r="P375">
        <v>23291216</v>
      </c>
      <c r="Q375" t="s">
        <v>462</v>
      </c>
      <c r="R375" t="s">
        <v>463</v>
      </c>
      <c r="S375">
        <v>1</v>
      </c>
      <c r="T375">
        <v>2090</v>
      </c>
      <c r="U375">
        <v>2090</v>
      </c>
      <c r="V375" t="str">
        <f t="shared" si="106"/>
        <v>Dahej</v>
      </c>
      <c r="W375" t="str">
        <f>VLOOKUP(B375, Currency!A:B, 2, FALSE)</f>
        <v>INR</v>
      </c>
      <c r="X375" t="str">
        <f t="shared" si="107"/>
        <v>Accepted</v>
      </c>
      <c r="Y375">
        <f>IFERROR(VLOOKUP(N375, Payment_Terms!A:B, 2, FALSE), "Payment term not found!")</f>
        <v>0</v>
      </c>
      <c r="Z375" t="str">
        <f>IFERROR(VLOOKUP(R375, Item_Category!A:B, 2, FALSE), "Uncategorized")</f>
        <v>Mesh vibro sifter</v>
      </c>
      <c r="AA375" s="5">
        <f t="shared" si="93"/>
        <v>0</v>
      </c>
      <c r="AB375">
        <f t="shared" si="94"/>
        <v>5</v>
      </c>
      <c r="AC375" s="10">
        <f t="shared" si="95"/>
        <v>41</v>
      </c>
      <c r="AD375">
        <f t="shared" si="96"/>
        <v>1</v>
      </c>
      <c r="AE375" s="10">
        <f t="shared" si="97"/>
        <v>51</v>
      </c>
      <c r="AF375" s="5">
        <f t="shared" si="90"/>
        <v>1</v>
      </c>
      <c r="AG375" s="5">
        <f t="shared" si="91"/>
        <v>1</v>
      </c>
      <c r="AH375" s="5">
        <f t="shared" si="98"/>
        <v>0</v>
      </c>
      <c r="AI375">
        <f>IF(B375&lt;&gt;"", COUNTIFS($B$2:B375, B375), "")</f>
        <v>2</v>
      </c>
      <c r="AJ375">
        <f t="shared" si="99"/>
        <v>5</v>
      </c>
      <c r="AK375">
        <f t="shared" si="92"/>
        <v>4</v>
      </c>
      <c r="AL375">
        <f t="shared" si="100"/>
        <v>7</v>
      </c>
      <c r="AM375" t="str">
        <f t="shared" si="101"/>
        <v>July</v>
      </c>
      <c r="AN375">
        <f t="shared" si="102"/>
        <v>2023</v>
      </c>
      <c r="AO375" t="str">
        <f t="shared" si="103"/>
        <v>&gt;3</v>
      </c>
      <c r="AP375" t="str">
        <f t="shared" si="104"/>
        <v>&gt;3</v>
      </c>
      <c r="AQ375" t="str">
        <f t="shared" si="105"/>
        <v>&lt;=3</v>
      </c>
    </row>
    <row r="376" spans="1:43" x14ac:dyDescent="0.3">
      <c r="A376" t="s">
        <v>33</v>
      </c>
      <c r="B376" t="s">
        <v>456</v>
      </c>
      <c r="C376" t="s">
        <v>88</v>
      </c>
      <c r="D376">
        <v>3063</v>
      </c>
      <c r="E376">
        <v>23210412</v>
      </c>
      <c r="F376" t="s">
        <v>464</v>
      </c>
      <c r="G376" t="s">
        <v>465</v>
      </c>
      <c r="H376">
        <v>1</v>
      </c>
      <c r="I376">
        <v>2090</v>
      </c>
      <c r="J376">
        <v>2090</v>
      </c>
      <c r="K376" s="7" t="str">
        <f>IFERROR(IF(B376&lt;&gt;"", TEXT(VLOOKUP(B376, 'Expected Date'!A:B, 2, FALSE) + DATE(RIGHT(C376,2),MID(C376,4,2),LEFT(C376,2)), "dd/mm/yy"), ""), "")</f>
        <v>14/07/23</v>
      </c>
      <c r="L376" t="s">
        <v>38</v>
      </c>
      <c r="M376" t="s">
        <v>39</v>
      </c>
      <c r="N376" t="s">
        <v>459</v>
      </c>
      <c r="O376" t="s">
        <v>78</v>
      </c>
      <c r="P376">
        <v>23291216</v>
      </c>
      <c r="Q376" t="s">
        <v>464</v>
      </c>
      <c r="R376" t="s">
        <v>465</v>
      </c>
      <c r="S376">
        <v>1</v>
      </c>
      <c r="T376">
        <v>2090</v>
      </c>
      <c r="U376">
        <v>2090</v>
      </c>
      <c r="V376" t="str">
        <f t="shared" si="106"/>
        <v>Dahej</v>
      </c>
      <c r="W376" t="str">
        <f>VLOOKUP(B376, Currency!A:B, 2, FALSE)</f>
        <v>INR</v>
      </c>
      <c r="X376" t="str">
        <f t="shared" si="107"/>
        <v>Accepted</v>
      </c>
      <c r="Y376">
        <f>IFERROR(VLOOKUP(N376, Payment_Terms!A:B, 2, FALSE), "Payment term not found!")</f>
        <v>0</v>
      </c>
      <c r="Z376" t="str">
        <f>IFERROR(VLOOKUP(R376, Item_Category!A:B, 2, FALSE), "Uncategorized")</f>
        <v>Mesh vibro sifter</v>
      </c>
      <c r="AA376" s="5">
        <f t="shared" si="93"/>
        <v>0</v>
      </c>
      <c r="AB376">
        <f t="shared" si="94"/>
        <v>5</v>
      </c>
      <c r="AC376" s="10">
        <f t="shared" si="95"/>
        <v>41</v>
      </c>
      <c r="AD376">
        <f t="shared" si="96"/>
        <v>1</v>
      </c>
      <c r="AE376" s="10">
        <f t="shared" si="97"/>
        <v>51</v>
      </c>
      <c r="AF376" s="5">
        <f t="shared" si="90"/>
        <v>1</v>
      </c>
      <c r="AG376" s="5">
        <f t="shared" si="91"/>
        <v>1</v>
      </c>
      <c r="AH376" s="5">
        <f t="shared" si="98"/>
        <v>0</v>
      </c>
      <c r="AI376">
        <f>IF(B376&lt;&gt;"", COUNTIFS($B$2:B376, B376), "")</f>
        <v>3</v>
      </c>
      <c r="AJ376">
        <f t="shared" si="99"/>
        <v>5</v>
      </c>
      <c r="AK376">
        <f t="shared" si="92"/>
        <v>4</v>
      </c>
      <c r="AL376">
        <f t="shared" si="100"/>
        <v>7</v>
      </c>
      <c r="AM376" t="str">
        <f t="shared" si="101"/>
        <v>July</v>
      </c>
      <c r="AN376">
        <f t="shared" si="102"/>
        <v>2023</v>
      </c>
      <c r="AO376" t="str">
        <f t="shared" si="103"/>
        <v>&gt;3</v>
      </c>
      <c r="AP376" t="str">
        <f t="shared" si="104"/>
        <v>&gt;3</v>
      </c>
      <c r="AQ376" t="str">
        <f t="shared" si="105"/>
        <v>&lt;=3</v>
      </c>
    </row>
    <row r="377" spans="1:43" x14ac:dyDescent="0.3">
      <c r="A377" t="s">
        <v>33</v>
      </c>
      <c r="B377" t="s">
        <v>429</v>
      </c>
      <c r="C377" t="s">
        <v>198</v>
      </c>
      <c r="D377">
        <v>3458</v>
      </c>
      <c r="E377">
        <v>23210474</v>
      </c>
      <c r="F377" t="s">
        <v>430</v>
      </c>
      <c r="G377" t="s">
        <v>431</v>
      </c>
      <c r="H377">
        <v>10000</v>
      </c>
      <c r="I377">
        <v>8.1999999999999993</v>
      </c>
      <c r="J377">
        <v>82000</v>
      </c>
      <c r="K377" s="7" t="str">
        <f>IFERROR(IF(B377&lt;&gt;"", TEXT(VLOOKUP(B377, 'Expected Date'!A:B, 2, FALSE) + DATE(RIGHT(C377,2),MID(C377,4,2),LEFT(C377,2)), "dd/mm/yy"), ""), "")</f>
        <v>05/08/23</v>
      </c>
      <c r="L377" t="s">
        <v>38</v>
      </c>
      <c r="M377" t="s">
        <v>48</v>
      </c>
      <c r="N377" t="s">
        <v>299</v>
      </c>
      <c r="O377" t="s">
        <v>78</v>
      </c>
      <c r="P377">
        <v>23291215</v>
      </c>
      <c r="Q377" t="s">
        <v>430</v>
      </c>
      <c r="R377" t="s">
        <v>431</v>
      </c>
      <c r="S377">
        <v>2455</v>
      </c>
      <c r="T377">
        <v>8.1999999999999993</v>
      </c>
      <c r="U377">
        <v>20131</v>
      </c>
      <c r="V377" t="str">
        <f t="shared" si="106"/>
        <v>Dahej</v>
      </c>
      <c r="W377" t="str">
        <f>VLOOKUP(B377, Currency!A:B, 2, FALSE)</f>
        <v>INR</v>
      </c>
      <c r="X377" t="str">
        <f t="shared" si="107"/>
        <v>Accepted</v>
      </c>
      <c r="Y377">
        <f>IFERROR(VLOOKUP(N377, Payment_Terms!A:B, 2, FALSE), "Payment term not found!")</f>
        <v>60</v>
      </c>
      <c r="Z377" t="str">
        <f>IFERROR(VLOOKUP(R377, Item_Category!A:B, 2, FALSE), "Uncategorized")</f>
        <v>Lime</v>
      </c>
      <c r="AA377" s="5">
        <f t="shared" si="93"/>
        <v>0</v>
      </c>
      <c r="AB377">
        <f t="shared" si="94"/>
        <v>5</v>
      </c>
      <c r="AC377" s="10">
        <f t="shared" si="95"/>
        <v>19</v>
      </c>
      <c r="AD377">
        <f t="shared" si="96"/>
        <v>1</v>
      </c>
      <c r="AE377" s="10">
        <f t="shared" si="97"/>
        <v>24</v>
      </c>
      <c r="AF377" s="5">
        <f t="shared" si="90"/>
        <v>1</v>
      </c>
      <c r="AG377" s="5">
        <f t="shared" si="91"/>
        <v>1</v>
      </c>
      <c r="AH377" s="5">
        <f t="shared" si="98"/>
        <v>0</v>
      </c>
      <c r="AI377">
        <f>IF(B377&lt;&gt;"", COUNTIFS($B$2:B377, B377), "")</f>
        <v>3</v>
      </c>
      <c r="AJ377">
        <f t="shared" si="99"/>
        <v>5</v>
      </c>
      <c r="AK377">
        <f t="shared" si="92"/>
        <v>4</v>
      </c>
      <c r="AL377">
        <f t="shared" si="100"/>
        <v>7</v>
      </c>
      <c r="AM377" t="str">
        <f t="shared" si="101"/>
        <v>July</v>
      </c>
      <c r="AN377">
        <f t="shared" si="102"/>
        <v>2023</v>
      </c>
      <c r="AO377" t="str">
        <f t="shared" si="103"/>
        <v>&gt;3</v>
      </c>
      <c r="AP377" t="str">
        <f t="shared" si="104"/>
        <v>&gt;3</v>
      </c>
      <c r="AQ377" t="str">
        <f t="shared" si="105"/>
        <v>&lt;=3</v>
      </c>
    </row>
    <row r="378" spans="1:43" x14ac:dyDescent="0.3">
      <c r="A378" t="s">
        <v>33</v>
      </c>
      <c r="B378" t="s">
        <v>456</v>
      </c>
      <c r="C378" t="s">
        <v>88</v>
      </c>
      <c r="D378">
        <v>3063</v>
      </c>
      <c r="E378">
        <v>23210412</v>
      </c>
      <c r="F378" t="s">
        <v>466</v>
      </c>
      <c r="G378" t="s">
        <v>467</v>
      </c>
      <c r="H378">
        <v>1</v>
      </c>
      <c r="I378">
        <v>2090</v>
      </c>
      <c r="J378">
        <v>2090</v>
      </c>
      <c r="K378" s="7" t="str">
        <f>IFERROR(IF(B378&lt;&gt;"", TEXT(VLOOKUP(B378, 'Expected Date'!A:B, 2, FALSE) + DATE(RIGHT(C378,2),MID(C378,4,2),LEFT(C378,2)), "dd/mm/yy"), ""), "")</f>
        <v>14/07/23</v>
      </c>
      <c r="L378" t="s">
        <v>38</v>
      </c>
      <c r="M378" t="s">
        <v>39</v>
      </c>
      <c r="N378" t="s">
        <v>459</v>
      </c>
      <c r="O378" t="s">
        <v>78</v>
      </c>
      <c r="P378">
        <v>23291216</v>
      </c>
      <c r="Q378" t="s">
        <v>466</v>
      </c>
      <c r="R378" t="s">
        <v>467</v>
      </c>
      <c r="S378">
        <v>1</v>
      </c>
      <c r="T378">
        <v>2090</v>
      </c>
      <c r="U378">
        <v>2090</v>
      </c>
      <c r="V378" t="str">
        <f t="shared" si="106"/>
        <v>Dahej</v>
      </c>
      <c r="W378" t="str">
        <f>VLOOKUP(B378, Currency!A:B, 2, FALSE)</f>
        <v>INR</v>
      </c>
      <c r="X378" t="str">
        <f t="shared" si="107"/>
        <v>Accepted</v>
      </c>
      <c r="Y378">
        <f>IFERROR(VLOOKUP(N378, Payment_Terms!A:B, 2, FALSE), "Payment term not found!")</f>
        <v>0</v>
      </c>
      <c r="Z378" t="str">
        <f>IFERROR(VLOOKUP(R378, Item_Category!A:B, 2, FALSE), "Uncategorized")</f>
        <v>Mesh vibro sifter</v>
      </c>
      <c r="AA378" s="5">
        <f t="shared" si="93"/>
        <v>0</v>
      </c>
      <c r="AB378">
        <f t="shared" si="94"/>
        <v>5</v>
      </c>
      <c r="AC378" s="10">
        <f t="shared" si="95"/>
        <v>41</v>
      </c>
      <c r="AD378">
        <f t="shared" si="96"/>
        <v>1</v>
      </c>
      <c r="AE378" s="10">
        <f t="shared" si="97"/>
        <v>51</v>
      </c>
      <c r="AF378" s="5">
        <f t="shared" si="90"/>
        <v>1</v>
      </c>
      <c r="AG378" s="5">
        <f t="shared" si="91"/>
        <v>1</v>
      </c>
      <c r="AH378" s="5">
        <f t="shared" si="98"/>
        <v>0</v>
      </c>
      <c r="AI378">
        <f>IF(B378&lt;&gt;"", COUNTIFS($B$2:B378, B378), "")</f>
        <v>4</v>
      </c>
      <c r="AJ378">
        <f t="shared" si="99"/>
        <v>5</v>
      </c>
      <c r="AK378">
        <f t="shared" si="92"/>
        <v>4</v>
      </c>
      <c r="AL378">
        <f t="shared" si="100"/>
        <v>7</v>
      </c>
      <c r="AM378" t="str">
        <f t="shared" si="101"/>
        <v>July</v>
      </c>
      <c r="AN378">
        <f t="shared" si="102"/>
        <v>2023</v>
      </c>
      <c r="AO378" t="str">
        <f t="shared" si="103"/>
        <v>&gt;3</v>
      </c>
      <c r="AP378" t="str">
        <f t="shared" si="104"/>
        <v>&gt;3</v>
      </c>
      <c r="AQ378" t="str">
        <f t="shared" si="105"/>
        <v>&lt;=3</v>
      </c>
    </row>
    <row r="379" spans="1:43" x14ac:dyDescent="0.3">
      <c r="A379" t="s">
        <v>33</v>
      </c>
      <c r="B379" t="s">
        <v>436</v>
      </c>
      <c r="C379" t="s">
        <v>468</v>
      </c>
      <c r="D379">
        <v>2519</v>
      </c>
      <c r="E379">
        <v>23210304</v>
      </c>
      <c r="F379" t="s">
        <v>430</v>
      </c>
      <c r="G379" t="s">
        <v>431</v>
      </c>
      <c r="H379">
        <v>10000</v>
      </c>
      <c r="I379">
        <v>9.5</v>
      </c>
      <c r="J379">
        <v>95000</v>
      </c>
      <c r="K379" s="7" t="str">
        <f>IFERROR(IF(B379&lt;&gt;"", TEXT(VLOOKUP(B379, 'Expected Date'!A:B, 2, FALSE) + DATE(RIGHT(C379,2),MID(C379,4,2),LEFT(C379,2)), "dd/mm/yy"), ""), "")</f>
        <v>28/06/23</v>
      </c>
      <c r="L379" t="s">
        <v>68</v>
      </c>
      <c r="M379" t="s">
        <v>48</v>
      </c>
      <c r="N379" t="s">
        <v>318</v>
      </c>
      <c r="O379" t="s">
        <v>324</v>
      </c>
      <c r="P379">
        <v>23290540</v>
      </c>
      <c r="Q379" t="s">
        <v>430</v>
      </c>
      <c r="R379" t="s">
        <v>431</v>
      </c>
      <c r="S379">
        <v>2500</v>
      </c>
      <c r="T379">
        <v>9.5</v>
      </c>
      <c r="U379">
        <v>23750</v>
      </c>
      <c r="V379" t="str">
        <f t="shared" si="106"/>
        <v>Dahej</v>
      </c>
      <c r="W379" t="str">
        <f>VLOOKUP(B379, Currency!A:B, 2, FALSE)</f>
        <v>INR</v>
      </c>
      <c r="X379" t="str">
        <f t="shared" si="107"/>
        <v>Accepted</v>
      </c>
      <c r="Y379">
        <f>IFERROR(VLOOKUP(N379, Payment_Terms!A:B, 2, FALSE), "Payment term not found!")</f>
        <v>30</v>
      </c>
      <c r="Z379" t="str">
        <f>IFERROR(VLOOKUP(R379, Item_Category!A:B, 2, FALSE), "Uncategorized")</f>
        <v>Lime</v>
      </c>
      <c r="AA379" s="5">
        <f t="shared" si="93"/>
        <v>0.75</v>
      </c>
      <c r="AB379">
        <f t="shared" si="94"/>
        <v>1</v>
      </c>
      <c r="AC379" s="10">
        <f t="shared" si="95"/>
        <v>-8</v>
      </c>
      <c r="AD379">
        <f t="shared" si="96"/>
        <v>5</v>
      </c>
      <c r="AE379" s="10">
        <f t="shared" si="97"/>
        <v>2</v>
      </c>
      <c r="AF379" s="5">
        <f t="shared" si="90"/>
        <v>1</v>
      </c>
      <c r="AG379" s="5">
        <f t="shared" si="91"/>
        <v>1</v>
      </c>
      <c r="AH379" s="5">
        <f t="shared" si="98"/>
        <v>0</v>
      </c>
      <c r="AI379">
        <f>IF(B379&lt;&gt;"", COUNTIFS($B$2:B379, B379), "")</f>
        <v>4</v>
      </c>
      <c r="AJ379">
        <f t="shared" si="99"/>
        <v>5</v>
      </c>
      <c r="AK379">
        <f t="shared" si="92"/>
        <v>4</v>
      </c>
      <c r="AL379">
        <f t="shared" si="100"/>
        <v>6</v>
      </c>
      <c r="AM379" t="str">
        <f t="shared" si="101"/>
        <v>June</v>
      </c>
      <c r="AN379">
        <f t="shared" si="102"/>
        <v>2023</v>
      </c>
      <c r="AO379" t="str">
        <f t="shared" si="103"/>
        <v>&gt;3</v>
      </c>
      <c r="AP379" t="str">
        <f t="shared" si="104"/>
        <v>&lt;=3</v>
      </c>
      <c r="AQ379" t="str">
        <f t="shared" si="105"/>
        <v>&gt;3</v>
      </c>
    </row>
    <row r="380" spans="1:43" x14ac:dyDescent="0.3">
      <c r="A380" t="s">
        <v>33</v>
      </c>
      <c r="B380" t="s">
        <v>157</v>
      </c>
      <c r="C380" t="s">
        <v>162</v>
      </c>
      <c r="D380">
        <v>2765</v>
      </c>
      <c r="E380">
        <v>23210346</v>
      </c>
      <c r="F380" t="s">
        <v>433</v>
      </c>
      <c r="G380" t="s">
        <v>434</v>
      </c>
      <c r="H380">
        <v>600</v>
      </c>
      <c r="I380">
        <v>270</v>
      </c>
      <c r="J380">
        <v>162000</v>
      </c>
      <c r="K380" s="7" t="str">
        <f>IFERROR(IF(B380&lt;&gt;"", TEXT(VLOOKUP(B380, 'Expected Date'!A:B, 2, FALSE) + DATE(RIGHT(C380,2),MID(C380,4,2),LEFT(C380,2)), "dd/mm/yy"), ""), "")</f>
        <v>09/07/23</v>
      </c>
      <c r="L380" t="s">
        <v>38</v>
      </c>
      <c r="M380" t="s">
        <v>48</v>
      </c>
      <c r="N380" t="s">
        <v>435</v>
      </c>
      <c r="O380" t="s">
        <v>391</v>
      </c>
      <c r="P380">
        <v>23290793</v>
      </c>
      <c r="Q380" t="s">
        <v>433</v>
      </c>
      <c r="R380" t="s">
        <v>434</v>
      </c>
      <c r="S380">
        <v>600</v>
      </c>
      <c r="T380">
        <v>270</v>
      </c>
      <c r="U380">
        <v>162000</v>
      </c>
      <c r="V380" t="str">
        <f t="shared" si="106"/>
        <v>Dahej</v>
      </c>
      <c r="W380" t="str">
        <f>VLOOKUP(B380, Currency!A:B, 2, FALSE)</f>
        <v>INR</v>
      </c>
      <c r="X380" t="str">
        <f t="shared" si="107"/>
        <v>Accepted</v>
      </c>
      <c r="Y380">
        <f>IFERROR(VLOOKUP(N380, Payment_Terms!A:B, 2, FALSE), "Payment term not found!")</f>
        <v>0</v>
      </c>
      <c r="Z380" t="str">
        <f>IFERROR(VLOOKUP(R380, Item_Category!A:B, 2, FALSE), "Uncategorized")</f>
        <v>Sodium salts</v>
      </c>
      <c r="AA380" s="5">
        <f t="shared" si="93"/>
        <v>0</v>
      </c>
      <c r="AB380">
        <f t="shared" si="94"/>
        <v>5</v>
      </c>
      <c r="AC380" s="10">
        <f t="shared" si="95"/>
        <v>5</v>
      </c>
      <c r="AD380">
        <f t="shared" si="96"/>
        <v>3</v>
      </c>
      <c r="AE380" s="10">
        <f t="shared" si="97"/>
        <v>15</v>
      </c>
      <c r="AF380" s="5">
        <f t="shared" si="90"/>
        <v>1</v>
      </c>
      <c r="AG380" s="5">
        <f t="shared" si="91"/>
        <v>1</v>
      </c>
      <c r="AH380" s="5">
        <f t="shared" si="98"/>
        <v>0</v>
      </c>
      <c r="AI380">
        <f>IF(B380&lt;&gt;"", COUNTIFS($B$2:B380, B380), "")</f>
        <v>4</v>
      </c>
      <c r="AJ380">
        <f t="shared" si="99"/>
        <v>5</v>
      </c>
      <c r="AK380">
        <f t="shared" si="92"/>
        <v>5</v>
      </c>
      <c r="AL380">
        <f t="shared" si="100"/>
        <v>6</v>
      </c>
      <c r="AM380" t="str">
        <f t="shared" si="101"/>
        <v>June</v>
      </c>
      <c r="AN380">
        <f t="shared" si="102"/>
        <v>2023</v>
      </c>
      <c r="AO380" t="str">
        <f t="shared" si="103"/>
        <v>&gt;3</v>
      </c>
      <c r="AP380" t="str">
        <f t="shared" si="104"/>
        <v>&gt;3</v>
      </c>
      <c r="AQ380" t="str">
        <f t="shared" si="105"/>
        <v>&lt;=3</v>
      </c>
    </row>
    <row r="381" spans="1:43" x14ac:dyDescent="0.3">
      <c r="A381" t="s">
        <v>33</v>
      </c>
      <c r="B381" t="s">
        <v>409</v>
      </c>
      <c r="C381" t="s">
        <v>89</v>
      </c>
      <c r="D381">
        <v>2850</v>
      </c>
      <c r="E381">
        <v>23210368</v>
      </c>
      <c r="F381" t="s">
        <v>437</v>
      </c>
      <c r="G381" t="s">
        <v>438</v>
      </c>
      <c r="H381">
        <v>20000</v>
      </c>
      <c r="I381">
        <v>9.25</v>
      </c>
      <c r="J381">
        <v>185000</v>
      </c>
      <c r="K381" s="7" t="str">
        <f>IFERROR(IF(B381&lt;&gt;"", TEXT(VLOOKUP(B381, 'Expected Date'!A:B, 2, FALSE) + DATE(RIGHT(C381,2),MID(C381,4,2),LEFT(C381,2)), "dd/mm/yy"), ""), "")</f>
        <v>15/07/23</v>
      </c>
      <c r="L381" t="s">
        <v>38</v>
      </c>
      <c r="M381" t="s">
        <v>48</v>
      </c>
      <c r="N381" t="s">
        <v>364</v>
      </c>
      <c r="O381" t="s">
        <v>469</v>
      </c>
      <c r="P381">
        <v>23290797</v>
      </c>
      <c r="Q381" t="s">
        <v>437</v>
      </c>
      <c r="R381" t="s">
        <v>438</v>
      </c>
      <c r="S381">
        <v>15000</v>
      </c>
      <c r="T381">
        <v>9.25</v>
      </c>
      <c r="U381">
        <v>138750</v>
      </c>
      <c r="V381" t="str">
        <f t="shared" si="106"/>
        <v>Dahej</v>
      </c>
      <c r="W381" t="str">
        <f>VLOOKUP(B381, Currency!A:B, 2, FALSE)</f>
        <v>INR</v>
      </c>
      <c r="X381" t="str">
        <f t="shared" si="107"/>
        <v>Accepted</v>
      </c>
      <c r="Y381">
        <f>IFERROR(VLOOKUP(N381, Payment_Terms!A:B, 2, FALSE), "Payment term not found!")</f>
        <v>30</v>
      </c>
      <c r="Z381" t="str">
        <f>IFERROR(VLOOKUP(R381, Item_Category!A:B, 2, FALSE), "Uncategorized")</f>
        <v>Liner</v>
      </c>
      <c r="AA381" s="5">
        <f t="shared" si="93"/>
        <v>0</v>
      </c>
      <c r="AB381">
        <f t="shared" si="94"/>
        <v>5</v>
      </c>
      <c r="AC381" s="10">
        <f t="shared" si="95"/>
        <v>-2</v>
      </c>
      <c r="AD381">
        <f t="shared" si="96"/>
        <v>5</v>
      </c>
      <c r="AE381" s="10">
        <f t="shared" si="97"/>
        <v>8</v>
      </c>
      <c r="AF381" s="5">
        <f t="shared" si="90"/>
        <v>1</v>
      </c>
      <c r="AG381" s="5">
        <f t="shared" si="91"/>
        <v>1</v>
      </c>
      <c r="AH381" s="5">
        <f t="shared" si="98"/>
        <v>0</v>
      </c>
      <c r="AI381">
        <f>IF(B381&lt;&gt;"", COUNTIFS($B$2:B381, B381), "")</f>
        <v>3</v>
      </c>
      <c r="AJ381">
        <f t="shared" si="99"/>
        <v>5</v>
      </c>
      <c r="AK381">
        <f t="shared" si="92"/>
        <v>5</v>
      </c>
      <c r="AL381">
        <f t="shared" si="100"/>
        <v>7</v>
      </c>
      <c r="AM381" t="str">
        <f t="shared" si="101"/>
        <v>July</v>
      </c>
      <c r="AN381">
        <f t="shared" si="102"/>
        <v>2023</v>
      </c>
      <c r="AO381" t="str">
        <f t="shared" si="103"/>
        <v>&gt;3</v>
      </c>
      <c r="AP381" t="str">
        <f t="shared" si="104"/>
        <v>&gt;3</v>
      </c>
      <c r="AQ381" t="str">
        <f t="shared" si="105"/>
        <v>&gt;3</v>
      </c>
    </row>
    <row r="382" spans="1:43" x14ac:dyDescent="0.3">
      <c r="A382" t="s">
        <v>33</v>
      </c>
      <c r="B382" t="s">
        <v>347</v>
      </c>
      <c r="C382" t="s">
        <v>455</v>
      </c>
      <c r="D382">
        <v>2968</v>
      </c>
      <c r="E382">
        <v>23210393</v>
      </c>
      <c r="F382" t="s">
        <v>349</v>
      </c>
      <c r="G382" t="s">
        <v>350</v>
      </c>
      <c r="H382">
        <v>24</v>
      </c>
      <c r="I382">
        <v>44150</v>
      </c>
      <c r="J382">
        <v>1059600</v>
      </c>
      <c r="K382" s="7" t="str">
        <f>IFERROR(IF(B382&lt;&gt;"", TEXT(VLOOKUP(B382, 'Expected Date'!A:B, 2, FALSE) + DATE(RIGHT(C382,2),MID(C382,4,2),LEFT(C382,2)), "dd/mm/yy"), ""), "")</f>
        <v>11/07/23</v>
      </c>
      <c r="L382" t="s">
        <v>68</v>
      </c>
      <c r="M382" t="s">
        <v>48</v>
      </c>
      <c r="N382" t="s">
        <v>351</v>
      </c>
      <c r="O382" t="s">
        <v>193</v>
      </c>
      <c r="P382">
        <v>23290810</v>
      </c>
      <c r="Q382" t="s">
        <v>349</v>
      </c>
      <c r="R382" t="s">
        <v>350</v>
      </c>
      <c r="S382">
        <v>23.18</v>
      </c>
      <c r="T382">
        <v>44150</v>
      </c>
      <c r="U382">
        <v>1023397</v>
      </c>
      <c r="V382" t="str">
        <f t="shared" si="106"/>
        <v>Dahej</v>
      </c>
      <c r="W382" t="str">
        <f>VLOOKUP(B382, Currency!A:B, 2, FALSE)</f>
        <v>INR</v>
      </c>
      <c r="X382" t="str">
        <f t="shared" si="107"/>
        <v>Accepted</v>
      </c>
      <c r="Y382">
        <f>IFERROR(VLOOKUP(N382, Payment_Terms!A:B, 2, FALSE), "Payment term not found!")</f>
        <v>0</v>
      </c>
      <c r="Z382" t="str">
        <f>IFERROR(VLOOKUP(R382, Item_Category!A:B, 2, FALSE), "Uncategorized")</f>
        <v>Oil</v>
      </c>
      <c r="AA382" s="5">
        <f t="shared" si="93"/>
        <v>3.4166666666666679E-2</v>
      </c>
      <c r="AB382">
        <f t="shared" si="94"/>
        <v>3</v>
      </c>
      <c r="AC382" s="10">
        <f t="shared" si="95"/>
        <v>6</v>
      </c>
      <c r="AD382">
        <f t="shared" si="96"/>
        <v>3</v>
      </c>
      <c r="AE382" s="10">
        <f t="shared" si="97"/>
        <v>7</v>
      </c>
      <c r="AF382" s="5">
        <f t="shared" si="90"/>
        <v>1</v>
      </c>
      <c r="AG382" s="5">
        <f t="shared" si="91"/>
        <v>1</v>
      </c>
      <c r="AH382" s="5">
        <f t="shared" si="98"/>
        <v>0</v>
      </c>
      <c r="AI382">
        <f>IF(B382&lt;&gt;"", COUNTIFS($B$2:B382, B382), "")</f>
        <v>4</v>
      </c>
      <c r="AJ382">
        <f t="shared" si="99"/>
        <v>5</v>
      </c>
      <c r="AK382">
        <f t="shared" si="92"/>
        <v>4</v>
      </c>
      <c r="AL382">
        <f t="shared" si="100"/>
        <v>7</v>
      </c>
      <c r="AM382" t="str">
        <f t="shared" si="101"/>
        <v>July</v>
      </c>
      <c r="AN382">
        <f t="shared" si="102"/>
        <v>2023</v>
      </c>
      <c r="AO382" t="str">
        <f t="shared" si="103"/>
        <v>&gt;3</v>
      </c>
      <c r="AP382" t="str">
        <f t="shared" si="104"/>
        <v>&lt;=3</v>
      </c>
      <c r="AQ382" t="str">
        <f t="shared" si="105"/>
        <v>&lt;=3</v>
      </c>
    </row>
    <row r="383" spans="1:43" x14ac:dyDescent="0.3">
      <c r="A383" t="s">
        <v>33</v>
      </c>
      <c r="B383" t="s">
        <v>429</v>
      </c>
      <c r="C383" t="s">
        <v>89</v>
      </c>
      <c r="D383">
        <v>2822</v>
      </c>
      <c r="E383">
        <v>23210366</v>
      </c>
      <c r="F383" t="s">
        <v>430</v>
      </c>
      <c r="G383" t="s">
        <v>431</v>
      </c>
      <c r="H383">
        <v>5000</v>
      </c>
      <c r="I383">
        <v>8.1999999999999993</v>
      </c>
      <c r="J383">
        <v>41000</v>
      </c>
      <c r="K383" s="7" t="str">
        <f>IFERROR(IF(B383&lt;&gt;"", TEXT(VLOOKUP(B383, 'Expected Date'!A:B, 2, FALSE) + DATE(RIGHT(C383,2),MID(C383,4,2),LEFT(C383,2)), "dd/mm/yy"), ""), "")</f>
        <v>10/07/23</v>
      </c>
      <c r="L383" t="s">
        <v>38</v>
      </c>
      <c r="M383" t="s">
        <v>48</v>
      </c>
      <c r="N383" t="s">
        <v>299</v>
      </c>
      <c r="O383" t="s">
        <v>116</v>
      </c>
      <c r="P383">
        <v>23290813</v>
      </c>
      <c r="Q383" t="s">
        <v>430</v>
      </c>
      <c r="R383" t="s">
        <v>431</v>
      </c>
      <c r="S383">
        <v>2500</v>
      </c>
      <c r="T383">
        <v>8.1999999999999993</v>
      </c>
      <c r="U383">
        <v>20500</v>
      </c>
      <c r="V383" t="str">
        <f t="shared" si="106"/>
        <v>Dahej</v>
      </c>
      <c r="W383" t="str">
        <f>VLOOKUP(B383, Currency!A:B, 2, FALSE)</f>
        <v>INR</v>
      </c>
      <c r="X383" t="str">
        <f t="shared" si="107"/>
        <v>Accepted</v>
      </c>
      <c r="Y383">
        <f>IFERROR(VLOOKUP(N383, Payment_Terms!A:B, 2, FALSE), "Payment term not found!")</f>
        <v>60</v>
      </c>
      <c r="Z383" t="str">
        <f>IFERROR(VLOOKUP(R383, Item_Category!A:B, 2, FALSE), "Uncategorized")</f>
        <v>Lime</v>
      </c>
      <c r="AA383" s="5">
        <f t="shared" si="93"/>
        <v>0</v>
      </c>
      <c r="AB383">
        <f t="shared" si="94"/>
        <v>5</v>
      </c>
      <c r="AC383" s="10">
        <f t="shared" si="95"/>
        <v>8</v>
      </c>
      <c r="AD383">
        <f t="shared" si="96"/>
        <v>2</v>
      </c>
      <c r="AE383" s="10">
        <f t="shared" si="97"/>
        <v>13</v>
      </c>
      <c r="AF383" s="5">
        <f t="shared" si="90"/>
        <v>1</v>
      </c>
      <c r="AG383" s="5">
        <f t="shared" si="91"/>
        <v>1</v>
      </c>
      <c r="AH383" s="5">
        <f t="shared" si="98"/>
        <v>0</v>
      </c>
      <c r="AI383">
        <f>IF(B383&lt;&gt;"", COUNTIFS($B$2:B383, B383), "")</f>
        <v>4</v>
      </c>
      <c r="AJ383">
        <f t="shared" si="99"/>
        <v>5</v>
      </c>
      <c r="AK383">
        <f t="shared" si="92"/>
        <v>5</v>
      </c>
      <c r="AL383">
        <f t="shared" si="100"/>
        <v>7</v>
      </c>
      <c r="AM383" t="str">
        <f t="shared" si="101"/>
        <v>July</v>
      </c>
      <c r="AN383">
        <f t="shared" si="102"/>
        <v>2023</v>
      </c>
      <c r="AO383" t="str">
        <f t="shared" si="103"/>
        <v>&gt;3</v>
      </c>
      <c r="AP383" t="str">
        <f t="shared" si="104"/>
        <v>&gt;3</v>
      </c>
      <c r="AQ383" t="str">
        <f t="shared" si="105"/>
        <v>&lt;=3</v>
      </c>
    </row>
    <row r="384" spans="1:43" x14ac:dyDescent="0.3">
      <c r="A384" t="s">
        <v>33</v>
      </c>
      <c r="B384" t="s">
        <v>409</v>
      </c>
      <c r="C384" t="s">
        <v>89</v>
      </c>
      <c r="D384">
        <v>2850</v>
      </c>
      <c r="E384">
        <v>23210368</v>
      </c>
      <c r="F384" t="s">
        <v>437</v>
      </c>
      <c r="G384" t="s">
        <v>438</v>
      </c>
      <c r="H384">
        <v>20000</v>
      </c>
      <c r="I384">
        <v>9.25</v>
      </c>
      <c r="J384">
        <v>185000</v>
      </c>
      <c r="K384" s="7" t="str">
        <f>IFERROR(IF(B384&lt;&gt;"", TEXT(VLOOKUP(B384, 'Expected Date'!A:B, 2, FALSE) + DATE(RIGHT(C384,2),MID(C384,4,2),LEFT(C384,2)), "dd/mm/yy"), ""), "")</f>
        <v>15/07/23</v>
      </c>
      <c r="L384" t="s">
        <v>38</v>
      </c>
      <c r="M384" t="s">
        <v>48</v>
      </c>
      <c r="N384" t="s">
        <v>364</v>
      </c>
      <c r="O384" t="s">
        <v>57</v>
      </c>
      <c r="P384">
        <v>23291033</v>
      </c>
      <c r="Q384" t="s">
        <v>437</v>
      </c>
      <c r="R384" t="s">
        <v>438</v>
      </c>
      <c r="S384">
        <v>5000</v>
      </c>
      <c r="T384">
        <v>9.25</v>
      </c>
      <c r="U384">
        <v>46250</v>
      </c>
      <c r="V384" t="str">
        <f t="shared" si="106"/>
        <v>Dahej</v>
      </c>
      <c r="W384" t="str">
        <f>VLOOKUP(B384, Currency!A:B, 2, FALSE)</f>
        <v>INR</v>
      </c>
      <c r="X384" t="str">
        <f t="shared" si="107"/>
        <v>Accepted</v>
      </c>
      <c r="Y384">
        <f>IFERROR(VLOOKUP(N384, Payment_Terms!A:B, 2, FALSE), "Payment term not found!")</f>
        <v>30</v>
      </c>
      <c r="Z384" t="str">
        <f>IFERROR(VLOOKUP(R384, Item_Category!A:B, 2, FALSE), "Uncategorized")</f>
        <v>Liner</v>
      </c>
      <c r="AA384" s="5">
        <f t="shared" si="93"/>
        <v>0</v>
      </c>
      <c r="AB384">
        <f t="shared" si="94"/>
        <v>5</v>
      </c>
      <c r="AC384" s="10">
        <f t="shared" si="95"/>
        <v>19</v>
      </c>
      <c r="AD384">
        <f t="shared" si="96"/>
        <v>1</v>
      </c>
      <c r="AE384" s="10">
        <f t="shared" si="97"/>
        <v>29</v>
      </c>
      <c r="AF384" s="5">
        <f t="shared" si="90"/>
        <v>1</v>
      </c>
      <c r="AG384" s="5">
        <f t="shared" si="91"/>
        <v>1</v>
      </c>
      <c r="AH384" s="5">
        <f t="shared" si="98"/>
        <v>0</v>
      </c>
      <c r="AI384">
        <f>IF(B384&lt;&gt;"", COUNTIFS($B$2:B384, B384), "")</f>
        <v>4</v>
      </c>
      <c r="AJ384">
        <f t="shared" si="99"/>
        <v>5</v>
      </c>
      <c r="AK384">
        <f t="shared" si="92"/>
        <v>4</v>
      </c>
      <c r="AL384">
        <f t="shared" si="100"/>
        <v>7</v>
      </c>
      <c r="AM384" t="str">
        <f t="shared" si="101"/>
        <v>July</v>
      </c>
      <c r="AN384">
        <f t="shared" si="102"/>
        <v>2023</v>
      </c>
      <c r="AO384" t="str">
        <f t="shared" si="103"/>
        <v>&gt;3</v>
      </c>
      <c r="AP384" t="str">
        <f t="shared" si="104"/>
        <v>&gt;3</v>
      </c>
      <c r="AQ384" t="str">
        <f t="shared" si="105"/>
        <v>&lt;=3</v>
      </c>
    </row>
    <row r="385" spans="1:43" x14ac:dyDescent="0.3">
      <c r="A385" t="s">
        <v>33</v>
      </c>
      <c r="B385" t="s">
        <v>122</v>
      </c>
      <c r="C385" t="s">
        <v>354</v>
      </c>
      <c r="D385">
        <v>2806</v>
      </c>
      <c r="E385">
        <v>23210359</v>
      </c>
      <c r="F385" t="s">
        <v>405</v>
      </c>
      <c r="G385" t="s">
        <v>406</v>
      </c>
      <c r="H385">
        <v>600</v>
      </c>
      <c r="I385">
        <v>930</v>
      </c>
      <c r="J385">
        <v>558000</v>
      </c>
      <c r="K385" s="7" t="str">
        <f>IFERROR(IF(B385&lt;&gt;"", TEXT(VLOOKUP(B385, 'Expected Date'!A:B, 2, FALSE) + DATE(RIGHT(C385,2),MID(C385,4,2),LEFT(C385,2)), "dd/mm/yy"), ""), "")</f>
        <v>18/07/23</v>
      </c>
      <c r="L385" t="s">
        <v>38</v>
      </c>
      <c r="M385" t="s">
        <v>39</v>
      </c>
      <c r="N385" t="s">
        <v>364</v>
      </c>
      <c r="O385" t="s">
        <v>59</v>
      </c>
      <c r="P385">
        <v>23291022</v>
      </c>
      <c r="Q385" t="s">
        <v>405</v>
      </c>
      <c r="R385" t="s">
        <v>406</v>
      </c>
      <c r="S385">
        <v>100</v>
      </c>
      <c r="T385">
        <v>930</v>
      </c>
      <c r="U385">
        <v>93000</v>
      </c>
      <c r="V385" t="str">
        <f t="shared" si="106"/>
        <v>Dahej</v>
      </c>
      <c r="W385" t="str">
        <f>VLOOKUP(B385, Currency!A:B, 2, FALSE)</f>
        <v>INR</v>
      </c>
      <c r="X385" t="str">
        <f t="shared" si="107"/>
        <v>Accepted</v>
      </c>
      <c r="Y385">
        <f>IFERROR(VLOOKUP(N385, Payment_Terms!A:B, 2, FALSE), "Payment term not found!")</f>
        <v>30</v>
      </c>
      <c r="Z385" t="str">
        <f>IFERROR(VLOOKUP(R385, Item_Category!A:B, 2, FALSE), "Uncategorized")</f>
        <v>Pallets</v>
      </c>
      <c r="AA385" s="5">
        <f t="shared" si="93"/>
        <v>0</v>
      </c>
      <c r="AB385">
        <f t="shared" si="94"/>
        <v>5</v>
      </c>
      <c r="AC385" s="10">
        <f t="shared" si="95"/>
        <v>18</v>
      </c>
      <c r="AD385">
        <f t="shared" si="96"/>
        <v>1</v>
      </c>
      <c r="AE385" s="10">
        <f t="shared" si="97"/>
        <v>33</v>
      </c>
      <c r="AF385" s="5">
        <f t="shared" si="90"/>
        <v>1</v>
      </c>
      <c r="AG385" s="5">
        <f t="shared" si="91"/>
        <v>1</v>
      </c>
      <c r="AH385" s="5">
        <f t="shared" si="98"/>
        <v>0</v>
      </c>
      <c r="AI385">
        <f>IF(B385&lt;&gt;"", COUNTIFS($B$2:B385, B385), "")</f>
        <v>13</v>
      </c>
      <c r="AJ385">
        <f t="shared" si="99"/>
        <v>5</v>
      </c>
      <c r="AK385">
        <f t="shared" si="92"/>
        <v>4</v>
      </c>
      <c r="AL385">
        <f t="shared" si="100"/>
        <v>7</v>
      </c>
      <c r="AM385" t="str">
        <f t="shared" si="101"/>
        <v>July</v>
      </c>
      <c r="AN385">
        <f t="shared" si="102"/>
        <v>2023</v>
      </c>
      <c r="AO385" t="str">
        <f t="shared" si="103"/>
        <v>&gt;3</v>
      </c>
      <c r="AP385" t="str">
        <f t="shared" si="104"/>
        <v>&gt;3</v>
      </c>
      <c r="AQ385" t="str">
        <f t="shared" si="105"/>
        <v>&lt;=3</v>
      </c>
    </row>
    <row r="386" spans="1:43" x14ac:dyDescent="0.3">
      <c r="A386" t="s">
        <v>33</v>
      </c>
      <c r="B386" t="s">
        <v>122</v>
      </c>
      <c r="C386" t="s">
        <v>354</v>
      </c>
      <c r="D386">
        <v>2806</v>
      </c>
      <c r="E386">
        <v>23210359</v>
      </c>
      <c r="F386" t="s">
        <v>405</v>
      </c>
      <c r="G386" t="s">
        <v>406</v>
      </c>
      <c r="H386">
        <v>600</v>
      </c>
      <c r="I386">
        <v>930</v>
      </c>
      <c r="J386">
        <v>558000</v>
      </c>
      <c r="K386" s="7" t="str">
        <f>IFERROR(IF(B386&lt;&gt;"", TEXT(VLOOKUP(B386, 'Expected Date'!A:B, 2, FALSE) + DATE(RIGHT(C386,2),MID(C386,4,2),LEFT(C386,2)), "dd/mm/yy"), ""), "")</f>
        <v>18/07/23</v>
      </c>
      <c r="L386" t="s">
        <v>38</v>
      </c>
      <c r="M386" t="s">
        <v>39</v>
      </c>
      <c r="N386" t="s">
        <v>364</v>
      </c>
      <c r="O386" t="s">
        <v>57</v>
      </c>
      <c r="P386">
        <v>23291024</v>
      </c>
      <c r="Q386" t="s">
        <v>405</v>
      </c>
      <c r="R386" t="s">
        <v>406</v>
      </c>
      <c r="S386">
        <v>180</v>
      </c>
      <c r="T386">
        <v>930</v>
      </c>
      <c r="U386">
        <v>167400</v>
      </c>
      <c r="V386" t="str">
        <f t="shared" si="106"/>
        <v>Dahej</v>
      </c>
      <c r="W386" t="str">
        <f>VLOOKUP(B386, Currency!A:B, 2, FALSE)</f>
        <v>INR</v>
      </c>
      <c r="X386" t="str">
        <f t="shared" si="107"/>
        <v>Accepted</v>
      </c>
      <c r="Y386">
        <f>IFERROR(VLOOKUP(N386, Payment_Terms!A:B, 2, FALSE), "Payment term not found!")</f>
        <v>30</v>
      </c>
      <c r="Z386" t="str">
        <f>IFERROR(VLOOKUP(R386, Item_Category!A:B, 2, FALSE), "Uncategorized")</f>
        <v>Pallets</v>
      </c>
      <c r="AA386" s="5">
        <f t="shared" si="93"/>
        <v>0</v>
      </c>
      <c r="AB386">
        <f t="shared" si="94"/>
        <v>5</v>
      </c>
      <c r="AC386" s="10">
        <f t="shared" si="95"/>
        <v>16</v>
      </c>
      <c r="AD386">
        <f t="shared" si="96"/>
        <v>1</v>
      </c>
      <c r="AE386" s="10">
        <f t="shared" si="97"/>
        <v>31</v>
      </c>
      <c r="AF386" s="5">
        <f t="shared" ref="AF386:AF449" si="108">IF(X386="Accepted",1,0)</f>
        <v>1</v>
      </c>
      <c r="AG386" s="5">
        <f t="shared" ref="AG386:AG449" si="109">ROUNDUP((SUMIFS(S:S, B:B, B386, X:X, "Accepted")/SUMIF(B:B,B386,S:S)),2)</f>
        <v>1</v>
      </c>
      <c r="AH386" s="5">
        <f t="shared" si="98"/>
        <v>0</v>
      </c>
      <c r="AI386">
        <f>IF(B386&lt;&gt;"", COUNTIFS($B$2:B386, B386), "")</f>
        <v>14</v>
      </c>
      <c r="AJ386">
        <f t="shared" si="99"/>
        <v>5</v>
      </c>
      <c r="AK386">
        <f t="shared" ref="AK386:AK449" si="110">_xlfn.CEILING.MATH(((0.4*AJ386)+(0.3*AD386)+(0.3*AB386)),1)</f>
        <v>4</v>
      </c>
      <c r="AL386">
        <f t="shared" si="100"/>
        <v>7</v>
      </c>
      <c r="AM386" t="str">
        <f t="shared" si="101"/>
        <v>July</v>
      </c>
      <c r="AN386">
        <f t="shared" si="102"/>
        <v>2023</v>
      </c>
      <c r="AO386" t="str">
        <f t="shared" si="103"/>
        <v>&gt;3</v>
      </c>
      <c r="AP386" t="str">
        <f t="shared" si="104"/>
        <v>&gt;3</v>
      </c>
      <c r="AQ386" t="str">
        <f t="shared" si="105"/>
        <v>&lt;=3</v>
      </c>
    </row>
    <row r="387" spans="1:43" x14ac:dyDescent="0.3">
      <c r="A387" t="s">
        <v>33</v>
      </c>
      <c r="B387" t="str">
        <f>B284</f>
        <v>Ami Enterprises</v>
      </c>
      <c r="C387" t="s">
        <v>94</v>
      </c>
      <c r="D387">
        <v>3574</v>
      </c>
      <c r="E387">
        <v>23210501</v>
      </c>
      <c r="F387" t="s">
        <v>460</v>
      </c>
      <c r="G387" t="s">
        <v>461</v>
      </c>
      <c r="H387">
        <v>15000</v>
      </c>
      <c r="I387">
        <v>33.5</v>
      </c>
      <c r="J387">
        <v>502500</v>
      </c>
      <c r="K387" s="7" t="str">
        <f>IFERROR(IF(B387&lt;&gt;"", TEXT(VLOOKUP(B387, 'Expected Date'!A:B, 2, FALSE) + DATE(RIGHT(C387,2),MID(C387,4,2),LEFT(C387,2)), "dd/mm/yy"), ""), "")</f>
        <v>17/08/23</v>
      </c>
      <c r="L387" t="s">
        <v>68</v>
      </c>
      <c r="M387" t="s">
        <v>39</v>
      </c>
      <c r="N387" t="s">
        <v>342</v>
      </c>
      <c r="O387" t="s">
        <v>408</v>
      </c>
      <c r="P387">
        <v>23291049</v>
      </c>
      <c r="Q387" t="s">
        <v>460</v>
      </c>
      <c r="R387" t="s">
        <v>461</v>
      </c>
      <c r="S387">
        <v>12000</v>
      </c>
      <c r="T387">
        <v>33.5</v>
      </c>
      <c r="U387">
        <v>402000</v>
      </c>
      <c r="V387" t="str">
        <f t="shared" si="106"/>
        <v>Dahej</v>
      </c>
      <c r="W387" t="str">
        <f>VLOOKUP(B387, Currency!A:B, 2, FALSE)</f>
        <v>INR</v>
      </c>
      <c r="X387" t="str">
        <f t="shared" si="107"/>
        <v>Accepted</v>
      </c>
      <c r="Y387">
        <f>IFERROR(VLOOKUP(N387, Payment_Terms!A:B, 2, FALSE), "Payment term not found!")</f>
        <v>30</v>
      </c>
      <c r="Z387" t="str">
        <f>IFERROR(VLOOKUP(R387, Item_Category!A:B, 2, FALSE), "Uncategorized")</f>
        <v>Bags</v>
      </c>
      <c r="AA387" s="5">
        <f t="shared" ref="AA387:AA450" si="111">IFERROR(IF(AND(E387&lt;&gt;"", G387&lt;&gt;""), MAX(0, (H387-SUMIFS(S:S, E:E, E387, G:G, G387))/H387), ""), (H387-S387)/H387)</f>
        <v>0.2</v>
      </c>
      <c r="AB387">
        <f t="shared" ref="AB387:AB450" si="112">IF(AA387&lt;=0%,5,(IF(AND(AA387&gt;0%,AA387&lt;=2%),4,IF(AND(AA387&gt;2%,AA387&lt;=5%),3,IF(AND(AA387&gt;5%,AA387&lt;10%),2,1)))))</f>
        <v>1</v>
      </c>
      <c r="AC387" s="10">
        <f t="shared" ref="AC387:AC450" si="113">DATE(RIGHT(O387,2),MID(O387,4,2),LEFT(O387,2)) - DATE(RIGHT(K387,2),MID(K387,4,2),LEFT(K387,2))</f>
        <v>-9</v>
      </c>
      <c r="AD387">
        <f t="shared" ref="AD387:AD450" si="114">IF(AC387 &lt;= 2, 5, IF(AC387 &lt;= 4, 4, IF(AC387 &lt;= 7, 3, IF(AC387&lt;=10,2,1))))</f>
        <v>5</v>
      </c>
      <c r="AE387" s="10">
        <f t="shared" ref="AE387:AE450" si="115">ABS(DATE(RIGHT(O387,2),MID(O387,4,2),LEFT(O387,2)) - DATE(RIGHT(C387,2),MID(C387,4,2),LEFT(C387,2)))</f>
        <v>1</v>
      </c>
      <c r="AF387" s="5">
        <f t="shared" si="108"/>
        <v>1</v>
      </c>
      <c r="AG387" s="5">
        <f t="shared" si="109"/>
        <v>1</v>
      </c>
      <c r="AH387" s="5">
        <f t="shared" ref="AH387:AH450" si="116">ROUNDUP(ABS(100%-AG387),2)</f>
        <v>0</v>
      </c>
      <c r="AI387">
        <f>IF(B387&lt;&gt;"", COUNTIFS($B$2:B387, B387), "")</f>
        <v>21</v>
      </c>
      <c r="AJ387">
        <f t="shared" ref="AJ387:AJ450" si="117">IF(AH387=0%,5,IF(AND(AH387&gt;0%,AH387&lt;=2%),4,IF(AND(AH387&gt;2%,AH387&lt;=5%),3,IF(AND(AH387&gt;5%,AH387&lt;10%),2,1))))</f>
        <v>5</v>
      </c>
      <c r="AK387">
        <f t="shared" si="110"/>
        <v>4</v>
      </c>
      <c r="AL387">
        <f t="shared" ref="AL387:AL450" si="118">MONTH(DATE(RIGHT(C387,2),MID(C387,4,2),LEFT(C387,2)))</f>
        <v>8</v>
      </c>
      <c r="AM387" t="str">
        <f t="shared" ref="AM387:AM450" si="119">TEXT(DATE(RIGHT(C387,2),MID(C387,4,2),LEFT(C387,2)),"mmmm")</f>
        <v>August</v>
      </c>
      <c r="AN387">
        <f t="shared" ref="AN387:AN450" si="120">YEAR(DATE(VALUE(MID(C387,7,2))+2000, MID(C387,4,2), MID(C387,1,2)))</f>
        <v>2023</v>
      </c>
      <c r="AO387" t="str">
        <f t="shared" ref="AO387:AO450" si="121">IF(AJ387&lt;=3,"&lt;=3","&gt;3")</f>
        <v>&gt;3</v>
      </c>
      <c r="AP387" t="str">
        <f t="shared" ref="AP387:AP450" si="122">IF(AB387&lt;=3,"&lt;=3","&gt;3")</f>
        <v>&lt;=3</v>
      </c>
      <c r="AQ387" t="str">
        <f t="shared" ref="AQ387:AQ450" si="123">IF(AD387&lt;=3,"&lt;=3","&gt;3")</f>
        <v>&gt;3</v>
      </c>
    </row>
    <row r="388" spans="1:43" x14ac:dyDescent="0.3">
      <c r="A388" t="s">
        <v>33</v>
      </c>
      <c r="B388" t="s">
        <v>382</v>
      </c>
      <c r="C388" t="s">
        <v>133</v>
      </c>
      <c r="D388">
        <v>2307</v>
      </c>
      <c r="E388">
        <v>23210248</v>
      </c>
      <c r="F388" t="s">
        <v>383</v>
      </c>
      <c r="G388" t="s">
        <v>384</v>
      </c>
      <c r="H388">
        <v>250</v>
      </c>
      <c r="I388">
        <v>96</v>
      </c>
      <c r="J388">
        <v>24000</v>
      </c>
      <c r="K388" s="7" t="str">
        <f>IFERROR(IF(B388&lt;&gt;"", TEXT(VLOOKUP(B388, 'Expected Date'!A:B, 2, FALSE) + DATE(RIGHT(C388,2),MID(C388,4,2),LEFT(C388,2)), "dd/mm/yy"), ""), "")</f>
        <v>16/06/23</v>
      </c>
      <c r="L388" t="s">
        <v>38</v>
      </c>
      <c r="M388" t="s">
        <v>48</v>
      </c>
      <c r="N388" t="s">
        <v>342</v>
      </c>
      <c r="O388" t="s">
        <v>134</v>
      </c>
      <c r="P388">
        <v>23290473</v>
      </c>
      <c r="Q388" t="s">
        <v>383</v>
      </c>
      <c r="R388" t="s">
        <v>384</v>
      </c>
      <c r="S388">
        <v>250</v>
      </c>
      <c r="T388">
        <v>96</v>
      </c>
      <c r="U388">
        <v>24000</v>
      </c>
      <c r="V388" t="str">
        <f t="shared" si="106"/>
        <v>Dahej</v>
      </c>
      <c r="W388" t="str">
        <f>VLOOKUP(B388, Currency!A:B, 2, FALSE)</f>
        <v>INR</v>
      </c>
      <c r="X388" t="str">
        <f t="shared" si="107"/>
        <v>Accepted</v>
      </c>
      <c r="Y388">
        <f>IFERROR(VLOOKUP(N388, Payment_Terms!A:B, 2, FALSE), "Payment term not found!")</f>
        <v>30</v>
      </c>
      <c r="Z388" t="str">
        <f>IFERROR(VLOOKUP(R388, Item_Category!A:B, 2, FALSE), "Uncategorized")</f>
        <v>Gas</v>
      </c>
      <c r="AA388" s="5">
        <f t="shared" si="111"/>
        <v>0</v>
      </c>
      <c r="AB388">
        <f t="shared" si="112"/>
        <v>5</v>
      </c>
      <c r="AC388" s="10">
        <f t="shared" si="113"/>
        <v>-8</v>
      </c>
      <c r="AD388">
        <f t="shared" si="114"/>
        <v>5</v>
      </c>
      <c r="AE388" s="10">
        <f t="shared" si="115"/>
        <v>2</v>
      </c>
      <c r="AF388" s="5">
        <f t="shared" si="108"/>
        <v>1</v>
      </c>
      <c r="AG388" s="5">
        <f t="shared" si="109"/>
        <v>1</v>
      </c>
      <c r="AH388" s="5">
        <f t="shared" si="116"/>
        <v>0</v>
      </c>
      <c r="AI388">
        <f>IF(B388&lt;&gt;"", COUNTIFS($B$2:B388, B388), "")</f>
        <v>4</v>
      </c>
      <c r="AJ388">
        <f t="shared" si="117"/>
        <v>5</v>
      </c>
      <c r="AK388">
        <f t="shared" si="110"/>
        <v>5</v>
      </c>
      <c r="AL388">
        <f t="shared" si="118"/>
        <v>6</v>
      </c>
      <c r="AM388" t="str">
        <f t="shared" si="119"/>
        <v>June</v>
      </c>
      <c r="AN388">
        <f t="shared" si="120"/>
        <v>2023</v>
      </c>
      <c r="AO388" t="str">
        <f t="shared" si="121"/>
        <v>&gt;3</v>
      </c>
      <c r="AP388" t="str">
        <f t="shared" si="122"/>
        <v>&gt;3</v>
      </c>
      <c r="AQ388" t="str">
        <f t="shared" si="123"/>
        <v>&gt;3</v>
      </c>
    </row>
    <row r="389" spans="1:43" x14ac:dyDescent="0.3">
      <c r="A389" t="s">
        <v>111</v>
      </c>
      <c r="B389" t="s">
        <v>258</v>
      </c>
      <c r="C389" t="s">
        <v>398</v>
      </c>
      <c r="D389">
        <v>1631</v>
      </c>
      <c r="E389">
        <v>23220014</v>
      </c>
      <c r="F389" t="s">
        <v>379</v>
      </c>
      <c r="G389" t="s">
        <v>380</v>
      </c>
      <c r="H389">
        <v>2200</v>
      </c>
      <c r="I389">
        <v>105</v>
      </c>
      <c r="J389">
        <v>231000</v>
      </c>
      <c r="K389" s="7" t="str">
        <f>IFERROR(IF(B389&lt;&gt;"", TEXT(VLOOKUP(B389, 'Expected Date'!A:B, 2, FALSE) + DATE(RIGHT(C389,2),MID(C389,4,2),LEFT(C389,2)), "dd/mm/yy"), ""), "")</f>
        <v>11/05/23</v>
      </c>
      <c r="L389" t="s">
        <v>38</v>
      </c>
      <c r="M389" t="s">
        <v>48</v>
      </c>
      <c r="N389" t="s">
        <v>470</v>
      </c>
      <c r="O389" t="s">
        <v>146</v>
      </c>
      <c r="P389">
        <v>23290214</v>
      </c>
      <c r="Q389" t="s">
        <v>379</v>
      </c>
      <c r="R389" t="s">
        <v>380</v>
      </c>
      <c r="S389">
        <v>2200</v>
      </c>
      <c r="T389">
        <v>105</v>
      </c>
      <c r="U389">
        <v>231000</v>
      </c>
      <c r="V389" t="str">
        <f t="shared" si="106"/>
        <v>Dahej</v>
      </c>
      <c r="W389" t="str">
        <f>VLOOKUP(B389, Currency!A:B, 2, FALSE)</f>
        <v>INR</v>
      </c>
      <c r="X389" t="str">
        <f t="shared" si="107"/>
        <v>Accepted</v>
      </c>
      <c r="Y389">
        <f>IFERROR(VLOOKUP(N389, Payment_Terms!A:B, 2, FALSE), "Payment term not found!")</f>
        <v>30</v>
      </c>
      <c r="Z389" t="str">
        <f>IFERROR(VLOOKUP(R389, Item_Category!A:B, 2, FALSE), "Uncategorized")</f>
        <v>SSG - Maize</v>
      </c>
      <c r="AA389" s="5">
        <f t="shared" si="111"/>
        <v>0</v>
      </c>
      <c r="AB389">
        <f t="shared" si="112"/>
        <v>5</v>
      </c>
      <c r="AC389" s="10">
        <f t="shared" si="113"/>
        <v>-2</v>
      </c>
      <c r="AD389">
        <f t="shared" si="114"/>
        <v>5</v>
      </c>
      <c r="AE389" s="10">
        <f t="shared" si="115"/>
        <v>8</v>
      </c>
      <c r="AF389" s="5">
        <f t="shared" si="108"/>
        <v>1</v>
      </c>
      <c r="AG389" s="5">
        <f t="shared" si="109"/>
        <v>1</v>
      </c>
      <c r="AH389" s="5">
        <f t="shared" si="116"/>
        <v>0</v>
      </c>
      <c r="AI389">
        <f>IF(B389&lt;&gt;"", COUNTIFS($B$2:B389, B389), "")</f>
        <v>4</v>
      </c>
      <c r="AJ389">
        <f t="shared" si="117"/>
        <v>5</v>
      </c>
      <c r="AK389">
        <f t="shared" si="110"/>
        <v>5</v>
      </c>
      <c r="AL389">
        <f t="shared" si="118"/>
        <v>5</v>
      </c>
      <c r="AM389" t="str">
        <f t="shared" si="119"/>
        <v>May</v>
      </c>
      <c r="AN389">
        <f t="shared" si="120"/>
        <v>2023</v>
      </c>
      <c r="AO389" t="str">
        <f t="shared" si="121"/>
        <v>&gt;3</v>
      </c>
      <c r="AP389" t="str">
        <f t="shared" si="122"/>
        <v>&gt;3</v>
      </c>
      <c r="AQ389" t="str">
        <f t="shared" si="123"/>
        <v>&gt;3</v>
      </c>
    </row>
    <row r="390" spans="1:43" x14ac:dyDescent="0.3">
      <c r="A390" t="s">
        <v>33</v>
      </c>
      <c r="B390" t="str">
        <f>B284</f>
        <v>Ami Enterprises</v>
      </c>
      <c r="C390" t="s">
        <v>344</v>
      </c>
      <c r="D390">
        <v>1458</v>
      </c>
      <c r="E390">
        <v>23210064</v>
      </c>
      <c r="F390" t="s">
        <v>460</v>
      </c>
      <c r="G390" t="s">
        <v>461</v>
      </c>
      <c r="H390">
        <v>11100</v>
      </c>
      <c r="I390">
        <v>35</v>
      </c>
      <c r="J390">
        <v>388500</v>
      </c>
      <c r="K390" s="7" t="str">
        <f>IFERROR(IF(B390&lt;&gt;"", TEXT(VLOOKUP(B390, 'Expected Date'!A:B, 2, FALSE) + DATE(RIGHT(C390,2),MID(C390,4,2),LEFT(C390,2)), "dd/mm/yy"), ""), "")</f>
        <v>14/04/23</v>
      </c>
      <c r="L390" t="s">
        <v>68</v>
      </c>
      <c r="M390" t="s">
        <v>39</v>
      </c>
      <c r="N390" t="s">
        <v>318</v>
      </c>
      <c r="O390" t="s">
        <v>172</v>
      </c>
      <c r="P390">
        <v>23290081</v>
      </c>
      <c r="Q390" t="s">
        <v>460</v>
      </c>
      <c r="R390" t="s">
        <v>461</v>
      </c>
      <c r="S390">
        <v>11031</v>
      </c>
      <c r="T390">
        <v>35</v>
      </c>
      <c r="U390">
        <v>386085</v>
      </c>
      <c r="V390" t="str">
        <f t="shared" si="106"/>
        <v>Dahej</v>
      </c>
      <c r="W390" t="str">
        <f>VLOOKUP(B390, Currency!A:B, 2, FALSE)</f>
        <v>INR</v>
      </c>
      <c r="X390" t="str">
        <f t="shared" si="107"/>
        <v>Accepted</v>
      </c>
      <c r="Y390">
        <f>IFERROR(VLOOKUP(N390, Payment_Terms!A:B, 2, FALSE), "Payment term not found!")</f>
        <v>30</v>
      </c>
      <c r="Z390" t="str">
        <f>IFERROR(VLOOKUP(R390, Item_Category!A:B, 2, FALSE), "Uncategorized")</f>
        <v>Bags</v>
      </c>
      <c r="AA390" s="5">
        <f t="shared" si="111"/>
        <v>6.216216216216216E-3</v>
      </c>
      <c r="AB390">
        <f t="shared" si="112"/>
        <v>4</v>
      </c>
      <c r="AC390" s="10">
        <f t="shared" si="113"/>
        <v>-8</v>
      </c>
      <c r="AD390">
        <f t="shared" si="114"/>
        <v>5</v>
      </c>
      <c r="AE390" s="10">
        <f t="shared" si="115"/>
        <v>2</v>
      </c>
      <c r="AF390" s="5">
        <f t="shared" si="108"/>
        <v>1</v>
      </c>
      <c r="AG390" s="5">
        <f t="shared" si="109"/>
        <v>1</v>
      </c>
      <c r="AH390" s="5">
        <f t="shared" si="116"/>
        <v>0</v>
      </c>
      <c r="AI390">
        <f>IF(B390&lt;&gt;"", COUNTIFS($B$2:B390, B390), "")</f>
        <v>22</v>
      </c>
      <c r="AJ390">
        <f t="shared" si="117"/>
        <v>5</v>
      </c>
      <c r="AK390">
        <f t="shared" si="110"/>
        <v>5</v>
      </c>
      <c r="AL390">
        <f t="shared" si="118"/>
        <v>4</v>
      </c>
      <c r="AM390" t="str">
        <f t="shared" si="119"/>
        <v>April</v>
      </c>
      <c r="AN390">
        <f t="shared" si="120"/>
        <v>2023</v>
      </c>
      <c r="AO390" t="str">
        <f t="shared" si="121"/>
        <v>&gt;3</v>
      </c>
      <c r="AP390" t="str">
        <f t="shared" si="122"/>
        <v>&gt;3</v>
      </c>
      <c r="AQ390" t="str">
        <f t="shared" si="123"/>
        <v>&gt;3</v>
      </c>
    </row>
    <row r="391" spans="1:43" x14ac:dyDescent="0.3">
      <c r="A391" t="s">
        <v>33</v>
      </c>
      <c r="B391" t="str">
        <f>B284</f>
        <v>Ami Enterprises</v>
      </c>
      <c r="C391" t="s">
        <v>344</v>
      </c>
      <c r="D391">
        <v>1458</v>
      </c>
      <c r="E391">
        <v>23210064</v>
      </c>
      <c r="F391" t="s">
        <v>471</v>
      </c>
      <c r="G391" t="s">
        <v>472</v>
      </c>
      <c r="H391">
        <v>1050</v>
      </c>
      <c r="I391">
        <v>35</v>
      </c>
      <c r="J391">
        <v>36750</v>
      </c>
      <c r="K391" s="7" t="str">
        <f>IFERROR(IF(B391&lt;&gt;"", TEXT(VLOOKUP(B391, 'Expected Date'!A:B, 2, FALSE) + DATE(RIGHT(C391,2),MID(C391,4,2),LEFT(C391,2)), "dd/mm/yy"), ""), "")</f>
        <v>14/04/23</v>
      </c>
      <c r="L391" t="s">
        <v>68</v>
      </c>
      <c r="M391" t="s">
        <v>39</v>
      </c>
      <c r="N391" t="s">
        <v>318</v>
      </c>
      <c r="O391" t="s">
        <v>172</v>
      </c>
      <c r="P391">
        <v>23290081</v>
      </c>
      <c r="Q391" t="s">
        <v>471</v>
      </c>
      <c r="R391" t="s">
        <v>472</v>
      </c>
      <c r="S391">
        <v>1044</v>
      </c>
      <c r="T391">
        <v>35</v>
      </c>
      <c r="U391">
        <v>36540</v>
      </c>
      <c r="V391" t="str">
        <f t="shared" si="106"/>
        <v>Dahej</v>
      </c>
      <c r="W391" t="str">
        <f>VLOOKUP(B391, Currency!A:B, 2, FALSE)</f>
        <v>INR</v>
      </c>
      <c r="X391" t="str">
        <f t="shared" si="107"/>
        <v>Accepted</v>
      </c>
      <c r="Y391">
        <f>IFERROR(VLOOKUP(N391, Payment_Terms!A:B, 2, FALSE), "Payment term not found!")</f>
        <v>30</v>
      </c>
      <c r="Z391" t="str">
        <f>IFERROR(VLOOKUP(R391, Item_Category!A:B, 2, FALSE), "Uncategorized")</f>
        <v>Bags</v>
      </c>
      <c r="AA391" s="5">
        <f t="shared" si="111"/>
        <v>5.7142857142857143E-3</v>
      </c>
      <c r="AB391">
        <f t="shared" si="112"/>
        <v>4</v>
      </c>
      <c r="AC391" s="10">
        <f t="shared" si="113"/>
        <v>-8</v>
      </c>
      <c r="AD391">
        <f t="shared" si="114"/>
        <v>5</v>
      </c>
      <c r="AE391" s="10">
        <f t="shared" si="115"/>
        <v>2</v>
      </c>
      <c r="AF391" s="5">
        <f t="shared" si="108"/>
        <v>1</v>
      </c>
      <c r="AG391" s="5">
        <f t="shared" si="109"/>
        <v>1</v>
      </c>
      <c r="AH391" s="5">
        <f t="shared" si="116"/>
        <v>0</v>
      </c>
      <c r="AI391">
        <f>IF(B391&lt;&gt;"", COUNTIFS($B$2:B391, B391), "")</f>
        <v>23</v>
      </c>
      <c r="AJ391">
        <f t="shared" si="117"/>
        <v>5</v>
      </c>
      <c r="AK391">
        <f t="shared" si="110"/>
        <v>5</v>
      </c>
      <c r="AL391">
        <f t="shared" si="118"/>
        <v>4</v>
      </c>
      <c r="AM391" t="str">
        <f t="shared" si="119"/>
        <v>April</v>
      </c>
      <c r="AN391">
        <f t="shared" si="120"/>
        <v>2023</v>
      </c>
      <c r="AO391" t="str">
        <f t="shared" si="121"/>
        <v>&gt;3</v>
      </c>
      <c r="AP391" t="str">
        <f t="shared" si="122"/>
        <v>&gt;3</v>
      </c>
      <c r="AQ391" t="str">
        <f t="shared" si="123"/>
        <v>&gt;3</v>
      </c>
    </row>
    <row r="392" spans="1:43" x14ac:dyDescent="0.3">
      <c r="A392" t="s">
        <v>33</v>
      </c>
      <c r="B392" t="str">
        <f>B284</f>
        <v>Ami Enterprises</v>
      </c>
      <c r="C392" t="s">
        <v>344</v>
      </c>
      <c r="D392">
        <v>1458</v>
      </c>
      <c r="E392">
        <v>23210064</v>
      </c>
      <c r="F392" t="s">
        <v>473</v>
      </c>
      <c r="G392" t="s">
        <v>474</v>
      </c>
      <c r="H392">
        <v>1100</v>
      </c>
      <c r="I392">
        <v>34.5</v>
      </c>
      <c r="J392">
        <v>37950</v>
      </c>
      <c r="K392" s="7" t="str">
        <f>IFERROR(IF(B392&lt;&gt;"", TEXT(VLOOKUP(B392, 'Expected Date'!A:B, 2, FALSE) + DATE(RIGHT(C392,2),MID(C392,4,2),LEFT(C392,2)), "dd/mm/yy"), ""), "")</f>
        <v>14/04/23</v>
      </c>
      <c r="L392" t="s">
        <v>68</v>
      </c>
      <c r="M392" t="s">
        <v>39</v>
      </c>
      <c r="N392" t="s">
        <v>318</v>
      </c>
      <c r="O392" t="s">
        <v>172</v>
      </c>
      <c r="P392">
        <v>23290081</v>
      </c>
      <c r="Q392" t="s">
        <v>473</v>
      </c>
      <c r="R392" t="s">
        <v>474</v>
      </c>
      <c r="S392">
        <v>1080</v>
      </c>
      <c r="T392">
        <v>34.5</v>
      </c>
      <c r="U392">
        <v>37260</v>
      </c>
      <c r="V392" t="str">
        <f t="shared" si="106"/>
        <v>Dahej</v>
      </c>
      <c r="W392" t="str">
        <f>VLOOKUP(B392, Currency!A:B, 2, FALSE)</f>
        <v>INR</v>
      </c>
      <c r="X392" t="str">
        <f t="shared" si="107"/>
        <v>Accepted</v>
      </c>
      <c r="Y392">
        <f>IFERROR(VLOOKUP(N392, Payment_Terms!A:B, 2, FALSE), "Payment term not found!")</f>
        <v>30</v>
      </c>
      <c r="Z392" t="str">
        <f>IFERROR(VLOOKUP(R392, Item_Category!A:B, 2, FALSE), "Uncategorized")</f>
        <v>Bags</v>
      </c>
      <c r="AA392" s="5">
        <f t="shared" si="111"/>
        <v>1.8181818181818181E-2</v>
      </c>
      <c r="AB392">
        <f t="shared" si="112"/>
        <v>4</v>
      </c>
      <c r="AC392" s="10">
        <f t="shared" si="113"/>
        <v>-8</v>
      </c>
      <c r="AD392">
        <f t="shared" si="114"/>
        <v>5</v>
      </c>
      <c r="AE392" s="10">
        <f t="shared" si="115"/>
        <v>2</v>
      </c>
      <c r="AF392" s="5">
        <f t="shared" si="108"/>
        <v>1</v>
      </c>
      <c r="AG392" s="5">
        <f t="shared" si="109"/>
        <v>1</v>
      </c>
      <c r="AH392" s="5">
        <f t="shared" si="116"/>
        <v>0</v>
      </c>
      <c r="AI392">
        <f>IF(B392&lt;&gt;"", COUNTIFS($B$2:B392, B392), "")</f>
        <v>24</v>
      </c>
      <c r="AJ392">
        <f t="shared" si="117"/>
        <v>5</v>
      </c>
      <c r="AK392">
        <f t="shared" si="110"/>
        <v>5</v>
      </c>
      <c r="AL392">
        <f t="shared" si="118"/>
        <v>4</v>
      </c>
      <c r="AM392" t="str">
        <f t="shared" si="119"/>
        <v>April</v>
      </c>
      <c r="AN392">
        <f t="shared" si="120"/>
        <v>2023</v>
      </c>
      <c r="AO392" t="str">
        <f t="shared" si="121"/>
        <v>&gt;3</v>
      </c>
      <c r="AP392" t="str">
        <f t="shared" si="122"/>
        <v>&gt;3</v>
      </c>
      <c r="AQ392" t="str">
        <f t="shared" si="123"/>
        <v>&gt;3</v>
      </c>
    </row>
    <row r="393" spans="1:43" x14ac:dyDescent="0.3">
      <c r="A393" t="s">
        <v>33</v>
      </c>
      <c r="B393" t="s">
        <v>366</v>
      </c>
      <c r="C393" t="s">
        <v>415</v>
      </c>
      <c r="D393">
        <v>2138</v>
      </c>
      <c r="E393">
        <v>23210185</v>
      </c>
      <c r="F393" t="s">
        <v>392</v>
      </c>
      <c r="G393" t="s">
        <v>393</v>
      </c>
      <c r="H393">
        <v>100</v>
      </c>
      <c r="I393">
        <v>11000</v>
      </c>
      <c r="J393">
        <v>1100000</v>
      </c>
      <c r="K393" s="7" t="str">
        <f>IFERROR(IF(B393&lt;&gt;"", TEXT(VLOOKUP(B393, 'Expected Date'!A:B, 2, FALSE) + DATE(RIGHT(C393,2),MID(C393,4,2),LEFT(C393,2)), "dd/mm/yy"), ""), "")</f>
        <v>23/05/23</v>
      </c>
      <c r="L393" t="s">
        <v>68</v>
      </c>
      <c r="M393" t="s">
        <v>48</v>
      </c>
      <c r="N393" t="s">
        <v>370</v>
      </c>
      <c r="O393" t="s">
        <v>161</v>
      </c>
      <c r="P393">
        <v>23290430</v>
      </c>
      <c r="Q393" t="s">
        <v>392</v>
      </c>
      <c r="R393" t="s">
        <v>393</v>
      </c>
      <c r="S393">
        <v>28.15</v>
      </c>
      <c r="T393">
        <v>11000</v>
      </c>
      <c r="U393">
        <v>309650</v>
      </c>
      <c r="V393" t="str">
        <f t="shared" si="106"/>
        <v>Dahej</v>
      </c>
      <c r="W393" t="str">
        <f>VLOOKUP(B393, Currency!A:B, 2, FALSE)</f>
        <v>INR</v>
      </c>
      <c r="X393" t="str">
        <f t="shared" si="107"/>
        <v>Accepted</v>
      </c>
      <c r="Y393">
        <f>IFERROR(VLOOKUP(N393, Payment_Terms!A:B, 2, FALSE), "Payment term not found!")</f>
        <v>15</v>
      </c>
      <c r="Z393" t="str">
        <f>IFERROR(VLOOKUP(R393, Item_Category!A:B, 2, FALSE), "Uncategorized")</f>
        <v>Coal materials</v>
      </c>
      <c r="AA393" s="5">
        <f t="shared" si="111"/>
        <v>0.15810000000000002</v>
      </c>
      <c r="AB393">
        <f t="shared" si="112"/>
        <v>1</v>
      </c>
      <c r="AC393" s="10">
        <f t="shared" si="113"/>
        <v>11</v>
      </c>
      <c r="AD393">
        <f t="shared" si="114"/>
        <v>1</v>
      </c>
      <c r="AE393" s="10">
        <f t="shared" si="115"/>
        <v>13</v>
      </c>
      <c r="AF393" s="5">
        <f t="shared" si="108"/>
        <v>1</v>
      </c>
      <c r="AG393" s="5">
        <f t="shared" si="109"/>
        <v>1</v>
      </c>
      <c r="AH393" s="5">
        <f t="shared" si="116"/>
        <v>0</v>
      </c>
      <c r="AI393">
        <f>IF(B393&lt;&gt;"", COUNTIFS($B$2:B393, B393), "")</f>
        <v>24</v>
      </c>
      <c r="AJ393">
        <f t="shared" si="117"/>
        <v>5</v>
      </c>
      <c r="AK393">
        <f t="shared" si="110"/>
        <v>3</v>
      </c>
      <c r="AL393">
        <f t="shared" si="118"/>
        <v>5</v>
      </c>
      <c r="AM393" t="str">
        <f t="shared" si="119"/>
        <v>May</v>
      </c>
      <c r="AN393">
        <f t="shared" si="120"/>
        <v>2023</v>
      </c>
      <c r="AO393" t="str">
        <f t="shared" si="121"/>
        <v>&gt;3</v>
      </c>
      <c r="AP393" t="str">
        <f t="shared" si="122"/>
        <v>&lt;=3</v>
      </c>
      <c r="AQ393" t="str">
        <f t="shared" si="123"/>
        <v>&lt;=3</v>
      </c>
    </row>
    <row r="394" spans="1:43" x14ac:dyDescent="0.3">
      <c r="A394" t="s">
        <v>33</v>
      </c>
      <c r="B394" t="s">
        <v>366</v>
      </c>
      <c r="C394" t="s">
        <v>415</v>
      </c>
      <c r="D394">
        <v>2138</v>
      </c>
      <c r="E394">
        <v>23210185</v>
      </c>
      <c r="F394" t="s">
        <v>392</v>
      </c>
      <c r="G394" t="s">
        <v>393</v>
      </c>
      <c r="H394">
        <v>100</v>
      </c>
      <c r="I394">
        <v>11000</v>
      </c>
      <c r="J394">
        <v>1100000</v>
      </c>
      <c r="K394" s="7" t="str">
        <f>IFERROR(IF(B394&lt;&gt;"", TEXT(VLOOKUP(B394, 'Expected Date'!A:B, 2, FALSE) + DATE(RIGHT(C394,2),MID(C394,4,2),LEFT(C394,2)), "dd/mm/yy"), ""), "")</f>
        <v>23/05/23</v>
      </c>
      <c r="L394" t="s">
        <v>68</v>
      </c>
      <c r="M394" t="s">
        <v>48</v>
      </c>
      <c r="N394" t="s">
        <v>370</v>
      </c>
      <c r="O394" t="s">
        <v>352</v>
      </c>
      <c r="P394">
        <v>23290431</v>
      </c>
      <c r="Q394" t="s">
        <v>392</v>
      </c>
      <c r="R394" t="s">
        <v>393</v>
      </c>
      <c r="S394">
        <v>28.36</v>
      </c>
      <c r="T394">
        <v>11000</v>
      </c>
      <c r="U394">
        <v>311960</v>
      </c>
      <c r="V394" t="str">
        <f t="shared" si="106"/>
        <v>Dahej</v>
      </c>
      <c r="W394" t="str">
        <f>VLOOKUP(B394, Currency!A:B, 2, FALSE)</f>
        <v>INR</v>
      </c>
      <c r="X394" t="str">
        <f t="shared" si="107"/>
        <v>Accepted</v>
      </c>
      <c r="Y394">
        <f>IFERROR(VLOOKUP(N394, Payment_Terms!A:B, 2, FALSE), "Payment term not found!")</f>
        <v>15</v>
      </c>
      <c r="Z394" t="str">
        <f>IFERROR(VLOOKUP(R394, Item_Category!A:B, 2, FALSE), "Uncategorized")</f>
        <v>Coal materials</v>
      </c>
      <c r="AA394" s="5">
        <f t="shared" si="111"/>
        <v>0.15810000000000002</v>
      </c>
      <c r="AB394">
        <f t="shared" si="112"/>
        <v>1</v>
      </c>
      <c r="AC394" s="10">
        <f t="shared" si="113"/>
        <v>10</v>
      </c>
      <c r="AD394">
        <f t="shared" si="114"/>
        <v>2</v>
      </c>
      <c r="AE394" s="10">
        <f t="shared" si="115"/>
        <v>12</v>
      </c>
      <c r="AF394" s="5">
        <f t="shared" si="108"/>
        <v>1</v>
      </c>
      <c r="AG394" s="5">
        <f t="shared" si="109"/>
        <v>1</v>
      </c>
      <c r="AH394" s="5">
        <f t="shared" si="116"/>
        <v>0</v>
      </c>
      <c r="AI394">
        <f>IF(B394&lt;&gt;"", COUNTIFS($B$2:B394, B394), "")</f>
        <v>25</v>
      </c>
      <c r="AJ394">
        <f t="shared" si="117"/>
        <v>5</v>
      </c>
      <c r="AK394">
        <f t="shared" si="110"/>
        <v>3</v>
      </c>
      <c r="AL394">
        <f t="shared" si="118"/>
        <v>5</v>
      </c>
      <c r="AM394" t="str">
        <f t="shared" si="119"/>
        <v>May</v>
      </c>
      <c r="AN394">
        <f t="shared" si="120"/>
        <v>2023</v>
      </c>
      <c r="AO394" t="str">
        <f t="shared" si="121"/>
        <v>&gt;3</v>
      </c>
      <c r="AP394" t="str">
        <f t="shared" si="122"/>
        <v>&lt;=3</v>
      </c>
      <c r="AQ394" t="str">
        <f t="shared" si="123"/>
        <v>&lt;=3</v>
      </c>
    </row>
    <row r="395" spans="1:43" x14ac:dyDescent="0.3">
      <c r="A395" t="s">
        <v>33</v>
      </c>
      <c r="B395" t="s">
        <v>122</v>
      </c>
      <c r="C395" t="s">
        <v>354</v>
      </c>
      <c r="D395">
        <v>2806</v>
      </c>
      <c r="E395">
        <v>23210359</v>
      </c>
      <c r="F395" t="s">
        <v>405</v>
      </c>
      <c r="G395" t="s">
        <v>406</v>
      </c>
      <c r="H395">
        <v>600</v>
      </c>
      <c r="I395">
        <v>930</v>
      </c>
      <c r="J395">
        <v>558000</v>
      </c>
      <c r="K395" s="7" t="str">
        <f>IFERROR(IF(B395&lt;&gt;"", TEXT(VLOOKUP(B395, 'Expected Date'!A:B, 2, FALSE) + DATE(RIGHT(C395,2),MID(C395,4,2),LEFT(C395,2)), "dd/mm/yy"), ""), "")</f>
        <v>18/07/23</v>
      </c>
      <c r="L395" t="s">
        <v>38</v>
      </c>
      <c r="M395" t="s">
        <v>39</v>
      </c>
      <c r="N395" t="s">
        <v>364</v>
      </c>
      <c r="O395" t="s">
        <v>89</v>
      </c>
      <c r="P395">
        <v>23290663</v>
      </c>
      <c r="Q395" t="s">
        <v>405</v>
      </c>
      <c r="R395" t="s">
        <v>406</v>
      </c>
      <c r="S395">
        <v>30</v>
      </c>
      <c r="T395">
        <v>930</v>
      </c>
      <c r="U395">
        <v>27900</v>
      </c>
      <c r="V395" t="str">
        <f t="shared" si="106"/>
        <v>Dahej</v>
      </c>
      <c r="W395" t="str">
        <f>VLOOKUP(B395, Currency!A:B, 2, FALSE)</f>
        <v>INR</v>
      </c>
      <c r="X395" t="str">
        <f t="shared" si="107"/>
        <v>Accepted</v>
      </c>
      <c r="Y395">
        <f>IFERROR(VLOOKUP(N395, Payment_Terms!A:B, 2, FALSE), "Payment term not found!")</f>
        <v>30</v>
      </c>
      <c r="Z395" t="str">
        <f>IFERROR(VLOOKUP(R395, Item_Category!A:B, 2, FALSE), "Uncategorized")</f>
        <v>Pallets</v>
      </c>
      <c r="AA395" s="5">
        <f t="shared" si="111"/>
        <v>0</v>
      </c>
      <c r="AB395">
        <f t="shared" si="112"/>
        <v>5</v>
      </c>
      <c r="AC395" s="10">
        <f t="shared" si="113"/>
        <v>-13</v>
      </c>
      <c r="AD395">
        <f t="shared" si="114"/>
        <v>5</v>
      </c>
      <c r="AE395" s="10">
        <f t="shared" si="115"/>
        <v>2</v>
      </c>
      <c r="AF395" s="5">
        <f t="shared" si="108"/>
        <v>1</v>
      </c>
      <c r="AG395" s="5">
        <f t="shared" si="109"/>
        <v>1</v>
      </c>
      <c r="AH395" s="5">
        <f t="shared" si="116"/>
        <v>0</v>
      </c>
      <c r="AI395">
        <f>IF(B395&lt;&gt;"", COUNTIFS($B$2:B395, B395), "")</f>
        <v>15</v>
      </c>
      <c r="AJ395">
        <f t="shared" si="117"/>
        <v>5</v>
      </c>
      <c r="AK395">
        <f t="shared" si="110"/>
        <v>5</v>
      </c>
      <c r="AL395">
        <f t="shared" si="118"/>
        <v>7</v>
      </c>
      <c r="AM395" t="str">
        <f t="shared" si="119"/>
        <v>July</v>
      </c>
      <c r="AN395">
        <f t="shared" si="120"/>
        <v>2023</v>
      </c>
      <c r="AO395" t="str">
        <f t="shared" si="121"/>
        <v>&gt;3</v>
      </c>
      <c r="AP395" t="str">
        <f t="shared" si="122"/>
        <v>&gt;3</v>
      </c>
      <c r="AQ395" t="str">
        <f t="shared" si="123"/>
        <v>&gt;3</v>
      </c>
    </row>
    <row r="396" spans="1:43" x14ac:dyDescent="0.3">
      <c r="A396" t="s">
        <v>33</v>
      </c>
      <c r="B396" t="s">
        <v>382</v>
      </c>
      <c r="C396" t="s">
        <v>88</v>
      </c>
      <c r="D396">
        <v>2808</v>
      </c>
      <c r="E396">
        <v>23210360</v>
      </c>
      <c r="F396" t="s">
        <v>412</v>
      </c>
      <c r="G396" t="s">
        <v>413</v>
      </c>
      <c r="H396">
        <v>1000</v>
      </c>
      <c r="I396">
        <v>18</v>
      </c>
      <c r="J396">
        <v>18000</v>
      </c>
      <c r="K396" s="7" t="str">
        <f>IFERROR(IF(B396&lt;&gt;"", TEXT(VLOOKUP(B396, 'Expected Date'!A:B, 2, FALSE) + DATE(RIGHT(C396,2),MID(C396,4,2),LEFT(C396,2)), "dd/mm/yy"), ""), "")</f>
        <v>14/07/23</v>
      </c>
      <c r="L396" t="s">
        <v>38</v>
      </c>
      <c r="M396" t="s">
        <v>48</v>
      </c>
      <c r="N396" t="s">
        <v>342</v>
      </c>
      <c r="O396" t="s">
        <v>88</v>
      </c>
      <c r="P396">
        <v>23290664</v>
      </c>
      <c r="Q396" t="s">
        <v>412</v>
      </c>
      <c r="R396" t="s">
        <v>413</v>
      </c>
      <c r="S396">
        <v>1000</v>
      </c>
      <c r="T396">
        <v>18</v>
      </c>
      <c r="U396">
        <v>18000</v>
      </c>
      <c r="V396" t="str">
        <f t="shared" si="106"/>
        <v>Dahej</v>
      </c>
      <c r="W396" t="str">
        <f>VLOOKUP(B396, Currency!A:B, 2, FALSE)</f>
        <v>INR</v>
      </c>
      <c r="X396" t="str">
        <f t="shared" si="107"/>
        <v>Accepted</v>
      </c>
      <c r="Y396">
        <f>IFERROR(VLOOKUP(N396, Payment_Terms!A:B, 2, FALSE), "Payment term not found!")</f>
        <v>30</v>
      </c>
      <c r="Z396" t="str">
        <f>IFERROR(VLOOKUP(R396, Item_Category!A:B, 2, FALSE), "Uncategorized")</f>
        <v>NON FERRIC ALUM</v>
      </c>
      <c r="AA396" s="5">
        <f t="shared" si="111"/>
        <v>0</v>
      </c>
      <c r="AB396">
        <f t="shared" si="112"/>
        <v>5</v>
      </c>
      <c r="AC396" s="10">
        <f t="shared" si="113"/>
        <v>-10</v>
      </c>
      <c r="AD396">
        <f t="shared" si="114"/>
        <v>5</v>
      </c>
      <c r="AE396" s="10">
        <f t="shared" si="115"/>
        <v>0</v>
      </c>
      <c r="AF396" s="5">
        <f t="shared" si="108"/>
        <v>1</v>
      </c>
      <c r="AG396" s="5">
        <f t="shared" si="109"/>
        <v>1</v>
      </c>
      <c r="AH396" s="5">
        <f t="shared" si="116"/>
        <v>0</v>
      </c>
      <c r="AI396">
        <f>IF(B396&lt;&gt;"", COUNTIFS($B$2:B396, B396), "")</f>
        <v>5</v>
      </c>
      <c r="AJ396">
        <f t="shared" si="117"/>
        <v>5</v>
      </c>
      <c r="AK396">
        <f t="shared" si="110"/>
        <v>5</v>
      </c>
      <c r="AL396">
        <f t="shared" si="118"/>
        <v>7</v>
      </c>
      <c r="AM396" t="str">
        <f t="shared" si="119"/>
        <v>July</v>
      </c>
      <c r="AN396">
        <f t="shared" si="120"/>
        <v>2023</v>
      </c>
      <c r="AO396" t="str">
        <f t="shared" si="121"/>
        <v>&gt;3</v>
      </c>
      <c r="AP396" t="str">
        <f t="shared" si="122"/>
        <v>&gt;3</v>
      </c>
      <c r="AQ396" t="str">
        <f t="shared" si="123"/>
        <v>&gt;3</v>
      </c>
    </row>
    <row r="397" spans="1:43" x14ac:dyDescent="0.3">
      <c r="A397" t="s">
        <v>33</v>
      </c>
      <c r="B397" t="s">
        <v>395</v>
      </c>
      <c r="C397" t="s">
        <v>88</v>
      </c>
      <c r="D397">
        <v>2928</v>
      </c>
      <c r="E397">
        <v>23210383</v>
      </c>
      <c r="F397" t="s">
        <v>392</v>
      </c>
      <c r="G397" t="s">
        <v>393</v>
      </c>
      <c r="H397">
        <v>200</v>
      </c>
      <c r="I397">
        <v>10700</v>
      </c>
      <c r="J397">
        <v>2140000</v>
      </c>
      <c r="K397" s="7" t="str">
        <f>IFERROR(IF(B397&lt;&gt;"", TEXT(VLOOKUP(B397, 'Expected Date'!A:B, 2, FALSE) + DATE(RIGHT(C397,2),MID(C397,4,2),LEFT(C397,2)), "dd/mm/yy"), ""), "")</f>
        <v>09/07/23</v>
      </c>
      <c r="L397" t="s">
        <v>68</v>
      </c>
      <c r="M397" t="s">
        <v>48</v>
      </c>
      <c r="N397" t="s">
        <v>370</v>
      </c>
      <c r="O397" t="s">
        <v>131</v>
      </c>
      <c r="P397">
        <v>23290934</v>
      </c>
      <c r="Q397" t="s">
        <v>392</v>
      </c>
      <c r="R397" t="s">
        <v>393</v>
      </c>
      <c r="S397">
        <v>28.44</v>
      </c>
      <c r="T397">
        <v>10700</v>
      </c>
      <c r="U397">
        <v>304308</v>
      </c>
      <c r="V397" t="str">
        <f t="shared" si="106"/>
        <v>Dahej</v>
      </c>
      <c r="W397" t="str">
        <f>VLOOKUP(B397, Currency!A:B, 2, FALSE)</f>
        <v>INR</v>
      </c>
      <c r="X397" t="str">
        <f t="shared" si="107"/>
        <v>Accepted</v>
      </c>
      <c r="Y397">
        <f>IFERROR(VLOOKUP(N397, Payment_Terms!A:B, 2, FALSE), "Payment term not found!")</f>
        <v>15</v>
      </c>
      <c r="Z397" t="str">
        <f>IFERROR(VLOOKUP(R397, Item_Category!A:B, 2, FALSE), "Uncategorized")</f>
        <v>Coal materials</v>
      </c>
      <c r="AA397" s="5">
        <f t="shared" si="111"/>
        <v>5.1500000000000053E-3</v>
      </c>
      <c r="AB397">
        <f t="shared" si="112"/>
        <v>4</v>
      </c>
      <c r="AC397" s="10">
        <f t="shared" si="113"/>
        <v>15</v>
      </c>
      <c r="AD397">
        <f t="shared" si="114"/>
        <v>1</v>
      </c>
      <c r="AE397" s="10">
        <f t="shared" si="115"/>
        <v>20</v>
      </c>
      <c r="AF397" s="5">
        <f t="shared" si="108"/>
        <v>1</v>
      </c>
      <c r="AG397" s="5">
        <f t="shared" si="109"/>
        <v>1</v>
      </c>
      <c r="AH397" s="5">
        <f t="shared" si="116"/>
        <v>0</v>
      </c>
      <c r="AI397">
        <f>IF(B397&lt;&gt;"", COUNTIFS($B$2:B397, B397), "")</f>
        <v>11</v>
      </c>
      <c r="AJ397">
        <f t="shared" si="117"/>
        <v>5</v>
      </c>
      <c r="AK397">
        <f t="shared" si="110"/>
        <v>4</v>
      </c>
      <c r="AL397">
        <f t="shared" si="118"/>
        <v>7</v>
      </c>
      <c r="AM397" t="str">
        <f t="shared" si="119"/>
        <v>July</v>
      </c>
      <c r="AN397">
        <f t="shared" si="120"/>
        <v>2023</v>
      </c>
      <c r="AO397" t="str">
        <f t="shared" si="121"/>
        <v>&gt;3</v>
      </c>
      <c r="AP397" t="str">
        <f t="shared" si="122"/>
        <v>&gt;3</v>
      </c>
      <c r="AQ397" t="str">
        <f t="shared" si="123"/>
        <v>&lt;=3</v>
      </c>
    </row>
    <row r="398" spans="1:43" x14ac:dyDescent="0.3">
      <c r="A398" t="s">
        <v>33</v>
      </c>
      <c r="B398" t="s">
        <v>395</v>
      </c>
      <c r="C398" t="s">
        <v>88</v>
      </c>
      <c r="D398">
        <v>2928</v>
      </c>
      <c r="E398">
        <v>23210383</v>
      </c>
      <c r="F398" t="s">
        <v>392</v>
      </c>
      <c r="G398" t="s">
        <v>393</v>
      </c>
      <c r="H398">
        <v>200</v>
      </c>
      <c r="I398">
        <v>10700</v>
      </c>
      <c r="J398">
        <v>2140000</v>
      </c>
      <c r="K398" s="7" t="str">
        <f>IFERROR(IF(B398&lt;&gt;"", TEXT(VLOOKUP(B398, 'Expected Date'!A:B, 2, FALSE) + DATE(RIGHT(C398,2),MID(C398,4,2),LEFT(C398,2)), "dd/mm/yy"), ""), "")</f>
        <v>09/07/23</v>
      </c>
      <c r="L398" t="s">
        <v>68</v>
      </c>
      <c r="M398" t="s">
        <v>48</v>
      </c>
      <c r="N398" t="s">
        <v>370</v>
      </c>
      <c r="O398" t="s">
        <v>407</v>
      </c>
      <c r="P398">
        <v>23290935</v>
      </c>
      <c r="Q398" t="s">
        <v>392</v>
      </c>
      <c r="R398" t="s">
        <v>393</v>
      </c>
      <c r="S398">
        <v>26.13</v>
      </c>
      <c r="T398">
        <v>10700</v>
      </c>
      <c r="U398">
        <v>279591</v>
      </c>
      <c r="V398" t="str">
        <f t="shared" si="106"/>
        <v>Dahej</v>
      </c>
      <c r="W398" t="str">
        <f>VLOOKUP(B398, Currency!A:B, 2, FALSE)</f>
        <v>INR</v>
      </c>
      <c r="X398" t="str">
        <f t="shared" si="107"/>
        <v>Accepted</v>
      </c>
      <c r="Y398">
        <f>IFERROR(VLOOKUP(N398, Payment_Terms!A:B, 2, FALSE), "Payment term not found!")</f>
        <v>15</v>
      </c>
      <c r="Z398" t="str">
        <f>IFERROR(VLOOKUP(R398, Item_Category!A:B, 2, FALSE), "Uncategorized")</f>
        <v>Coal materials</v>
      </c>
      <c r="AA398" s="5">
        <f t="shared" si="111"/>
        <v>5.1500000000000053E-3</v>
      </c>
      <c r="AB398">
        <f t="shared" si="112"/>
        <v>4</v>
      </c>
      <c r="AC398" s="10">
        <f t="shared" si="113"/>
        <v>17</v>
      </c>
      <c r="AD398">
        <f t="shared" si="114"/>
        <v>1</v>
      </c>
      <c r="AE398" s="10">
        <f t="shared" si="115"/>
        <v>22</v>
      </c>
      <c r="AF398" s="5">
        <f t="shared" si="108"/>
        <v>1</v>
      </c>
      <c r="AG398" s="5">
        <f t="shared" si="109"/>
        <v>1</v>
      </c>
      <c r="AH398" s="5">
        <f t="shared" si="116"/>
        <v>0</v>
      </c>
      <c r="AI398">
        <f>IF(B398&lt;&gt;"", COUNTIFS($B$2:B398, B398), "")</f>
        <v>12</v>
      </c>
      <c r="AJ398">
        <f t="shared" si="117"/>
        <v>5</v>
      </c>
      <c r="AK398">
        <f t="shared" si="110"/>
        <v>4</v>
      </c>
      <c r="AL398">
        <f t="shared" si="118"/>
        <v>7</v>
      </c>
      <c r="AM398" t="str">
        <f t="shared" si="119"/>
        <v>July</v>
      </c>
      <c r="AN398">
        <f t="shared" si="120"/>
        <v>2023</v>
      </c>
      <c r="AO398" t="str">
        <f t="shared" si="121"/>
        <v>&gt;3</v>
      </c>
      <c r="AP398" t="str">
        <f t="shared" si="122"/>
        <v>&gt;3</v>
      </c>
      <c r="AQ398" t="str">
        <f t="shared" si="123"/>
        <v>&lt;=3</v>
      </c>
    </row>
    <row r="399" spans="1:43" x14ac:dyDescent="0.3">
      <c r="A399" t="s">
        <v>111</v>
      </c>
      <c r="B399" t="s">
        <v>296</v>
      </c>
      <c r="C399" t="s">
        <v>374</v>
      </c>
      <c r="D399">
        <v>1251</v>
      </c>
      <c r="E399">
        <v>23210020</v>
      </c>
      <c r="F399" t="s">
        <v>445</v>
      </c>
      <c r="G399" t="s">
        <v>446</v>
      </c>
      <c r="H399">
        <v>12000</v>
      </c>
      <c r="I399">
        <v>205</v>
      </c>
      <c r="J399">
        <v>2460000</v>
      </c>
      <c r="K399" s="7" t="str">
        <f>IFERROR(IF(B399&lt;&gt;"", TEXT(VLOOKUP(B399, 'Expected Date'!A:B, 2, FALSE) + DATE(RIGHT(C399,2),MID(C399,4,2),LEFT(C399,2)), "dd/mm/yy"), ""), "")</f>
        <v>28/04/23</v>
      </c>
      <c r="L399" t="s">
        <v>38</v>
      </c>
      <c r="M399" t="s">
        <v>48</v>
      </c>
      <c r="N399" t="s">
        <v>381</v>
      </c>
      <c r="O399" t="s">
        <v>432</v>
      </c>
      <c r="P399">
        <v>23290395</v>
      </c>
      <c r="Q399" t="s">
        <v>445</v>
      </c>
      <c r="R399" t="s">
        <v>446</v>
      </c>
      <c r="S399">
        <v>4000</v>
      </c>
      <c r="T399">
        <v>205</v>
      </c>
      <c r="U399">
        <v>820000</v>
      </c>
      <c r="V399" t="str">
        <f t="shared" si="106"/>
        <v>Dahej</v>
      </c>
      <c r="W399" t="str">
        <f>VLOOKUP(B399, Currency!A:B, 2, FALSE)</f>
        <v>INR</v>
      </c>
      <c r="X399" t="str">
        <f t="shared" si="107"/>
        <v>Accepted</v>
      </c>
      <c r="Y399">
        <f>IFERROR(VLOOKUP(N399, Payment_Terms!A:B, 2, FALSE), "Payment term not found!")</f>
        <v>30</v>
      </c>
      <c r="Z399" t="str">
        <f>IFERROR(VLOOKUP(R399, Item_Category!A:B, 2, FALSE), "Uncategorized")</f>
        <v>SSG - Potato</v>
      </c>
      <c r="AA399" s="5">
        <f t="shared" si="111"/>
        <v>0</v>
      </c>
      <c r="AB399">
        <f t="shared" si="112"/>
        <v>5</v>
      </c>
      <c r="AC399" s="10">
        <f t="shared" si="113"/>
        <v>24</v>
      </c>
      <c r="AD399">
        <f t="shared" si="114"/>
        <v>1</v>
      </c>
      <c r="AE399" s="10">
        <f t="shared" si="115"/>
        <v>39</v>
      </c>
      <c r="AF399" s="5">
        <f t="shared" si="108"/>
        <v>1</v>
      </c>
      <c r="AG399" s="5">
        <f t="shared" si="109"/>
        <v>1</v>
      </c>
      <c r="AH399" s="5">
        <f t="shared" si="116"/>
        <v>0</v>
      </c>
      <c r="AI399">
        <f>IF(B399&lt;&gt;"", COUNTIFS($B$2:B399, B399), "")</f>
        <v>4</v>
      </c>
      <c r="AJ399">
        <f t="shared" si="117"/>
        <v>5</v>
      </c>
      <c r="AK399">
        <f t="shared" si="110"/>
        <v>4</v>
      </c>
      <c r="AL399">
        <f t="shared" si="118"/>
        <v>4</v>
      </c>
      <c r="AM399" t="str">
        <f t="shared" si="119"/>
        <v>April</v>
      </c>
      <c r="AN399">
        <f t="shared" si="120"/>
        <v>2023</v>
      </c>
      <c r="AO399" t="str">
        <f t="shared" si="121"/>
        <v>&gt;3</v>
      </c>
      <c r="AP399" t="str">
        <f t="shared" si="122"/>
        <v>&gt;3</v>
      </c>
      <c r="AQ399" t="str">
        <f t="shared" si="123"/>
        <v>&lt;=3</v>
      </c>
    </row>
    <row r="400" spans="1:43" x14ac:dyDescent="0.3">
      <c r="A400" t="s">
        <v>111</v>
      </c>
      <c r="B400" t="s">
        <v>296</v>
      </c>
      <c r="C400" t="s">
        <v>374</v>
      </c>
      <c r="D400">
        <v>1251</v>
      </c>
      <c r="E400">
        <v>23210020</v>
      </c>
      <c r="F400" t="s">
        <v>445</v>
      </c>
      <c r="G400" t="s">
        <v>446</v>
      </c>
      <c r="H400">
        <v>12000</v>
      </c>
      <c r="I400">
        <v>205</v>
      </c>
      <c r="J400">
        <v>2460000</v>
      </c>
      <c r="K400" s="7" t="str">
        <f>IFERROR(IF(B400&lt;&gt;"", TEXT(VLOOKUP(B400, 'Expected Date'!A:B, 2, FALSE) + DATE(RIGHT(C400,2),MID(C400,4,2),LEFT(C400,2)), "dd/mm/yy"), ""), "")</f>
        <v>28/04/23</v>
      </c>
      <c r="L400" t="s">
        <v>38</v>
      </c>
      <c r="M400" t="s">
        <v>48</v>
      </c>
      <c r="N400" t="s">
        <v>381</v>
      </c>
      <c r="O400" t="s">
        <v>41</v>
      </c>
      <c r="P400">
        <v>23290143</v>
      </c>
      <c r="Q400" t="s">
        <v>445</v>
      </c>
      <c r="R400" t="s">
        <v>446</v>
      </c>
      <c r="S400">
        <v>600</v>
      </c>
      <c r="T400">
        <v>205</v>
      </c>
      <c r="U400">
        <v>123000</v>
      </c>
      <c r="V400" t="str">
        <f t="shared" si="106"/>
        <v>Dahej</v>
      </c>
      <c r="W400" t="str">
        <f>VLOOKUP(B400, Currency!A:B, 2, FALSE)</f>
        <v>INR</v>
      </c>
      <c r="X400" t="str">
        <f t="shared" si="107"/>
        <v>Accepted</v>
      </c>
      <c r="Y400">
        <f>IFERROR(VLOOKUP(N400, Payment_Terms!A:B, 2, FALSE), "Payment term not found!")</f>
        <v>30</v>
      </c>
      <c r="Z400" t="str">
        <f>IFERROR(VLOOKUP(R400, Item_Category!A:B, 2, FALSE), "Uncategorized")</f>
        <v>SSG - Potato</v>
      </c>
      <c r="AA400" s="5">
        <f t="shared" si="111"/>
        <v>0</v>
      </c>
      <c r="AB400">
        <f t="shared" si="112"/>
        <v>5</v>
      </c>
      <c r="AC400" s="10">
        <f t="shared" si="113"/>
        <v>1</v>
      </c>
      <c r="AD400">
        <f t="shared" si="114"/>
        <v>5</v>
      </c>
      <c r="AE400" s="10">
        <f t="shared" si="115"/>
        <v>16</v>
      </c>
      <c r="AF400" s="5">
        <f t="shared" si="108"/>
        <v>1</v>
      </c>
      <c r="AG400" s="5">
        <f t="shared" si="109"/>
        <v>1</v>
      </c>
      <c r="AH400" s="5">
        <f t="shared" si="116"/>
        <v>0</v>
      </c>
      <c r="AI400">
        <f>IF(B400&lt;&gt;"", COUNTIFS($B$2:B400, B400), "")</f>
        <v>5</v>
      </c>
      <c r="AJ400">
        <f t="shared" si="117"/>
        <v>5</v>
      </c>
      <c r="AK400">
        <f t="shared" si="110"/>
        <v>5</v>
      </c>
      <c r="AL400">
        <f t="shared" si="118"/>
        <v>4</v>
      </c>
      <c r="AM400" t="str">
        <f t="shared" si="119"/>
        <v>April</v>
      </c>
      <c r="AN400">
        <f t="shared" si="120"/>
        <v>2023</v>
      </c>
      <c r="AO400" t="str">
        <f t="shared" si="121"/>
        <v>&gt;3</v>
      </c>
      <c r="AP400" t="str">
        <f t="shared" si="122"/>
        <v>&gt;3</v>
      </c>
      <c r="AQ400" t="str">
        <f t="shared" si="123"/>
        <v>&gt;3</v>
      </c>
    </row>
    <row r="401" spans="1:43" x14ac:dyDescent="0.3">
      <c r="A401" t="s">
        <v>33</v>
      </c>
      <c r="B401" t="s">
        <v>371</v>
      </c>
      <c r="C401" t="s">
        <v>416</v>
      </c>
      <c r="D401">
        <v>2120</v>
      </c>
      <c r="E401">
        <v>23210182</v>
      </c>
      <c r="F401" t="s">
        <v>372</v>
      </c>
      <c r="G401" t="s">
        <v>373</v>
      </c>
      <c r="H401">
        <v>50</v>
      </c>
      <c r="I401">
        <v>150</v>
      </c>
      <c r="J401">
        <v>7500</v>
      </c>
      <c r="K401" s="7" t="str">
        <f>IFERROR(IF(B401&lt;&gt;"", TEXT(VLOOKUP(B401, 'Expected Date'!A:B, 2, FALSE) + DATE(RIGHT(C401,2),MID(C401,4,2),LEFT(C401,2)), "dd/mm/yy"), ""), "")</f>
        <v>25/05/23</v>
      </c>
      <c r="L401" t="s">
        <v>68</v>
      </c>
      <c r="M401" t="s">
        <v>48</v>
      </c>
      <c r="N401" t="s">
        <v>342</v>
      </c>
      <c r="O401" t="s">
        <v>357</v>
      </c>
      <c r="P401">
        <v>23290406</v>
      </c>
      <c r="Q401" t="s">
        <v>372</v>
      </c>
      <c r="R401" t="s">
        <v>373</v>
      </c>
      <c r="S401">
        <v>9.9600000000000009</v>
      </c>
      <c r="T401">
        <v>150</v>
      </c>
      <c r="U401">
        <v>1494</v>
      </c>
      <c r="V401" t="str">
        <f t="shared" si="106"/>
        <v>Dahej</v>
      </c>
      <c r="W401" t="str">
        <f>VLOOKUP(B401, Currency!A:B, 2, FALSE)</f>
        <v>INR</v>
      </c>
      <c r="X401" t="str">
        <f t="shared" si="107"/>
        <v>Accepted</v>
      </c>
      <c r="Y401">
        <f>IFERROR(VLOOKUP(N401, Payment_Terms!A:B, 2, FALSE), "Payment term not found!")</f>
        <v>30</v>
      </c>
      <c r="Z401" t="str">
        <f>IFERROR(VLOOKUP(R401, Item_Category!A:B, 2, FALSE), "Uncategorized")</f>
        <v>HCL</v>
      </c>
      <c r="AA401" s="5">
        <f t="shared" si="111"/>
        <v>6.3999999999998633E-3</v>
      </c>
      <c r="AB401">
        <f t="shared" si="112"/>
        <v>4</v>
      </c>
      <c r="AC401" s="10">
        <f t="shared" si="113"/>
        <v>5</v>
      </c>
      <c r="AD401">
        <f t="shared" si="114"/>
        <v>3</v>
      </c>
      <c r="AE401" s="10">
        <f t="shared" si="115"/>
        <v>10</v>
      </c>
      <c r="AF401" s="5">
        <f t="shared" si="108"/>
        <v>1</v>
      </c>
      <c r="AG401" s="5">
        <f t="shared" si="109"/>
        <v>1</v>
      </c>
      <c r="AH401" s="5">
        <f t="shared" si="116"/>
        <v>0</v>
      </c>
      <c r="AI401">
        <f>IF(B401&lt;&gt;"", COUNTIFS($B$2:B401, B401), "")</f>
        <v>4</v>
      </c>
      <c r="AJ401">
        <f t="shared" si="117"/>
        <v>5</v>
      </c>
      <c r="AK401">
        <f t="shared" si="110"/>
        <v>5</v>
      </c>
      <c r="AL401">
        <f t="shared" si="118"/>
        <v>5</v>
      </c>
      <c r="AM401" t="str">
        <f t="shared" si="119"/>
        <v>May</v>
      </c>
      <c r="AN401">
        <f t="shared" si="120"/>
        <v>2023</v>
      </c>
      <c r="AO401" t="str">
        <f t="shared" si="121"/>
        <v>&gt;3</v>
      </c>
      <c r="AP401" t="str">
        <f t="shared" si="122"/>
        <v>&gt;3</v>
      </c>
      <c r="AQ401" t="str">
        <f t="shared" si="123"/>
        <v>&lt;=3</v>
      </c>
    </row>
    <row r="402" spans="1:43" x14ac:dyDescent="0.3">
      <c r="A402" t="s">
        <v>33</v>
      </c>
      <c r="B402" t="str">
        <f>B284</f>
        <v>Ami Enterprises</v>
      </c>
      <c r="C402" t="s">
        <v>70</v>
      </c>
      <c r="D402">
        <v>1550</v>
      </c>
      <c r="E402">
        <v>23210087</v>
      </c>
      <c r="F402" t="s">
        <v>460</v>
      </c>
      <c r="G402" t="s">
        <v>461</v>
      </c>
      <c r="H402">
        <v>20000</v>
      </c>
      <c r="I402">
        <v>35</v>
      </c>
      <c r="J402">
        <v>700000</v>
      </c>
      <c r="K402" s="7" t="str">
        <f>IFERROR(IF(B402&lt;&gt;"", TEXT(VLOOKUP(B402, 'Expected Date'!A:B, 2, FALSE) + DATE(RIGHT(C402,2),MID(C402,4,2),LEFT(C402,2)), "dd/mm/yy"), ""), "")</f>
        <v>04/05/23</v>
      </c>
      <c r="L402" t="s">
        <v>68</v>
      </c>
      <c r="M402" t="s">
        <v>39</v>
      </c>
      <c r="N402" t="s">
        <v>342</v>
      </c>
      <c r="O402" t="s">
        <v>35</v>
      </c>
      <c r="P402">
        <v>23290164</v>
      </c>
      <c r="Q402" t="s">
        <v>460</v>
      </c>
      <c r="R402" t="s">
        <v>461</v>
      </c>
      <c r="S402">
        <v>15000</v>
      </c>
      <c r="T402">
        <v>35</v>
      </c>
      <c r="U402">
        <v>525000</v>
      </c>
      <c r="V402" t="str">
        <f t="shared" si="106"/>
        <v>Dahej</v>
      </c>
      <c r="W402" t="str">
        <f>VLOOKUP(B402, Currency!A:B, 2, FALSE)</f>
        <v>INR</v>
      </c>
      <c r="X402" t="str">
        <f t="shared" si="107"/>
        <v>Accepted</v>
      </c>
      <c r="Y402">
        <f>IFERROR(VLOOKUP(N402, Payment_Terms!A:B, 2, FALSE), "Payment term not found!")</f>
        <v>30</v>
      </c>
      <c r="Z402" t="str">
        <f>IFERROR(VLOOKUP(R402, Item_Category!A:B, 2, FALSE), "Uncategorized")</f>
        <v>Bags</v>
      </c>
      <c r="AA402" s="5">
        <f t="shared" si="111"/>
        <v>0.25</v>
      </c>
      <c r="AB402">
        <f t="shared" si="112"/>
        <v>1</v>
      </c>
      <c r="AC402" s="10">
        <f t="shared" si="113"/>
        <v>-7</v>
      </c>
      <c r="AD402">
        <f t="shared" si="114"/>
        <v>5</v>
      </c>
      <c r="AE402" s="10">
        <f t="shared" si="115"/>
        <v>3</v>
      </c>
      <c r="AF402" s="5">
        <f t="shared" si="108"/>
        <v>1</v>
      </c>
      <c r="AG402" s="5">
        <f t="shared" si="109"/>
        <v>1</v>
      </c>
      <c r="AH402" s="5">
        <f t="shared" si="116"/>
        <v>0</v>
      </c>
      <c r="AI402">
        <f>IF(B402&lt;&gt;"", COUNTIFS($B$2:B402, B402), "")</f>
        <v>25</v>
      </c>
      <c r="AJ402">
        <f t="shared" si="117"/>
        <v>5</v>
      </c>
      <c r="AK402">
        <f t="shared" si="110"/>
        <v>4</v>
      </c>
      <c r="AL402">
        <f t="shared" si="118"/>
        <v>4</v>
      </c>
      <c r="AM402" t="str">
        <f t="shared" si="119"/>
        <v>April</v>
      </c>
      <c r="AN402">
        <f t="shared" si="120"/>
        <v>2023</v>
      </c>
      <c r="AO402" t="str">
        <f t="shared" si="121"/>
        <v>&gt;3</v>
      </c>
      <c r="AP402" t="str">
        <f t="shared" si="122"/>
        <v>&lt;=3</v>
      </c>
      <c r="AQ402" t="str">
        <f t="shared" si="123"/>
        <v>&gt;3</v>
      </c>
    </row>
    <row r="403" spans="1:43" x14ac:dyDescent="0.3">
      <c r="A403" t="s">
        <v>111</v>
      </c>
      <c r="B403" t="s">
        <v>309</v>
      </c>
      <c r="C403" t="s">
        <v>72</v>
      </c>
      <c r="D403">
        <v>2596</v>
      </c>
      <c r="E403">
        <v>23220023</v>
      </c>
      <c r="F403" t="s">
        <v>375</v>
      </c>
      <c r="G403" t="s">
        <v>311</v>
      </c>
      <c r="H403">
        <v>1000</v>
      </c>
      <c r="I403">
        <v>310</v>
      </c>
      <c r="J403">
        <v>310000</v>
      </c>
      <c r="K403" s="7" t="str">
        <f>IFERROR(IF(B403&lt;&gt;"", TEXT(VLOOKUP(B403, 'Expected Date'!A:B, 2, FALSE) + DATE(RIGHT(C403,2),MID(C403,4,2),LEFT(C403,2)), "dd/mm/yy"), ""), "")</f>
        <v>03/07/23</v>
      </c>
      <c r="L403" t="s">
        <v>38</v>
      </c>
      <c r="M403" t="s">
        <v>48</v>
      </c>
      <c r="N403" t="s">
        <v>377</v>
      </c>
      <c r="O403" t="s">
        <v>257</v>
      </c>
      <c r="P403">
        <v>23290629</v>
      </c>
      <c r="Q403" t="s">
        <v>375</v>
      </c>
      <c r="R403" t="s">
        <v>311</v>
      </c>
      <c r="S403">
        <v>1000</v>
      </c>
      <c r="T403">
        <v>310</v>
      </c>
      <c r="U403">
        <v>310000</v>
      </c>
      <c r="V403" t="str">
        <f t="shared" si="106"/>
        <v>Dahej</v>
      </c>
      <c r="W403" t="str">
        <f>VLOOKUP(B403, Currency!A:B, 2, FALSE)</f>
        <v>INR</v>
      </c>
      <c r="X403" t="str">
        <f t="shared" si="107"/>
        <v>Accepted</v>
      </c>
      <c r="Y403">
        <f>IFERROR(VLOOKUP(N403, Payment_Terms!A:B, 2, FALSE), "Payment term not found!")</f>
        <v>30</v>
      </c>
      <c r="Z403" t="str">
        <f>IFERROR(VLOOKUP(R403, Item_Category!A:B, 2, FALSE), "Uncategorized")</f>
        <v>CROSSCARMELLOSE SODIUM</v>
      </c>
      <c r="AA403" s="5">
        <f t="shared" si="111"/>
        <v>0</v>
      </c>
      <c r="AB403">
        <f t="shared" si="112"/>
        <v>5</v>
      </c>
      <c r="AC403" s="10">
        <f t="shared" si="113"/>
        <v>-6</v>
      </c>
      <c r="AD403">
        <f t="shared" si="114"/>
        <v>5</v>
      </c>
      <c r="AE403" s="10">
        <f t="shared" si="115"/>
        <v>4</v>
      </c>
      <c r="AF403" s="5">
        <f t="shared" si="108"/>
        <v>1</v>
      </c>
      <c r="AG403" s="5">
        <f t="shared" si="109"/>
        <v>0.77</v>
      </c>
      <c r="AH403" s="5">
        <f t="shared" si="116"/>
        <v>0.23</v>
      </c>
      <c r="AI403">
        <f>IF(B403&lt;&gt;"", COUNTIFS($B$2:B403, B403), "")</f>
        <v>4</v>
      </c>
      <c r="AJ403">
        <f t="shared" si="117"/>
        <v>1</v>
      </c>
      <c r="AK403">
        <f t="shared" si="110"/>
        <v>4</v>
      </c>
      <c r="AL403">
        <f t="shared" si="118"/>
        <v>6</v>
      </c>
      <c r="AM403" t="str">
        <f t="shared" si="119"/>
        <v>June</v>
      </c>
      <c r="AN403">
        <f t="shared" si="120"/>
        <v>2023</v>
      </c>
      <c r="AO403" t="str">
        <f t="shared" si="121"/>
        <v>&lt;=3</v>
      </c>
      <c r="AP403" t="str">
        <f t="shared" si="122"/>
        <v>&gt;3</v>
      </c>
      <c r="AQ403" t="str">
        <f t="shared" si="123"/>
        <v>&gt;3</v>
      </c>
    </row>
    <row r="404" spans="1:43" x14ac:dyDescent="0.3">
      <c r="A404" t="s">
        <v>33</v>
      </c>
      <c r="B404" t="s">
        <v>366</v>
      </c>
      <c r="C404" t="s">
        <v>308</v>
      </c>
      <c r="D404">
        <v>2491</v>
      </c>
      <c r="E404">
        <v>23210297</v>
      </c>
      <c r="F404" t="s">
        <v>392</v>
      </c>
      <c r="G404" t="s">
        <v>393</v>
      </c>
      <c r="H404">
        <v>150</v>
      </c>
      <c r="I404">
        <v>11000</v>
      </c>
      <c r="J404">
        <v>1650000</v>
      </c>
      <c r="K404" s="7" t="str">
        <f>IFERROR(IF(B404&lt;&gt;"", TEXT(VLOOKUP(B404, 'Expected Date'!A:B, 2, FALSE) + DATE(RIGHT(C404,2),MID(C404,4,2),LEFT(C404,2)), "dd/mm/yy"), ""), "")</f>
        <v>12/06/23</v>
      </c>
      <c r="L404" t="s">
        <v>68</v>
      </c>
      <c r="M404" t="s">
        <v>48</v>
      </c>
      <c r="N404" t="s">
        <v>370</v>
      </c>
      <c r="O404" t="s">
        <v>162</v>
      </c>
      <c r="P404">
        <v>23290637</v>
      </c>
      <c r="Q404" t="s">
        <v>392</v>
      </c>
      <c r="R404" t="s">
        <v>393</v>
      </c>
      <c r="S404">
        <v>30.14</v>
      </c>
      <c r="T404">
        <v>11000</v>
      </c>
      <c r="U404">
        <v>331540</v>
      </c>
      <c r="V404" t="str">
        <f t="shared" si="106"/>
        <v>Dahej</v>
      </c>
      <c r="W404" t="str">
        <f>VLOOKUP(B404, Currency!A:B, 2, FALSE)</f>
        <v>INR</v>
      </c>
      <c r="X404" t="str">
        <f t="shared" si="107"/>
        <v>Accepted</v>
      </c>
      <c r="Y404">
        <f>IFERROR(VLOOKUP(N404, Payment_Terms!A:B, 2, FALSE), "Payment term not found!")</f>
        <v>15</v>
      </c>
      <c r="Z404" t="str">
        <f>IFERROR(VLOOKUP(R404, Item_Category!A:B, 2, FALSE), "Uncategorized")</f>
        <v>Coal materials</v>
      </c>
      <c r="AA404" s="5">
        <f t="shared" si="111"/>
        <v>0.60453333333333337</v>
      </c>
      <c r="AB404">
        <f t="shared" si="112"/>
        <v>1</v>
      </c>
      <c r="AC404" s="10">
        <f t="shared" si="113"/>
        <v>17</v>
      </c>
      <c r="AD404">
        <f t="shared" si="114"/>
        <v>1</v>
      </c>
      <c r="AE404" s="10">
        <f t="shared" si="115"/>
        <v>19</v>
      </c>
      <c r="AF404" s="5">
        <f t="shared" si="108"/>
        <v>1</v>
      </c>
      <c r="AG404" s="5">
        <f t="shared" si="109"/>
        <v>1</v>
      </c>
      <c r="AH404" s="5">
        <f t="shared" si="116"/>
        <v>0</v>
      </c>
      <c r="AI404">
        <f>IF(B404&lt;&gt;"", COUNTIFS($B$2:B404, B404), "")</f>
        <v>26</v>
      </c>
      <c r="AJ404">
        <f t="shared" si="117"/>
        <v>5</v>
      </c>
      <c r="AK404">
        <f t="shared" si="110"/>
        <v>3</v>
      </c>
      <c r="AL404">
        <f t="shared" si="118"/>
        <v>6</v>
      </c>
      <c r="AM404" t="str">
        <f t="shared" si="119"/>
        <v>June</v>
      </c>
      <c r="AN404">
        <f t="shared" si="120"/>
        <v>2023</v>
      </c>
      <c r="AO404" t="str">
        <f t="shared" si="121"/>
        <v>&gt;3</v>
      </c>
      <c r="AP404" t="str">
        <f t="shared" si="122"/>
        <v>&lt;=3</v>
      </c>
      <c r="AQ404" t="str">
        <f t="shared" si="123"/>
        <v>&lt;=3</v>
      </c>
    </row>
    <row r="405" spans="1:43" x14ac:dyDescent="0.3">
      <c r="A405" t="s">
        <v>33</v>
      </c>
      <c r="B405" t="s">
        <v>371</v>
      </c>
      <c r="C405" t="s">
        <v>116</v>
      </c>
      <c r="D405">
        <v>3184</v>
      </c>
      <c r="E405">
        <v>23210431</v>
      </c>
      <c r="F405" t="s">
        <v>372</v>
      </c>
      <c r="G405" t="s">
        <v>373</v>
      </c>
      <c r="H405">
        <v>20</v>
      </c>
      <c r="I405">
        <v>750</v>
      </c>
      <c r="J405">
        <v>15000</v>
      </c>
      <c r="K405" s="7" t="str">
        <f>IFERROR(IF(B405&lt;&gt;"", TEXT(VLOOKUP(B405, 'Expected Date'!A:B, 2, FALSE) + DATE(RIGHT(C405,2),MID(C405,4,2),LEFT(C405,2)), "dd/mm/yy"), ""), "")</f>
        <v>23/07/23</v>
      </c>
      <c r="L405" t="s">
        <v>68</v>
      </c>
      <c r="M405" t="s">
        <v>48</v>
      </c>
      <c r="N405" t="s">
        <v>342</v>
      </c>
      <c r="O405" t="s">
        <v>475</v>
      </c>
      <c r="P405">
        <v>23290837</v>
      </c>
      <c r="Q405" t="s">
        <v>372</v>
      </c>
      <c r="R405" t="s">
        <v>373</v>
      </c>
      <c r="S405">
        <v>9.74</v>
      </c>
      <c r="T405">
        <v>750</v>
      </c>
      <c r="U405">
        <v>7305</v>
      </c>
      <c r="V405" t="str">
        <f t="shared" si="106"/>
        <v>Dahej</v>
      </c>
      <c r="W405" t="str">
        <f>VLOOKUP(B405, Currency!A:B, 2, FALSE)</f>
        <v>INR</v>
      </c>
      <c r="X405" t="str">
        <f t="shared" si="107"/>
        <v>Accepted</v>
      </c>
      <c r="Y405">
        <f>IFERROR(VLOOKUP(N405, Payment_Terms!A:B, 2, FALSE), "Payment term not found!")</f>
        <v>30</v>
      </c>
      <c r="Z405" t="str">
        <f>IFERROR(VLOOKUP(R405, Item_Category!A:B, 2, FALSE), "Uncategorized")</f>
        <v>HCL</v>
      </c>
      <c r="AA405" s="5">
        <f t="shared" si="111"/>
        <v>0.51300000000000001</v>
      </c>
      <c r="AB405">
        <f t="shared" si="112"/>
        <v>1</v>
      </c>
      <c r="AC405" s="10">
        <f t="shared" si="113"/>
        <v>-4</v>
      </c>
      <c r="AD405">
        <f t="shared" si="114"/>
        <v>5</v>
      </c>
      <c r="AE405" s="10">
        <f t="shared" si="115"/>
        <v>1</v>
      </c>
      <c r="AF405" s="5">
        <f t="shared" si="108"/>
        <v>1</v>
      </c>
      <c r="AG405" s="5">
        <f t="shared" si="109"/>
        <v>1</v>
      </c>
      <c r="AH405" s="5">
        <f t="shared" si="116"/>
        <v>0</v>
      </c>
      <c r="AI405">
        <f>IF(B405&lt;&gt;"", COUNTIFS($B$2:B405, B405), "")</f>
        <v>5</v>
      </c>
      <c r="AJ405">
        <f t="shared" si="117"/>
        <v>5</v>
      </c>
      <c r="AK405">
        <f t="shared" si="110"/>
        <v>4</v>
      </c>
      <c r="AL405">
        <f t="shared" si="118"/>
        <v>7</v>
      </c>
      <c r="AM405" t="str">
        <f t="shared" si="119"/>
        <v>July</v>
      </c>
      <c r="AN405">
        <f t="shared" si="120"/>
        <v>2023</v>
      </c>
      <c r="AO405" t="str">
        <f t="shared" si="121"/>
        <v>&gt;3</v>
      </c>
      <c r="AP405" t="str">
        <f t="shared" si="122"/>
        <v>&lt;=3</v>
      </c>
      <c r="AQ405" t="str">
        <f t="shared" si="123"/>
        <v>&gt;3</v>
      </c>
    </row>
    <row r="406" spans="1:43" x14ac:dyDescent="0.3">
      <c r="A406" t="s">
        <v>111</v>
      </c>
      <c r="B406" t="s">
        <v>296</v>
      </c>
      <c r="C406" t="s">
        <v>374</v>
      </c>
      <c r="D406">
        <v>1251</v>
      </c>
      <c r="E406">
        <v>23210020</v>
      </c>
      <c r="F406" t="s">
        <v>445</v>
      </c>
      <c r="G406" t="s">
        <v>446</v>
      </c>
      <c r="H406">
        <v>12000</v>
      </c>
      <c r="I406">
        <v>205</v>
      </c>
      <c r="J406">
        <v>2460000</v>
      </c>
      <c r="K406" s="7" t="str">
        <f>IFERROR(IF(B406&lt;&gt;"", TEXT(VLOOKUP(B406, 'Expected Date'!A:B, 2, FALSE) + DATE(RIGHT(C406,2),MID(C406,4,2),LEFT(C406,2)), "dd/mm/yy"), ""), "")</f>
        <v>28/04/23</v>
      </c>
      <c r="L406" t="s">
        <v>38</v>
      </c>
      <c r="M406" t="s">
        <v>48</v>
      </c>
      <c r="N406" t="s">
        <v>381</v>
      </c>
      <c r="O406" t="s">
        <v>227</v>
      </c>
      <c r="P406">
        <v>23290866</v>
      </c>
      <c r="Q406" t="s">
        <v>445</v>
      </c>
      <c r="R406" t="s">
        <v>446</v>
      </c>
      <c r="S406">
        <v>2000</v>
      </c>
      <c r="T406">
        <v>205</v>
      </c>
      <c r="U406">
        <v>410000</v>
      </c>
      <c r="V406" t="str">
        <f t="shared" si="106"/>
        <v>Dahej</v>
      </c>
      <c r="W406" t="str">
        <f>VLOOKUP(B406, Currency!A:B, 2, FALSE)</f>
        <v>INR</v>
      </c>
      <c r="X406" t="str">
        <f t="shared" si="107"/>
        <v>Accepted</v>
      </c>
      <c r="Y406">
        <f>IFERROR(VLOOKUP(N406, Payment_Terms!A:B, 2, FALSE), "Payment term not found!")</f>
        <v>30</v>
      </c>
      <c r="Z406" t="str">
        <f>IFERROR(VLOOKUP(R406, Item_Category!A:B, 2, FALSE), "Uncategorized")</f>
        <v>SSG - Potato</v>
      </c>
      <c r="AA406" s="5">
        <f t="shared" si="111"/>
        <v>0</v>
      </c>
      <c r="AB406">
        <f t="shared" si="112"/>
        <v>5</v>
      </c>
      <c r="AC406" s="10">
        <f t="shared" si="113"/>
        <v>88</v>
      </c>
      <c r="AD406">
        <f t="shared" si="114"/>
        <v>1</v>
      </c>
      <c r="AE406" s="10">
        <f t="shared" si="115"/>
        <v>103</v>
      </c>
      <c r="AF406" s="5">
        <f t="shared" si="108"/>
        <v>1</v>
      </c>
      <c r="AG406" s="5">
        <f t="shared" si="109"/>
        <v>1</v>
      </c>
      <c r="AH406" s="5">
        <f t="shared" si="116"/>
        <v>0</v>
      </c>
      <c r="AI406">
        <f>IF(B406&lt;&gt;"", COUNTIFS($B$2:B406, B406), "")</f>
        <v>6</v>
      </c>
      <c r="AJ406">
        <f t="shared" si="117"/>
        <v>5</v>
      </c>
      <c r="AK406">
        <f t="shared" si="110"/>
        <v>4</v>
      </c>
      <c r="AL406">
        <f t="shared" si="118"/>
        <v>4</v>
      </c>
      <c r="AM406" t="str">
        <f t="shared" si="119"/>
        <v>April</v>
      </c>
      <c r="AN406">
        <f t="shared" si="120"/>
        <v>2023</v>
      </c>
      <c r="AO406" t="str">
        <f t="shared" si="121"/>
        <v>&gt;3</v>
      </c>
      <c r="AP406" t="str">
        <f t="shared" si="122"/>
        <v>&gt;3</v>
      </c>
      <c r="AQ406" t="str">
        <f t="shared" si="123"/>
        <v>&lt;=3</v>
      </c>
    </row>
    <row r="407" spans="1:43" x14ac:dyDescent="0.3">
      <c r="A407" t="s">
        <v>33</v>
      </c>
      <c r="B407" t="s">
        <v>122</v>
      </c>
      <c r="C407" t="s">
        <v>192</v>
      </c>
      <c r="D407">
        <v>3695</v>
      </c>
      <c r="E407">
        <v>23210540</v>
      </c>
      <c r="F407" t="s">
        <v>405</v>
      </c>
      <c r="G407" t="s">
        <v>406</v>
      </c>
      <c r="H407">
        <v>600</v>
      </c>
      <c r="I407">
        <v>930</v>
      </c>
      <c r="J407">
        <v>558000</v>
      </c>
      <c r="K407" s="7" t="str">
        <f>IFERROR(IF(B407&lt;&gt;"", TEXT(VLOOKUP(B407, 'Expected Date'!A:B, 2, FALSE) + DATE(RIGHT(C407,2),MID(C407,4,2),LEFT(C407,2)), "dd/mm/yy"), ""), "")</f>
        <v>29/08/23</v>
      </c>
      <c r="L407" t="s">
        <v>38</v>
      </c>
      <c r="M407" t="s">
        <v>39</v>
      </c>
      <c r="N407" t="s">
        <v>364</v>
      </c>
      <c r="O407" t="s">
        <v>476</v>
      </c>
      <c r="P407">
        <v>23291082</v>
      </c>
      <c r="Q407" t="s">
        <v>405</v>
      </c>
      <c r="R407" t="s">
        <v>406</v>
      </c>
      <c r="S407">
        <v>130</v>
      </c>
      <c r="T407">
        <v>930</v>
      </c>
      <c r="U407">
        <v>120900</v>
      </c>
      <c r="V407" t="str">
        <f t="shared" si="106"/>
        <v>Dahej</v>
      </c>
      <c r="W407" t="str">
        <f>VLOOKUP(B407, Currency!A:B, 2, FALSE)</f>
        <v>INR</v>
      </c>
      <c r="X407" t="str">
        <f t="shared" si="107"/>
        <v>Accepted</v>
      </c>
      <c r="Y407">
        <f>IFERROR(VLOOKUP(N407, Payment_Terms!A:B, 2, FALSE), "Payment term not found!")</f>
        <v>30</v>
      </c>
      <c r="Z407" t="str">
        <f>IFERROR(VLOOKUP(R407, Item_Category!A:B, 2, FALSE), "Uncategorized")</f>
        <v>Pallets</v>
      </c>
      <c r="AA407" s="5">
        <f t="shared" si="111"/>
        <v>0</v>
      </c>
      <c r="AB407">
        <f t="shared" si="112"/>
        <v>5</v>
      </c>
      <c r="AC407" s="10">
        <f t="shared" si="113"/>
        <v>-14</v>
      </c>
      <c r="AD407">
        <f t="shared" si="114"/>
        <v>5</v>
      </c>
      <c r="AE407" s="10">
        <f t="shared" si="115"/>
        <v>1</v>
      </c>
      <c r="AF407" s="5">
        <f t="shared" si="108"/>
        <v>1</v>
      </c>
      <c r="AG407" s="5">
        <f t="shared" si="109"/>
        <v>1</v>
      </c>
      <c r="AH407" s="5">
        <f t="shared" si="116"/>
        <v>0</v>
      </c>
      <c r="AI407">
        <f>IF(B407&lt;&gt;"", COUNTIFS($B$2:B407, B407), "")</f>
        <v>16</v>
      </c>
      <c r="AJ407">
        <f t="shared" si="117"/>
        <v>5</v>
      </c>
      <c r="AK407">
        <f t="shared" si="110"/>
        <v>5</v>
      </c>
      <c r="AL407">
        <f t="shared" si="118"/>
        <v>8</v>
      </c>
      <c r="AM407" t="str">
        <f t="shared" si="119"/>
        <v>August</v>
      </c>
      <c r="AN407">
        <f t="shared" si="120"/>
        <v>2023</v>
      </c>
      <c r="AO407" t="str">
        <f t="shared" si="121"/>
        <v>&gt;3</v>
      </c>
      <c r="AP407" t="str">
        <f t="shared" si="122"/>
        <v>&gt;3</v>
      </c>
      <c r="AQ407" t="str">
        <f t="shared" si="123"/>
        <v>&gt;3</v>
      </c>
    </row>
    <row r="408" spans="1:43" x14ac:dyDescent="0.3">
      <c r="A408" t="s">
        <v>33</v>
      </c>
      <c r="B408" t="s">
        <v>395</v>
      </c>
      <c r="C408" t="s">
        <v>397</v>
      </c>
      <c r="D408">
        <v>1554</v>
      </c>
      <c r="E408">
        <v>23210090</v>
      </c>
      <c r="F408" t="s">
        <v>368</v>
      </c>
      <c r="G408" t="s">
        <v>369</v>
      </c>
      <c r="H408">
        <v>50000</v>
      </c>
      <c r="I408">
        <v>8.1199999999999992</v>
      </c>
      <c r="J408">
        <v>406000</v>
      </c>
      <c r="K408" s="7" t="str">
        <f>IFERROR(IF(B408&lt;&gt;"", TEXT(VLOOKUP(B408, 'Expected Date'!A:B, 2, FALSE) + DATE(RIGHT(C408,2),MID(C408,4,2),LEFT(C408,2)), "dd/mm/yy"), ""), "")</f>
        <v>10/04/23</v>
      </c>
      <c r="L408" t="s">
        <v>68</v>
      </c>
      <c r="M408" t="s">
        <v>48</v>
      </c>
      <c r="N408" t="s">
        <v>370</v>
      </c>
      <c r="O408" t="s">
        <v>396</v>
      </c>
      <c r="P408">
        <v>23290149</v>
      </c>
      <c r="Q408" t="s">
        <v>368</v>
      </c>
      <c r="R408" t="s">
        <v>369</v>
      </c>
      <c r="S408">
        <v>37750</v>
      </c>
      <c r="T408">
        <v>8.1199999999999992</v>
      </c>
      <c r="U408">
        <v>306530</v>
      </c>
      <c r="V408" t="str">
        <f t="shared" si="106"/>
        <v>Dahej</v>
      </c>
      <c r="W408" t="str">
        <f>VLOOKUP(B408, Currency!A:B, 2, FALSE)</f>
        <v>INR</v>
      </c>
      <c r="X408" t="str">
        <f t="shared" si="107"/>
        <v>Accepted</v>
      </c>
      <c r="Y408">
        <f>IFERROR(VLOOKUP(N408, Payment_Terms!A:B, 2, FALSE), "Payment term not found!")</f>
        <v>15</v>
      </c>
      <c r="Z408" t="str">
        <f>IFERROR(VLOOKUP(R408, Item_Category!A:B, 2, FALSE), "Uncategorized")</f>
        <v>Coal materials</v>
      </c>
      <c r="AA408" s="5">
        <f t="shared" si="111"/>
        <v>0.245</v>
      </c>
      <c r="AB408">
        <f t="shared" si="112"/>
        <v>1</v>
      </c>
      <c r="AC408" s="10">
        <f t="shared" si="113"/>
        <v>-3</v>
      </c>
      <c r="AD408">
        <f t="shared" si="114"/>
        <v>5</v>
      </c>
      <c r="AE408" s="10">
        <f t="shared" si="115"/>
        <v>2</v>
      </c>
      <c r="AF408" s="5">
        <f t="shared" si="108"/>
        <v>1</v>
      </c>
      <c r="AG408" s="5">
        <f t="shared" si="109"/>
        <v>1</v>
      </c>
      <c r="AH408" s="5">
        <f t="shared" si="116"/>
        <v>0</v>
      </c>
      <c r="AI408">
        <f>IF(B408&lt;&gt;"", COUNTIFS($B$2:B408, B408), "")</f>
        <v>13</v>
      </c>
      <c r="AJ408">
        <f t="shared" si="117"/>
        <v>5</v>
      </c>
      <c r="AK408">
        <f t="shared" si="110"/>
        <v>4</v>
      </c>
      <c r="AL408">
        <f t="shared" si="118"/>
        <v>4</v>
      </c>
      <c r="AM408" t="str">
        <f t="shared" si="119"/>
        <v>April</v>
      </c>
      <c r="AN408">
        <f t="shared" si="120"/>
        <v>2023</v>
      </c>
      <c r="AO408" t="str">
        <f t="shared" si="121"/>
        <v>&gt;3</v>
      </c>
      <c r="AP408" t="str">
        <f t="shared" si="122"/>
        <v>&lt;=3</v>
      </c>
      <c r="AQ408" t="str">
        <f t="shared" si="123"/>
        <v>&gt;3</v>
      </c>
    </row>
    <row r="409" spans="1:43" x14ac:dyDescent="0.3">
      <c r="A409" t="s">
        <v>33</v>
      </c>
      <c r="B409" t="s">
        <v>366</v>
      </c>
      <c r="C409" t="s">
        <v>378</v>
      </c>
      <c r="D409">
        <v>1347</v>
      </c>
      <c r="E409">
        <v>23210035</v>
      </c>
      <c r="F409" t="s">
        <v>368</v>
      </c>
      <c r="G409" t="s">
        <v>369</v>
      </c>
      <c r="H409">
        <v>100000</v>
      </c>
      <c r="I409">
        <v>8.6</v>
      </c>
      <c r="J409">
        <v>860000</v>
      </c>
      <c r="K409" s="7" t="str">
        <f>IFERROR(IF(B409&lt;&gt;"", TEXT(VLOOKUP(B409, 'Expected Date'!A:B, 2, FALSE) + DATE(RIGHT(C409,2),MID(C409,4,2),LEFT(C409,2)), "dd/mm/yy"), ""), "")</f>
        <v>17/04/23</v>
      </c>
      <c r="L409" t="s">
        <v>38</v>
      </c>
      <c r="M409" t="s">
        <v>48</v>
      </c>
      <c r="N409" t="s">
        <v>370</v>
      </c>
      <c r="O409" t="s">
        <v>41</v>
      </c>
      <c r="P409">
        <v>23290166</v>
      </c>
      <c r="Q409" t="s">
        <v>368</v>
      </c>
      <c r="R409" t="s">
        <v>369</v>
      </c>
      <c r="S409">
        <v>35070</v>
      </c>
      <c r="T409">
        <v>8.6</v>
      </c>
      <c r="U409">
        <v>301602</v>
      </c>
      <c r="V409" t="str">
        <f t="shared" si="106"/>
        <v>Dahej</v>
      </c>
      <c r="W409" t="str">
        <f>VLOOKUP(B409, Currency!A:B, 2, FALSE)</f>
        <v>INR</v>
      </c>
      <c r="X409" t="str">
        <f t="shared" si="107"/>
        <v>Accepted</v>
      </c>
      <c r="Y409">
        <f>IFERROR(VLOOKUP(N409, Payment_Terms!A:B, 2, FALSE), "Payment term not found!")</f>
        <v>15</v>
      </c>
      <c r="Z409" t="str">
        <f>IFERROR(VLOOKUP(R409, Item_Category!A:B, 2, FALSE), "Uncategorized")</f>
        <v>Coal materials</v>
      </c>
      <c r="AA409" s="5">
        <f t="shared" si="111"/>
        <v>0</v>
      </c>
      <c r="AB409">
        <f t="shared" si="112"/>
        <v>5</v>
      </c>
      <c r="AC409" s="10">
        <f t="shared" si="113"/>
        <v>12</v>
      </c>
      <c r="AD409">
        <f t="shared" si="114"/>
        <v>1</v>
      </c>
      <c r="AE409" s="10">
        <f t="shared" si="115"/>
        <v>14</v>
      </c>
      <c r="AF409" s="5">
        <f t="shared" si="108"/>
        <v>1</v>
      </c>
      <c r="AG409" s="5">
        <f t="shared" si="109"/>
        <v>1</v>
      </c>
      <c r="AH409" s="5">
        <f t="shared" si="116"/>
        <v>0</v>
      </c>
      <c r="AI409">
        <f>IF(B409&lt;&gt;"", COUNTIFS($B$2:B409, B409), "")</f>
        <v>27</v>
      </c>
      <c r="AJ409">
        <f t="shared" si="117"/>
        <v>5</v>
      </c>
      <c r="AK409">
        <f t="shared" si="110"/>
        <v>4</v>
      </c>
      <c r="AL409">
        <f t="shared" si="118"/>
        <v>4</v>
      </c>
      <c r="AM409" t="str">
        <f t="shared" si="119"/>
        <v>April</v>
      </c>
      <c r="AN409">
        <f t="shared" si="120"/>
        <v>2023</v>
      </c>
      <c r="AO409" t="str">
        <f t="shared" si="121"/>
        <v>&gt;3</v>
      </c>
      <c r="AP409" t="str">
        <f t="shared" si="122"/>
        <v>&gt;3</v>
      </c>
      <c r="AQ409" t="str">
        <f t="shared" si="123"/>
        <v>&lt;=3</v>
      </c>
    </row>
    <row r="410" spans="1:43" x14ac:dyDescent="0.3">
      <c r="A410" t="s">
        <v>33</v>
      </c>
      <c r="B410" t="s">
        <v>122</v>
      </c>
      <c r="C410" t="s">
        <v>404</v>
      </c>
      <c r="D410">
        <v>1611</v>
      </c>
      <c r="E410">
        <v>23210100</v>
      </c>
      <c r="F410" t="s">
        <v>405</v>
      </c>
      <c r="G410" t="s">
        <v>406</v>
      </c>
      <c r="H410">
        <v>600</v>
      </c>
      <c r="I410">
        <v>930</v>
      </c>
      <c r="J410">
        <v>558000</v>
      </c>
      <c r="K410" s="7" t="str">
        <f>IFERROR(IF(B410&lt;&gt;"", TEXT(VLOOKUP(B410, 'Expected Date'!A:B, 2, FALSE) + DATE(RIGHT(C410,2),MID(C410,4,2),LEFT(C410,2)), "dd/mm/yy"), ""), "")</f>
        <v>13/05/23</v>
      </c>
      <c r="L410" t="s">
        <v>38</v>
      </c>
      <c r="M410" t="s">
        <v>39</v>
      </c>
      <c r="N410" t="s">
        <v>364</v>
      </c>
      <c r="O410" t="s">
        <v>222</v>
      </c>
      <c r="P410">
        <v>23290332</v>
      </c>
      <c r="Q410" t="s">
        <v>405</v>
      </c>
      <c r="R410" t="s">
        <v>406</v>
      </c>
      <c r="S410">
        <v>100</v>
      </c>
      <c r="T410">
        <v>930</v>
      </c>
      <c r="U410">
        <v>93000</v>
      </c>
      <c r="V410" t="str">
        <f t="shared" si="106"/>
        <v>Dahej</v>
      </c>
      <c r="W410" t="str">
        <f>VLOOKUP(B410, Currency!A:B, 2, FALSE)</f>
        <v>INR</v>
      </c>
      <c r="X410" t="str">
        <f t="shared" si="107"/>
        <v>Accepted</v>
      </c>
      <c r="Y410">
        <f>IFERROR(VLOOKUP(N410, Payment_Terms!A:B, 2, FALSE), "Payment term not found!")</f>
        <v>30</v>
      </c>
      <c r="Z410" t="str">
        <f>IFERROR(VLOOKUP(R410, Item_Category!A:B, 2, FALSE), "Uncategorized")</f>
        <v>Pallets</v>
      </c>
      <c r="AA410" s="5">
        <f t="shared" si="111"/>
        <v>0</v>
      </c>
      <c r="AB410">
        <f t="shared" si="112"/>
        <v>5</v>
      </c>
      <c r="AC410" s="10">
        <f t="shared" si="113"/>
        <v>6</v>
      </c>
      <c r="AD410">
        <f t="shared" si="114"/>
        <v>3</v>
      </c>
      <c r="AE410" s="10">
        <f t="shared" si="115"/>
        <v>21</v>
      </c>
      <c r="AF410" s="5">
        <f t="shared" si="108"/>
        <v>1</v>
      </c>
      <c r="AG410" s="5">
        <f t="shared" si="109"/>
        <v>1</v>
      </c>
      <c r="AH410" s="5">
        <f t="shared" si="116"/>
        <v>0</v>
      </c>
      <c r="AI410">
        <f>IF(B410&lt;&gt;"", COUNTIFS($B$2:B410, B410), "")</f>
        <v>17</v>
      </c>
      <c r="AJ410">
        <f t="shared" si="117"/>
        <v>5</v>
      </c>
      <c r="AK410">
        <f t="shared" si="110"/>
        <v>5</v>
      </c>
      <c r="AL410">
        <f t="shared" si="118"/>
        <v>4</v>
      </c>
      <c r="AM410" t="str">
        <f t="shared" si="119"/>
        <v>April</v>
      </c>
      <c r="AN410">
        <f t="shared" si="120"/>
        <v>2023</v>
      </c>
      <c r="AO410" t="str">
        <f t="shared" si="121"/>
        <v>&gt;3</v>
      </c>
      <c r="AP410" t="str">
        <f t="shared" si="122"/>
        <v>&gt;3</v>
      </c>
      <c r="AQ410" t="str">
        <f t="shared" si="123"/>
        <v>&lt;=3</v>
      </c>
    </row>
    <row r="411" spans="1:43" x14ac:dyDescent="0.3">
      <c r="A411" t="s">
        <v>33</v>
      </c>
      <c r="B411" t="s">
        <v>122</v>
      </c>
      <c r="C411" t="s">
        <v>324</v>
      </c>
      <c r="D411">
        <v>2545</v>
      </c>
      <c r="E411">
        <v>23210316</v>
      </c>
      <c r="F411" t="s">
        <v>362</v>
      </c>
      <c r="G411" t="s">
        <v>363</v>
      </c>
      <c r="H411">
        <v>400</v>
      </c>
      <c r="I411">
        <v>1900</v>
      </c>
      <c r="J411">
        <v>760000</v>
      </c>
      <c r="K411" s="7" t="str">
        <f>IFERROR(IF(B411&lt;&gt;"", TEXT(VLOOKUP(B411, 'Expected Date'!A:B, 2, FALSE) + DATE(RIGHT(C411,2),MID(C411,4,2),LEFT(C411,2)), "dd/mm/yy"), ""), "")</f>
        <v>05/07/23</v>
      </c>
      <c r="L411" t="s">
        <v>38</v>
      </c>
      <c r="M411" t="s">
        <v>39</v>
      </c>
      <c r="N411" t="s">
        <v>364</v>
      </c>
      <c r="O411" t="s">
        <v>72</v>
      </c>
      <c r="P411">
        <v>23290554</v>
      </c>
      <c r="Q411" t="s">
        <v>362</v>
      </c>
      <c r="R411" t="s">
        <v>363</v>
      </c>
      <c r="S411">
        <v>70</v>
      </c>
      <c r="T411">
        <v>1900</v>
      </c>
      <c r="U411">
        <v>133000</v>
      </c>
      <c r="V411" t="str">
        <f t="shared" si="106"/>
        <v>Dahej</v>
      </c>
      <c r="W411" t="str">
        <f>VLOOKUP(B411, Currency!A:B, 2, FALSE)</f>
        <v>INR</v>
      </c>
      <c r="X411" t="str">
        <f t="shared" si="107"/>
        <v>Accepted</v>
      </c>
      <c r="Y411">
        <f>IFERROR(VLOOKUP(N411, Payment_Terms!A:B, 2, FALSE), "Payment term not found!")</f>
        <v>30</v>
      </c>
      <c r="Z411" t="str">
        <f>IFERROR(VLOOKUP(R411, Item_Category!A:B, 2, FALSE), "Uncategorized")</f>
        <v>Pallets</v>
      </c>
      <c r="AA411" s="5">
        <f t="shared" si="111"/>
        <v>0</v>
      </c>
      <c r="AB411">
        <f t="shared" si="112"/>
        <v>5</v>
      </c>
      <c r="AC411" s="10">
        <f t="shared" si="113"/>
        <v>-12</v>
      </c>
      <c r="AD411">
        <f t="shared" si="114"/>
        <v>5</v>
      </c>
      <c r="AE411" s="10">
        <f t="shared" si="115"/>
        <v>3</v>
      </c>
      <c r="AF411" s="5">
        <f t="shared" si="108"/>
        <v>1</v>
      </c>
      <c r="AG411" s="5">
        <f t="shared" si="109"/>
        <v>1</v>
      </c>
      <c r="AH411" s="5">
        <f t="shared" si="116"/>
        <v>0</v>
      </c>
      <c r="AI411">
        <f>IF(B411&lt;&gt;"", COUNTIFS($B$2:B411, B411), "")</f>
        <v>18</v>
      </c>
      <c r="AJ411">
        <f t="shared" si="117"/>
        <v>5</v>
      </c>
      <c r="AK411">
        <f t="shared" si="110"/>
        <v>5</v>
      </c>
      <c r="AL411">
        <f t="shared" si="118"/>
        <v>6</v>
      </c>
      <c r="AM411" t="str">
        <f t="shared" si="119"/>
        <v>June</v>
      </c>
      <c r="AN411">
        <f t="shared" si="120"/>
        <v>2023</v>
      </c>
      <c r="AO411" t="str">
        <f t="shared" si="121"/>
        <v>&gt;3</v>
      </c>
      <c r="AP411" t="str">
        <f t="shared" si="122"/>
        <v>&gt;3</v>
      </c>
      <c r="AQ411" t="str">
        <f t="shared" si="123"/>
        <v>&gt;3</v>
      </c>
    </row>
    <row r="412" spans="1:43" x14ac:dyDescent="0.3">
      <c r="A412" t="s">
        <v>33</v>
      </c>
      <c r="B412" t="s">
        <v>347</v>
      </c>
      <c r="C412" t="s">
        <v>275</v>
      </c>
      <c r="D412">
        <v>2411</v>
      </c>
      <c r="E412">
        <v>23210270</v>
      </c>
      <c r="F412" t="s">
        <v>349</v>
      </c>
      <c r="G412" t="s">
        <v>350</v>
      </c>
      <c r="H412">
        <v>24</v>
      </c>
      <c r="I412">
        <v>45070</v>
      </c>
      <c r="J412">
        <v>1081680</v>
      </c>
      <c r="K412" s="7" t="str">
        <f>IFERROR(IF(B412&lt;&gt;"", TEXT(VLOOKUP(B412, 'Expected Date'!A:B, 2, FALSE) + DATE(RIGHT(C412,2),MID(C412,4,2),LEFT(C412,2)), "dd/mm/yy"), ""), "")</f>
        <v>13/06/23</v>
      </c>
      <c r="L412" t="s">
        <v>68</v>
      </c>
      <c r="M412" t="s">
        <v>48</v>
      </c>
      <c r="N412" t="s">
        <v>351</v>
      </c>
      <c r="O412" t="s">
        <v>329</v>
      </c>
      <c r="P412">
        <v>23290590</v>
      </c>
      <c r="Q412" t="s">
        <v>349</v>
      </c>
      <c r="R412" t="s">
        <v>350</v>
      </c>
      <c r="S412">
        <v>23.51</v>
      </c>
      <c r="T412">
        <v>45070</v>
      </c>
      <c r="U412">
        <v>1059595.7</v>
      </c>
      <c r="V412" t="str">
        <f t="shared" si="106"/>
        <v>Dahej</v>
      </c>
      <c r="W412" t="str">
        <f>VLOOKUP(B412, Currency!A:B, 2, FALSE)</f>
        <v>INR</v>
      </c>
      <c r="X412" t="str">
        <f t="shared" si="107"/>
        <v>Accepted</v>
      </c>
      <c r="Y412">
        <f>IFERROR(VLOOKUP(N412, Payment_Terms!A:B, 2, FALSE), "Payment term not found!")</f>
        <v>0</v>
      </c>
      <c r="Z412" t="str">
        <f>IFERROR(VLOOKUP(R412, Item_Category!A:B, 2, FALSE), "Uncategorized")</f>
        <v>Oil</v>
      </c>
      <c r="AA412" s="5">
        <f t="shared" si="111"/>
        <v>2.04166666666666E-2</v>
      </c>
      <c r="AB412">
        <f t="shared" si="112"/>
        <v>3</v>
      </c>
      <c r="AC412" s="10">
        <f t="shared" si="113"/>
        <v>12</v>
      </c>
      <c r="AD412">
        <f t="shared" si="114"/>
        <v>1</v>
      </c>
      <c r="AE412" s="10">
        <f t="shared" si="115"/>
        <v>13</v>
      </c>
      <c r="AF412" s="5">
        <f t="shared" si="108"/>
        <v>1</v>
      </c>
      <c r="AG412" s="5">
        <f t="shared" si="109"/>
        <v>1</v>
      </c>
      <c r="AH412" s="5">
        <f t="shared" si="116"/>
        <v>0</v>
      </c>
      <c r="AI412">
        <f>IF(B412&lt;&gt;"", COUNTIFS($B$2:B412, B412), "")</f>
        <v>5</v>
      </c>
      <c r="AJ412">
        <f t="shared" si="117"/>
        <v>5</v>
      </c>
      <c r="AK412">
        <f t="shared" si="110"/>
        <v>4</v>
      </c>
      <c r="AL412">
        <f t="shared" si="118"/>
        <v>6</v>
      </c>
      <c r="AM412" t="str">
        <f t="shared" si="119"/>
        <v>June</v>
      </c>
      <c r="AN412">
        <f t="shared" si="120"/>
        <v>2023</v>
      </c>
      <c r="AO412" t="str">
        <f t="shared" si="121"/>
        <v>&gt;3</v>
      </c>
      <c r="AP412" t="str">
        <f t="shared" si="122"/>
        <v>&lt;=3</v>
      </c>
      <c r="AQ412" t="str">
        <f t="shared" si="123"/>
        <v>&lt;=3</v>
      </c>
    </row>
    <row r="413" spans="1:43" x14ac:dyDescent="0.3">
      <c r="A413" t="s">
        <v>33</v>
      </c>
      <c r="B413" t="s">
        <v>347</v>
      </c>
      <c r="C413" t="s">
        <v>439</v>
      </c>
      <c r="D413">
        <v>1409</v>
      </c>
      <c r="E413">
        <v>23210048</v>
      </c>
      <c r="F413" t="s">
        <v>349</v>
      </c>
      <c r="G413" t="s">
        <v>350</v>
      </c>
      <c r="H413">
        <v>24</v>
      </c>
      <c r="I413">
        <v>46610</v>
      </c>
      <c r="J413">
        <v>1118640</v>
      </c>
      <c r="K413" s="7" t="str">
        <f>IFERROR(IF(B413&lt;&gt;"", TEXT(VLOOKUP(B413, 'Expected Date'!A:B, 2, FALSE) + DATE(RIGHT(C413,2),MID(C413,4,2),LEFT(C413,2)), "dd/mm/yy"), ""), "")</f>
        <v>21/04/23</v>
      </c>
      <c r="L413" t="s">
        <v>68</v>
      </c>
      <c r="M413" t="s">
        <v>48</v>
      </c>
      <c r="N413" t="s">
        <v>351</v>
      </c>
      <c r="O413" t="s">
        <v>35</v>
      </c>
      <c r="P413">
        <v>23290147</v>
      </c>
      <c r="Q413" t="s">
        <v>349</v>
      </c>
      <c r="R413" t="s">
        <v>350</v>
      </c>
      <c r="S413">
        <v>23.95</v>
      </c>
      <c r="T413">
        <v>46610</v>
      </c>
      <c r="U413">
        <v>1116309.5</v>
      </c>
      <c r="V413" t="str">
        <f t="shared" si="106"/>
        <v>Dahej</v>
      </c>
      <c r="W413" t="str">
        <f>VLOOKUP(B413, Currency!A:B, 2, FALSE)</f>
        <v>INR</v>
      </c>
      <c r="X413" t="str">
        <f t="shared" si="107"/>
        <v>Accepted</v>
      </c>
      <c r="Y413">
        <f>IFERROR(VLOOKUP(N413, Payment_Terms!A:B, 2, FALSE), "Payment term not found!")</f>
        <v>0</v>
      </c>
      <c r="Z413" t="str">
        <f>IFERROR(VLOOKUP(R413, Item_Category!A:B, 2, FALSE), "Uncategorized")</f>
        <v>Oil</v>
      </c>
      <c r="AA413" s="5">
        <f t="shared" si="111"/>
        <v>2.0833333333333628E-3</v>
      </c>
      <c r="AB413">
        <f t="shared" si="112"/>
        <v>4</v>
      </c>
      <c r="AC413" s="10">
        <f t="shared" si="113"/>
        <v>6</v>
      </c>
      <c r="AD413">
        <f t="shared" si="114"/>
        <v>3</v>
      </c>
      <c r="AE413" s="10">
        <f t="shared" si="115"/>
        <v>7</v>
      </c>
      <c r="AF413" s="5">
        <f t="shared" si="108"/>
        <v>1</v>
      </c>
      <c r="AG413" s="5">
        <f t="shared" si="109"/>
        <v>1</v>
      </c>
      <c r="AH413" s="5">
        <f t="shared" si="116"/>
        <v>0</v>
      </c>
      <c r="AI413">
        <f>IF(B413&lt;&gt;"", COUNTIFS($B$2:B413, B413), "")</f>
        <v>6</v>
      </c>
      <c r="AJ413">
        <f t="shared" si="117"/>
        <v>5</v>
      </c>
      <c r="AK413">
        <f t="shared" si="110"/>
        <v>5</v>
      </c>
      <c r="AL413">
        <f t="shared" si="118"/>
        <v>4</v>
      </c>
      <c r="AM413" t="str">
        <f t="shared" si="119"/>
        <v>April</v>
      </c>
      <c r="AN413">
        <f t="shared" si="120"/>
        <v>2023</v>
      </c>
      <c r="AO413" t="str">
        <f t="shared" si="121"/>
        <v>&gt;3</v>
      </c>
      <c r="AP413" t="str">
        <f t="shared" si="122"/>
        <v>&gt;3</v>
      </c>
      <c r="AQ413" t="str">
        <f t="shared" si="123"/>
        <v>&lt;=3</v>
      </c>
    </row>
    <row r="414" spans="1:43" x14ac:dyDescent="0.3">
      <c r="A414" t="s">
        <v>33</v>
      </c>
      <c r="B414" t="s">
        <v>366</v>
      </c>
      <c r="C414" t="s">
        <v>477</v>
      </c>
      <c r="D414">
        <v>1551</v>
      </c>
      <c r="E414">
        <v>23210088</v>
      </c>
      <c r="F414" t="s">
        <v>392</v>
      </c>
      <c r="G414" t="s">
        <v>393</v>
      </c>
      <c r="H414">
        <v>50</v>
      </c>
      <c r="I414">
        <v>11000</v>
      </c>
      <c r="J414">
        <v>550000</v>
      </c>
      <c r="K414" s="7" t="str">
        <f>IFERROR(IF(B414&lt;&gt;"", TEXT(VLOOKUP(B414, 'Expected Date'!A:B, 2, FALSE) + DATE(RIGHT(C414,2),MID(C414,4,2),LEFT(C414,2)), "dd/mm/yy"), ""), "")</f>
        <v>28/04/23</v>
      </c>
      <c r="L414" t="s">
        <v>38</v>
      </c>
      <c r="M414" t="s">
        <v>48</v>
      </c>
      <c r="N414" t="s">
        <v>370</v>
      </c>
      <c r="O414" t="s">
        <v>35</v>
      </c>
      <c r="P414">
        <v>23290148</v>
      </c>
      <c r="Q414" t="s">
        <v>392</v>
      </c>
      <c r="R414" t="s">
        <v>393</v>
      </c>
      <c r="S414">
        <v>28.425000000000001</v>
      </c>
      <c r="T414">
        <v>11000</v>
      </c>
      <c r="U414">
        <v>312675</v>
      </c>
      <c r="V414" t="str">
        <f t="shared" ref="V414:X477" si="124">V413</f>
        <v>Dahej</v>
      </c>
      <c r="W414" t="str">
        <f>VLOOKUP(B414, Currency!A:B, 2, FALSE)</f>
        <v>INR</v>
      </c>
      <c r="X414" t="str">
        <f t="shared" si="124"/>
        <v>Accepted</v>
      </c>
      <c r="Y414">
        <f>IFERROR(VLOOKUP(N414, Payment_Terms!A:B, 2, FALSE), "Payment term not found!")</f>
        <v>15</v>
      </c>
      <c r="Z414" t="str">
        <f>IFERROR(VLOOKUP(R414, Item_Category!A:B, 2, FALSE), "Uncategorized")</f>
        <v>Coal materials</v>
      </c>
      <c r="AA414" s="5">
        <f t="shared" si="111"/>
        <v>0</v>
      </c>
      <c r="AB414">
        <f t="shared" si="112"/>
        <v>5</v>
      </c>
      <c r="AC414" s="10">
        <f t="shared" si="113"/>
        <v>-1</v>
      </c>
      <c r="AD414">
        <f t="shared" si="114"/>
        <v>5</v>
      </c>
      <c r="AE414" s="10">
        <f t="shared" si="115"/>
        <v>1</v>
      </c>
      <c r="AF414" s="5">
        <f t="shared" si="108"/>
        <v>1</v>
      </c>
      <c r="AG414" s="5">
        <f t="shared" si="109"/>
        <v>1</v>
      </c>
      <c r="AH414" s="5">
        <f t="shared" si="116"/>
        <v>0</v>
      </c>
      <c r="AI414">
        <f>IF(B414&lt;&gt;"", COUNTIFS($B$2:B414, B414), "")</f>
        <v>28</v>
      </c>
      <c r="AJ414">
        <f t="shared" si="117"/>
        <v>5</v>
      </c>
      <c r="AK414">
        <f t="shared" si="110"/>
        <v>5</v>
      </c>
      <c r="AL414">
        <f t="shared" si="118"/>
        <v>4</v>
      </c>
      <c r="AM414" t="str">
        <f t="shared" si="119"/>
        <v>April</v>
      </c>
      <c r="AN414">
        <f t="shared" si="120"/>
        <v>2023</v>
      </c>
      <c r="AO414" t="str">
        <f t="shared" si="121"/>
        <v>&gt;3</v>
      </c>
      <c r="AP414" t="str">
        <f t="shared" si="122"/>
        <v>&gt;3</v>
      </c>
      <c r="AQ414" t="str">
        <f t="shared" si="123"/>
        <v>&gt;3</v>
      </c>
    </row>
    <row r="415" spans="1:43" x14ac:dyDescent="0.3">
      <c r="A415" t="s">
        <v>33</v>
      </c>
      <c r="B415" t="s">
        <v>347</v>
      </c>
      <c r="C415" t="s">
        <v>146</v>
      </c>
      <c r="D415">
        <v>1743</v>
      </c>
      <c r="E415">
        <v>23210136</v>
      </c>
      <c r="F415" t="s">
        <v>349</v>
      </c>
      <c r="G415" t="s">
        <v>350</v>
      </c>
      <c r="H415">
        <v>24</v>
      </c>
      <c r="I415">
        <v>47510</v>
      </c>
      <c r="J415">
        <v>1140240</v>
      </c>
      <c r="K415" s="7" t="str">
        <f>IFERROR(IF(B415&lt;&gt;"", TEXT(VLOOKUP(B415, 'Expected Date'!A:B, 2, FALSE) + DATE(RIGHT(C415,2),MID(C415,4,2),LEFT(C415,2)), "dd/mm/yy"), ""), "")</f>
        <v>10/05/23</v>
      </c>
      <c r="L415" t="s">
        <v>68</v>
      </c>
      <c r="M415" t="s">
        <v>48</v>
      </c>
      <c r="N415" t="s">
        <v>351</v>
      </c>
      <c r="O415" t="s">
        <v>223</v>
      </c>
      <c r="P415">
        <v>23290327</v>
      </c>
      <c r="Q415" t="s">
        <v>349</v>
      </c>
      <c r="R415" t="s">
        <v>350</v>
      </c>
      <c r="S415">
        <v>23.97</v>
      </c>
      <c r="T415">
        <v>47510</v>
      </c>
      <c r="U415">
        <v>1138814.7</v>
      </c>
      <c r="V415" t="str">
        <f t="shared" si="124"/>
        <v>Dahej</v>
      </c>
      <c r="W415" t="str">
        <f>VLOOKUP(B415, Currency!A:B, 2, FALSE)</f>
        <v>INR</v>
      </c>
      <c r="X415" t="str">
        <f t="shared" si="124"/>
        <v>Accepted</v>
      </c>
      <c r="Y415">
        <f>IFERROR(VLOOKUP(N415, Payment_Terms!A:B, 2, FALSE), "Payment term not found!")</f>
        <v>0</v>
      </c>
      <c r="Z415" t="str">
        <f>IFERROR(VLOOKUP(R415, Item_Category!A:B, 2, FALSE), "Uncategorized")</f>
        <v>Oil</v>
      </c>
      <c r="AA415" s="5">
        <f t="shared" si="111"/>
        <v>1.2500000000000473E-3</v>
      </c>
      <c r="AB415">
        <f t="shared" si="112"/>
        <v>4</v>
      </c>
      <c r="AC415" s="10">
        <f t="shared" si="113"/>
        <v>7</v>
      </c>
      <c r="AD415">
        <f t="shared" si="114"/>
        <v>3</v>
      </c>
      <c r="AE415" s="10">
        <f t="shared" si="115"/>
        <v>8</v>
      </c>
      <c r="AF415" s="5">
        <f t="shared" si="108"/>
        <v>1</v>
      </c>
      <c r="AG415" s="5">
        <f t="shared" si="109"/>
        <v>1</v>
      </c>
      <c r="AH415" s="5">
        <f t="shared" si="116"/>
        <v>0</v>
      </c>
      <c r="AI415">
        <f>IF(B415&lt;&gt;"", COUNTIFS($B$2:B415, B415), "")</f>
        <v>7</v>
      </c>
      <c r="AJ415">
        <f t="shared" si="117"/>
        <v>5</v>
      </c>
      <c r="AK415">
        <f t="shared" si="110"/>
        <v>5</v>
      </c>
      <c r="AL415">
        <f t="shared" si="118"/>
        <v>5</v>
      </c>
      <c r="AM415" t="str">
        <f t="shared" si="119"/>
        <v>May</v>
      </c>
      <c r="AN415">
        <f t="shared" si="120"/>
        <v>2023</v>
      </c>
      <c r="AO415" t="str">
        <f t="shared" si="121"/>
        <v>&gt;3</v>
      </c>
      <c r="AP415" t="str">
        <f t="shared" si="122"/>
        <v>&gt;3</v>
      </c>
      <c r="AQ415" t="str">
        <f t="shared" si="123"/>
        <v>&lt;=3</v>
      </c>
    </row>
    <row r="416" spans="1:43" x14ac:dyDescent="0.3">
      <c r="A416" t="s">
        <v>33</v>
      </c>
      <c r="B416" t="str">
        <f>B284</f>
        <v>Ami Enterprises</v>
      </c>
      <c r="C416" t="s">
        <v>116</v>
      </c>
      <c r="D416">
        <v>3235</v>
      </c>
      <c r="E416">
        <v>23210437</v>
      </c>
      <c r="F416" t="s">
        <v>460</v>
      </c>
      <c r="G416" t="s">
        <v>461</v>
      </c>
      <c r="H416">
        <v>15000</v>
      </c>
      <c r="I416">
        <v>33.5</v>
      </c>
      <c r="J416">
        <v>502500</v>
      </c>
      <c r="K416" s="7" t="str">
        <f>IFERROR(IF(B416&lt;&gt;"", TEXT(VLOOKUP(B416, 'Expected Date'!A:B, 2, FALSE) + DATE(RIGHT(C416,2),MID(C416,4,2),LEFT(C416,2)), "dd/mm/yy"), ""), "")</f>
        <v>28/07/23</v>
      </c>
      <c r="L416" t="s">
        <v>68</v>
      </c>
      <c r="M416" t="s">
        <v>39</v>
      </c>
      <c r="N416" t="s">
        <v>342</v>
      </c>
      <c r="O416" t="s">
        <v>478</v>
      </c>
      <c r="P416">
        <v>23290838</v>
      </c>
      <c r="Q416" t="s">
        <v>460</v>
      </c>
      <c r="R416" t="s">
        <v>461</v>
      </c>
      <c r="S416">
        <v>10623</v>
      </c>
      <c r="T416">
        <v>33.5</v>
      </c>
      <c r="U416">
        <v>355870.5</v>
      </c>
      <c r="V416" t="str">
        <f t="shared" si="124"/>
        <v>Dahej</v>
      </c>
      <c r="W416" t="str">
        <f>VLOOKUP(B416, Currency!A:B, 2, FALSE)</f>
        <v>INR</v>
      </c>
      <c r="X416" t="str">
        <f t="shared" si="124"/>
        <v>Accepted</v>
      </c>
      <c r="Y416">
        <f>IFERROR(VLOOKUP(N416, Payment_Terms!A:B, 2, FALSE), "Payment term not found!")</f>
        <v>30</v>
      </c>
      <c r="Z416" t="str">
        <f>IFERROR(VLOOKUP(R416, Item_Category!A:B, 2, FALSE), "Uncategorized")</f>
        <v>Bags</v>
      </c>
      <c r="AA416" s="5">
        <f t="shared" si="111"/>
        <v>0.2918</v>
      </c>
      <c r="AB416">
        <f t="shared" si="112"/>
        <v>1</v>
      </c>
      <c r="AC416" s="10">
        <f t="shared" si="113"/>
        <v>-7</v>
      </c>
      <c r="AD416">
        <f t="shared" si="114"/>
        <v>5</v>
      </c>
      <c r="AE416" s="10">
        <f t="shared" si="115"/>
        <v>3</v>
      </c>
      <c r="AF416" s="5">
        <f t="shared" si="108"/>
        <v>1</v>
      </c>
      <c r="AG416" s="5">
        <f t="shared" si="109"/>
        <v>1</v>
      </c>
      <c r="AH416" s="5">
        <f t="shared" si="116"/>
        <v>0</v>
      </c>
      <c r="AI416">
        <f>IF(B416&lt;&gt;"", COUNTIFS($B$2:B416, B416), "")</f>
        <v>26</v>
      </c>
      <c r="AJ416">
        <f t="shared" si="117"/>
        <v>5</v>
      </c>
      <c r="AK416">
        <f t="shared" si="110"/>
        <v>4</v>
      </c>
      <c r="AL416">
        <f t="shared" si="118"/>
        <v>7</v>
      </c>
      <c r="AM416" t="str">
        <f t="shared" si="119"/>
        <v>July</v>
      </c>
      <c r="AN416">
        <f t="shared" si="120"/>
        <v>2023</v>
      </c>
      <c r="AO416" t="str">
        <f t="shared" si="121"/>
        <v>&gt;3</v>
      </c>
      <c r="AP416" t="str">
        <f t="shared" si="122"/>
        <v>&lt;=3</v>
      </c>
      <c r="AQ416" t="str">
        <f t="shared" si="123"/>
        <v>&gt;3</v>
      </c>
    </row>
    <row r="417" spans="1:43" x14ac:dyDescent="0.3">
      <c r="A417" t="s">
        <v>33</v>
      </c>
      <c r="B417" t="s">
        <v>366</v>
      </c>
      <c r="C417" t="s">
        <v>56</v>
      </c>
      <c r="D417">
        <v>3584</v>
      </c>
      <c r="E417">
        <v>23210509</v>
      </c>
      <c r="F417" t="s">
        <v>392</v>
      </c>
      <c r="G417" t="s">
        <v>393</v>
      </c>
      <c r="H417">
        <v>100</v>
      </c>
      <c r="I417">
        <v>9850</v>
      </c>
      <c r="J417">
        <v>985000</v>
      </c>
      <c r="K417" s="7" t="str">
        <f>IFERROR(IF(B417&lt;&gt;"", TEXT(VLOOKUP(B417, 'Expected Date'!A:B, 2, FALSE) + DATE(RIGHT(C417,2),MID(C417,4,2),LEFT(C417,2)), "dd/mm/yy"), ""), "")</f>
        <v>06/08/23</v>
      </c>
      <c r="L417" t="s">
        <v>68</v>
      </c>
      <c r="M417" t="s">
        <v>48</v>
      </c>
      <c r="N417" t="s">
        <v>370</v>
      </c>
      <c r="O417" t="s">
        <v>207</v>
      </c>
      <c r="P417">
        <v>23291076</v>
      </c>
      <c r="Q417" t="s">
        <v>392</v>
      </c>
      <c r="R417" t="s">
        <v>393</v>
      </c>
      <c r="S417">
        <v>29.94</v>
      </c>
      <c r="T417">
        <v>9850</v>
      </c>
      <c r="U417">
        <v>294909</v>
      </c>
      <c r="V417" t="str">
        <f t="shared" si="124"/>
        <v>Dahej</v>
      </c>
      <c r="W417" t="str">
        <f>VLOOKUP(B417, Currency!A:B, 2, FALSE)</f>
        <v>INR</v>
      </c>
      <c r="X417" t="str">
        <f t="shared" si="124"/>
        <v>Accepted</v>
      </c>
      <c r="Y417">
        <f>IFERROR(VLOOKUP(N417, Payment_Terms!A:B, 2, FALSE), "Payment term not found!")</f>
        <v>15</v>
      </c>
      <c r="Z417" t="str">
        <f>IFERROR(VLOOKUP(R417, Item_Category!A:B, 2, FALSE), "Uncategorized")</f>
        <v>Coal materials</v>
      </c>
      <c r="AA417" s="5">
        <f t="shared" si="111"/>
        <v>0.11530000000000001</v>
      </c>
      <c r="AB417">
        <f t="shared" si="112"/>
        <v>1</v>
      </c>
      <c r="AC417" s="10">
        <f t="shared" si="113"/>
        <v>7</v>
      </c>
      <c r="AD417">
        <f t="shared" si="114"/>
        <v>3</v>
      </c>
      <c r="AE417" s="10">
        <f t="shared" si="115"/>
        <v>9</v>
      </c>
      <c r="AF417" s="5">
        <f t="shared" si="108"/>
        <v>1</v>
      </c>
      <c r="AG417" s="5">
        <f t="shared" si="109"/>
        <v>1</v>
      </c>
      <c r="AH417" s="5">
        <f t="shared" si="116"/>
        <v>0</v>
      </c>
      <c r="AI417">
        <f>IF(B417&lt;&gt;"", COUNTIFS($B$2:B417, B417), "")</f>
        <v>29</v>
      </c>
      <c r="AJ417">
        <f t="shared" si="117"/>
        <v>5</v>
      </c>
      <c r="AK417">
        <f t="shared" si="110"/>
        <v>4</v>
      </c>
      <c r="AL417">
        <f t="shared" si="118"/>
        <v>8</v>
      </c>
      <c r="AM417" t="str">
        <f t="shared" si="119"/>
        <v>August</v>
      </c>
      <c r="AN417">
        <f t="shared" si="120"/>
        <v>2023</v>
      </c>
      <c r="AO417" t="str">
        <f t="shared" si="121"/>
        <v>&gt;3</v>
      </c>
      <c r="AP417" t="str">
        <f t="shared" si="122"/>
        <v>&lt;=3</v>
      </c>
      <c r="AQ417" t="str">
        <f t="shared" si="123"/>
        <v>&lt;=3</v>
      </c>
    </row>
    <row r="418" spans="1:43" x14ac:dyDescent="0.3">
      <c r="A418" t="s">
        <v>33</v>
      </c>
      <c r="B418" t="s">
        <v>382</v>
      </c>
      <c r="C418" t="s">
        <v>208</v>
      </c>
      <c r="D418">
        <v>3666</v>
      </c>
      <c r="E418">
        <v>23210533</v>
      </c>
      <c r="F418" t="s">
        <v>479</v>
      </c>
      <c r="G418" t="s">
        <v>480</v>
      </c>
      <c r="H418">
        <v>1500</v>
      </c>
      <c r="I418">
        <v>37</v>
      </c>
      <c r="J418">
        <v>55500</v>
      </c>
      <c r="K418" s="7" t="str">
        <f>IFERROR(IF(B418&lt;&gt;"", TEXT(VLOOKUP(B418, 'Expected Date'!A:B, 2, FALSE) + DATE(RIGHT(C418,2),MID(C418,4,2),LEFT(C418,2)), "dd/mm/yy"), ""), "")</f>
        <v>22/08/23</v>
      </c>
      <c r="L418" t="s">
        <v>38</v>
      </c>
      <c r="M418" t="s">
        <v>48</v>
      </c>
      <c r="N418" t="s">
        <v>342</v>
      </c>
      <c r="O418" t="s">
        <v>208</v>
      </c>
      <c r="P418">
        <v>23291078</v>
      </c>
      <c r="Q418" t="s">
        <v>479</v>
      </c>
      <c r="R418" t="s">
        <v>480</v>
      </c>
      <c r="S418">
        <v>1500</v>
      </c>
      <c r="T418">
        <v>37</v>
      </c>
      <c r="U418">
        <v>55500</v>
      </c>
      <c r="V418" t="str">
        <f t="shared" si="124"/>
        <v>Dahej</v>
      </c>
      <c r="W418" t="str">
        <f>VLOOKUP(B418, Currency!A:B, 2, FALSE)</f>
        <v>INR</v>
      </c>
      <c r="X418" t="str">
        <f t="shared" si="124"/>
        <v>Accepted</v>
      </c>
      <c r="Y418">
        <f>IFERROR(VLOOKUP(N418, Payment_Terms!A:B, 2, FALSE), "Payment term not found!")</f>
        <v>30</v>
      </c>
      <c r="Z418" t="str">
        <f>IFERROR(VLOOKUP(R418, Item_Category!A:B, 2, FALSE), "Uncategorized")</f>
        <v>Soda Ash</v>
      </c>
      <c r="AA418" s="5">
        <f t="shared" si="111"/>
        <v>0</v>
      </c>
      <c r="AB418">
        <f t="shared" si="112"/>
        <v>5</v>
      </c>
      <c r="AC418" s="10">
        <f t="shared" si="113"/>
        <v>-10</v>
      </c>
      <c r="AD418">
        <f t="shared" si="114"/>
        <v>5</v>
      </c>
      <c r="AE418" s="10">
        <f t="shared" si="115"/>
        <v>0</v>
      </c>
      <c r="AF418" s="5">
        <f t="shared" si="108"/>
        <v>1</v>
      </c>
      <c r="AG418" s="5">
        <f t="shared" si="109"/>
        <v>1</v>
      </c>
      <c r="AH418" s="5">
        <f t="shared" si="116"/>
        <v>0</v>
      </c>
      <c r="AI418">
        <f>IF(B418&lt;&gt;"", COUNTIFS($B$2:B418, B418), "")</f>
        <v>6</v>
      </c>
      <c r="AJ418">
        <f t="shared" si="117"/>
        <v>5</v>
      </c>
      <c r="AK418">
        <f t="shared" si="110"/>
        <v>5</v>
      </c>
      <c r="AL418">
        <f t="shared" si="118"/>
        <v>8</v>
      </c>
      <c r="AM418" t="str">
        <f t="shared" si="119"/>
        <v>August</v>
      </c>
      <c r="AN418">
        <f t="shared" si="120"/>
        <v>2023</v>
      </c>
      <c r="AO418" t="str">
        <f t="shared" si="121"/>
        <v>&gt;3</v>
      </c>
      <c r="AP418" t="str">
        <f t="shared" si="122"/>
        <v>&gt;3</v>
      </c>
      <c r="AQ418" t="str">
        <f t="shared" si="123"/>
        <v>&gt;3</v>
      </c>
    </row>
    <row r="419" spans="1:43" x14ac:dyDescent="0.3">
      <c r="A419" t="s">
        <v>33</v>
      </c>
      <c r="B419" t="s">
        <v>366</v>
      </c>
      <c r="C419" t="s">
        <v>367</v>
      </c>
      <c r="D419">
        <v>2422</v>
      </c>
      <c r="E419">
        <v>23210274</v>
      </c>
      <c r="F419" t="s">
        <v>392</v>
      </c>
      <c r="G419" t="s">
        <v>393</v>
      </c>
      <c r="H419">
        <v>150</v>
      </c>
      <c r="I419">
        <v>11000</v>
      </c>
      <c r="J419">
        <v>1650000</v>
      </c>
      <c r="K419" s="7" t="str">
        <f>IFERROR(IF(B419&lt;&gt;"", TEXT(VLOOKUP(B419, 'Expected Date'!A:B, 2, FALSE) + DATE(RIGHT(C419,2),MID(C419,4,2),LEFT(C419,2)), "dd/mm/yy"), ""), "")</f>
        <v>31/05/23</v>
      </c>
      <c r="L419" t="s">
        <v>68</v>
      </c>
      <c r="M419" t="s">
        <v>48</v>
      </c>
      <c r="N419" t="s">
        <v>370</v>
      </c>
      <c r="O419" t="s">
        <v>257</v>
      </c>
      <c r="P419">
        <v>23290626</v>
      </c>
      <c r="Q419" t="s">
        <v>392</v>
      </c>
      <c r="R419" t="s">
        <v>393</v>
      </c>
      <c r="S419">
        <v>30.86</v>
      </c>
      <c r="T419">
        <v>11000</v>
      </c>
      <c r="U419">
        <v>339460</v>
      </c>
      <c r="V419" t="str">
        <f t="shared" si="124"/>
        <v>Dahej</v>
      </c>
      <c r="W419" t="str">
        <f>VLOOKUP(B419, Currency!A:B, 2, FALSE)</f>
        <v>INR</v>
      </c>
      <c r="X419" t="str">
        <f t="shared" si="124"/>
        <v>Accepted</v>
      </c>
      <c r="Y419">
        <f>IFERROR(VLOOKUP(N419, Payment_Terms!A:B, 2, FALSE), "Payment term not found!")</f>
        <v>15</v>
      </c>
      <c r="Z419" t="str">
        <f>IFERROR(VLOOKUP(R419, Item_Category!A:B, 2, FALSE), "Uncategorized")</f>
        <v>Coal materials</v>
      </c>
      <c r="AA419" s="5">
        <f t="shared" si="111"/>
        <v>0</v>
      </c>
      <c r="AB419">
        <f t="shared" si="112"/>
        <v>5</v>
      </c>
      <c r="AC419" s="10">
        <f t="shared" si="113"/>
        <v>27</v>
      </c>
      <c r="AD419">
        <f t="shared" si="114"/>
        <v>1</v>
      </c>
      <c r="AE419" s="10">
        <f t="shared" si="115"/>
        <v>29</v>
      </c>
      <c r="AF419" s="5">
        <f t="shared" si="108"/>
        <v>1</v>
      </c>
      <c r="AG419" s="5">
        <f t="shared" si="109"/>
        <v>1</v>
      </c>
      <c r="AH419" s="5">
        <f t="shared" si="116"/>
        <v>0</v>
      </c>
      <c r="AI419">
        <f>IF(B419&lt;&gt;"", COUNTIFS($B$2:B419, B419), "")</f>
        <v>30</v>
      </c>
      <c r="AJ419">
        <f t="shared" si="117"/>
        <v>5</v>
      </c>
      <c r="AK419">
        <f t="shared" si="110"/>
        <v>4</v>
      </c>
      <c r="AL419">
        <f t="shared" si="118"/>
        <v>5</v>
      </c>
      <c r="AM419" t="str">
        <f t="shared" si="119"/>
        <v>May</v>
      </c>
      <c r="AN419">
        <f t="shared" si="120"/>
        <v>2023</v>
      </c>
      <c r="AO419" t="str">
        <f t="shared" si="121"/>
        <v>&gt;3</v>
      </c>
      <c r="AP419" t="str">
        <f t="shared" si="122"/>
        <v>&gt;3</v>
      </c>
      <c r="AQ419" t="str">
        <f t="shared" si="123"/>
        <v>&lt;=3</v>
      </c>
    </row>
    <row r="420" spans="1:43" x14ac:dyDescent="0.3">
      <c r="A420" t="s">
        <v>33</v>
      </c>
      <c r="B420" t="s">
        <v>122</v>
      </c>
      <c r="C420" t="s">
        <v>416</v>
      </c>
      <c r="D420">
        <v>2054</v>
      </c>
      <c r="E420">
        <v>23210173</v>
      </c>
      <c r="F420" t="s">
        <v>405</v>
      </c>
      <c r="G420" t="s">
        <v>406</v>
      </c>
      <c r="H420">
        <v>600</v>
      </c>
      <c r="I420">
        <v>930</v>
      </c>
      <c r="J420">
        <v>558000</v>
      </c>
      <c r="K420" s="7" t="str">
        <f>IFERROR(IF(B420&lt;&gt;"", TEXT(VLOOKUP(B420, 'Expected Date'!A:B, 2, FALSE) + DATE(RIGHT(C420,2),MID(C420,4,2),LEFT(C420,2)), "dd/mm/yy"), ""), "")</f>
        <v>04/06/23</v>
      </c>
      <c r="L420" t="s">
        <v>38</v>
      </c>
      <c r="M420" t="s">
        <v>48</v>
      </c>
      <c r="N420" t="s">
        <v>364</v>
      </c>
      <c r="O420" t="s">
        <v>139</v>
      </c>
      <c r="P420">
        <v>23290627</v>
      </c>
      <c r="Q420" t="s">
        <v>405</v>
      </c>
      <c r="R420" t="s">
        <v>406</v>
      </c>
      <c r="S420">
        <v>180</v>
      </c>
      <c r="T420">
        <v>930</v>
      </c>
      <c r="U420">
        <v>167400</v>
      </c>
      <c r="V420" t="str">
        <f t="shared" si="124"/>
        <v>Dahej</v>
      </c>
      <c r="W420" t="str">
        <f>VLOOKUP(B420, Currency!A:B, 2, FALSE)</f>
        <v>INR</v>
      </c>
      <c r="X420" t="str">
        <f t="shared" si="124"/>
        <v>Accepted</v>
      </c>
      <c r="Y420">
        <f>IFERROR(VLOOKUP(N420, Payment_Terms!A:B, 2, FALSE), "Payment term not found!")</f>
        <v>30</v>
      </c>
      <c r="Z420" t="str">
        <f>IFERROR(VLOOKUP(R420, Item_Category!A:B, 2, FALSE), "Uncategorized")</f>
        <v>Pallets</v>
      </c>
      <c r="AA420" s="5">
        <f t="shared" si="111"/>
        <v>0</v>
      </c>
      <c r="AB420">
        <f t="shared" si="112"/>
        <v>5</v>
      </c>
      <c r="AC420" s="10">
        <f t="shared" si="113"/>
        <v>24</v>
      </c>
      <c r="AD420">
        <f t="shared" si="114"/>
        <v>1</v>
      </c>
      <c r="AE420" s="10">
        <f t="shared" si="115"/>
        <v>39</v>
      </c>
      <c r="AF420" s="5">
        <f t="shared" si="108"/>
        <v>1</v>
      </c>
      <c r="AG420" s="5">
        <f t="shared" si="109"/>
        <v>1</v>
      </c>
      <c r="AH420" s="5">
        <f t="shared" si="116"/>
        <v>0</v>
      </c>
      <c r="AI420">
        <f>IF(B420&lt;&gt;"", COUNTIFS($B$2:B420, B420), "")</f>
        <v>19</v>
      </c>
      <c r="AJ420">
        <f t="shared" si="117"/>
        <v>5</v>
      </c>
      <c r="AK420">
        <f t="shared" si="110"/>
        <v>4</v>
      </c>
      <c r="AL420">
        <f t="shared" si="118"/>
        <v>5</v>
      </c>
      <c r="AM420" t="str">
        <f t="shared" si="119"/>
        <v>May</v>
      </c>
      <c r="AN420">
        <f t="shared" si="120"/>
        <v>2023</v>
      </c>
      <c r="AO420" t="str">
        <f t="shared" si="121"/>
        <v>&gt;3</v>
      </c>
      <c r="AP420" t="str">
        <f t="shared" si="122"/>
        <v>&gt;3</v>
      </c>
      <c r="AQ420" t="str">
        <f t="shared" si="123"/>
        <v>&lt;=3</v>
      </c>
    </row>
    <row r="421" spans="1:43" x14ac:dyDescent="0.3">
      <c r="A421" t="s">
        <v>111</v>
      </c>
      <c r="B421" t="s">
        <v>309</v>
      </c>
      <c r="C421" t="s">
        <v>174</v>
      </c>
      <c r="D421">
        <v>1896</v>
      </c>
      <c r="E421">
        <v>23220020</v>
      </c>
      <c r="F421" t="s">
        <v>375</v>
      </c>
      <c r="G421" t="s">
        <v>311</v>
      </c>
      <c r="H421">
        <v>4000</v>
      </c>
      <c r="I421">
        <v>310</v>
      </c>
      <c r="J421">
        <v>1240000</v>
      </c>
      <c r="K421" s="7" t="str">
        <f>IFERROR(IF(B421&lt;&gt;"", TEXT(VLOOKUP(B421, 'Expected Date'!A:B, 2, FALSE) + DATE(RIGHT(C421,2),MID(C421,4,2),LEFT(C421,2)), "dd/mm/yy"), ""), "")</f>
        <v>26/05/23</v>
      </c>
      <c r="L421" t="s">
        <v>38</v>
      </c>
      <c r="M421" t="s">
        <v>48</v>
      </c>
      <c r="N421" t="s">
        <v>377</v>
      </c>
      <c r="O421" t="s">
        <v>138</v>
      </c>
      <c r="P421">
        <v>23290630</v>
      </c>
      <c r="Q421" t="s">
        <v>375</v>
      </c>
      <c r="R421" t="s">
        <v>311</v>
      </c>
      <c r="S421">
        <v>4000</v>
      </c>
      <c r="T421">
        <v>310</v>
      </c>
      <c r="U421">
        <v>1240000</v>
      </c>
      <c r="V421" t="str">
        <f t="shared" si="124"/>
        <v>Dahej</v>
      </c>
      <c r="W421" t="str">
        <f>VLOOKUP(B421, Currency!A:B, 2, FALSE)</f>
        <v>INR</v>
      </c>
      <c r="X421" t="s">
        <v>481</v>
      </c>
      <c r="Y421">
        <f>IFERROR(VLOOKUP(N421, Payment_Terms!A:B, 2, FALSE), "Payment term not found!")</f>
        <v>30</v>
      </c>
      <c r="Z421" t="str">
        <f>IFERROR(VLOOKUP(R421, Item_Category!A:B, 2, FALSE), "Uncategorized")</f>
        <v>CROSSCARMELLOSE SODIUM</v>
      </c>
      <c r="AA421" s="5">
        <f t="shared" si="111"/>
        <v>0</v>
      </c>
      <c r="AB421">
        <f t="shared" si="112"/>
        <v>5</v>
      </c>
      <c r="AC421" s="10">
        <f t="shared" si="113"/>
        <v>2</v>
      </c>
      <c r="AD421">
        <f t="shared" si="114"/>
        <v>5</v>
      </c>
      <c r="AE421" s="10">
        <f t="shared" si="115"/>
        <v>12</v>
      </c>
      <c r="AF421" s="5">
        <f t="shared" si="108"/>
        <v>0</v>
      </c>
      <c r="AG421" s="5">
        <f t="shared" si="109"/>
        <v>0.77</v>
      </c>
      <c r="AH421" s="5">
        <f t="shared" si="116"/>
        <v>0.23</v>
      </c>
      <c r="AI421">
        <f>IF(B421&lt;&gt;"", COUNTIFS($B$2:B421, B421), "")</f>
        <v>5</v>
      </c>
      <c r="AJ421">
        <f t="shared" si="117"/>
        <v>1</v>
      </c>
      <c r="AK421">
        <f t="shared" si="110"/>
        <v>4</v>
      </c>
      <c r="AL421">
        <f t="shared" si="118"/>
        <v>5</v>
      </c>
      <c r="AM421" t="str">
        <f t="shared" si="119"/>
        <v>May</v>
      </c>
      <c r="AN421">
        <f t="shared" si="120"/>
        <v>2023</v>
      </c>
      <c r="AO421" t="str">
        <f t="shared" si="121"/>
        <v>&lt;=3</v>
      </c>
      <c r="AP421" t="str">
        <f t="shared" si="122"/>
        <v>&gt;3</v>
      </c>
      <c r="AQ421" t="str">
        <f t="shared" si="123"/>
        <v>&gt;3</v>
      </c>
    </row>
    <row r="422" spans="1:43" x14ac:dyDescent="0.3">
      <c r="A422" t="s">
        <v>33</v>
      </c>
      <c r="B422" t="s">
        <v>347</v>
      </c>
      <c r="C422" t="s">
        <v>94</v>
      </c>
      <c r="D422">
        <v>3575</v>
      </c>
      <c r="E422">
        <v>23210502</v>
      </c>
      <c r="F422" t="s">
        <v>349</v>
      </c>
      <c r="G422" t="s">
        <v>350</v>
      </c>
      <c r="H422">
        <v>24</v>
      </c>
      <c r="I422">
        <v>49310</v>
      </c>
      <c r="J422">
        <v>1183440</v>
      </c>
      <c r="K422" s="7" t="str">
        <f>IFERROR(IF(B422&lt;&gt;"", TEXT(VLOOKUP(B422, 'Expected Date'!A:B, 2, FALSE) + DATE(RIGHT(C422,2),MID(C422,4,2),LEFT(C422,2)), "dd/mm/yy"), ""), "")</f>
        <v>08/08/23</v>
      </c>
      <c r="L422" t="s">
        <v>68</v>
      </c>
      <c r="M422" t="s">
        <v>48</v>
      </c>
      <c r="N422" t="s">
        <v>351</v>
      </c>
      <c r="O422" t="s">
        <v>208</v>
      </c>
      <c r="P422">
        <v>23291080</v>
      </c>
      <c r="Q422" t="s">
        <v>349</v>
      </c>
      <c r="R422" t="s">
        <v>350</v>
      </c>
      <c r="S422">
        <v>23.27</v>
      </c>
      <c r="T422">
        <v>49310</v>
      </c>
      <c r="U422">
        <v>1147443.7</v>
      </c>
      <c r="V422" t="str">
        <f t="shared" si="124"/>
        <v>Dahej</v>
      </c>
      <c r="W422" t="str">
        <f>VLOOKUP(B422, Currency!A:B, 2, FALSE)</f>
        <v>INR</v>
      </c>
      <c r="X422" t="str">
        <f>X420</f>
        <v>Accepted</v>
      </c>
      <c r="Y422">
        <f>IFERROR(VLOOKUP(N422, Payment_Terms!A:B, 2, FALSE), "Payment term not found!")</f>
        <v>0</v>
      </c>
      <c r="Z422" t="str">
        <f>IFERROR(VLOOKUP(R422, Item_Category!A:B, 2, FALSE), "Uncategorized")</f>
        <v>Oil</v>
      </c>
      <c r="AA422" s="5">
        <f t="shared" si="111"/>
        <v>3.0416666666666686E-2</v>
      </c>
      <c r="AB422">
        <f t="shared" si="112"/>
        <v>3</v>
      </c>
      <c r="AC422" s="10">
        <f t="shared" si="113"/>
        <v>4</v>
      </c>
      <c r="AD422">
        <f t="shared" si="114"/>
        <v>4</v>
      </c>
      <c r="AE422" s="10">
        <f t="shared" si="115"/>
        <v>5</v>
      </c>
      <c r="AF422" s="5">
        <f t="shared" si="108"/>
        <v>1</v>
      </c>
      <c r="AG422" s="5">
        <f t="shared" si="109"/>
        <v>1</v>
      </c>
      <c r="AH422" s="5">
        <f t="shared" si="116"/>
        <v>0</v>
      </c>
      <c r="AI422">
        <f>IF(B422&lt;&gt;"", COUNTIFS($B$2:B422, B422), "")</f>
        <v>8</v>
      </c>
      <c r="AJ422">
        <f t="shared" si="117"/>
        <v>5</v>
      </c>
      <c r="AK422">
        <f t="shared" si="110"/>
        <v>5</v>
      </c>
      <c r="AL422">
        <f t="shared" si="118"/>
        <v>8</v>
      </c>
      <c r="AM422" t="str">
        <f t="shared" si="119"/>
        <v>August</v>
      </c>
      <c r="AN422">
        <f t="shared" si="120"/>
        <v>2023</v>
      </c>
      <c r="AO422" t="str">
        <f t="shared" si="121"/>
        <v>&gt;3</v>
      </c>
      <c r="AP422" t="str">
        <f t="shared" si="122"/>
        <v>&lt;=3</v>
      </c>
      <c r="AQ422" t="str">
        <f t="shared" si="123"/>
        <v>&gt;3</v>
      </c>
    </row>
    <row r="423" spans="1:43" x14ac:dyDescent="0.3">
      <c r="A423" t="s">
        <v>33</v>
      </c>
      <c r="B423" t="s">
        <v>157</v>
      </c>
      <c r="C423" t="s">
        <v>365</v>
      </c>
      <c r="D423">
        <v>3418</v>
      </c>
      <c r="E423">
        <v>23210460</v>
      </c>
      <c r="F423" t="s">
        <v>433</v>
      </c>
      <c r="G423" t="s">
        <v>434</v>
      </c>
      <c r="H423">
        <v>600</v>
      </c>
      <c r="I423">
        <v>270</v>
      </c>
      <c r="J423">
        <v>162000</v>
      </c>
      <c r="K423" s="7" t="str">
        <f>IFERROR(IF(B423&lt;&gt;"", TEXT(VLOOKUP(B423, 'Expected Date'!A:B, 2, FALSE) + DATE(RIGHT(C423,2),MID(C423,4,2),LEFT(C423,2)), "dd/mm/yy"), ""), "")</f>
        <v>08/08/23</v>
      </c>
      <c r="L423" t="s">
        <v>38</v>
      </c>
      <c r="M423" t="s">
        <v>48</v>
      </c>
      <c r="N423" t="s">
        <v>435</v>
      </c>
      <c r="O423" t="s">
        <v>192</v>
      </c>
      <c r="P423">
        <v>23291084</v>
      </c>
      <c r="Q423" t="s">
        <v>433</v>
      </c>
      <c r="R423" t="s">
        <v>434</v>
      </c>
      <c r="S423">
        <v>600</v>
      </c>
      <c r="T423">
        <v>270</v>
      </c>
      <c r="U423">
        <v>162000</v>
      </c>
      <c r="V423" t="str">
        <f t="shared" si="124"/>
        <v>Dahej</v>
      </c>
      <c r="W423" t="str">
        <f>VLOOKUP(B423, Currency!A:B, 2, FALSE)</f>
        <v>INR</v>
      </c>
      <c r="X423" t="str">
        <f>X422</f>
        <v>Accepted</v>
      </c>
      <c r="Y423">
        <f>IFERROR(VLOOKUP(N423, Payment_Terms!A:B, 2, FALSE), "Payment term not found!")</f>
        <v>0</v>
      </c>
      <c r="Z423" t="str">
        <f>IFERROR(VLOOKUP(R423, Item_Category!A:B, 2, FALSE), "Uncategorized")</f>
        <v>Sodium salts</v>
      </c>
      <c r="AA423" s="5">
        <f t="shared" si="111"/>
        <v>0</v>
      </c>
      <c r="AB423">
        <f t="shared" si="112"/>
        <v>5</v>
      </c>
      <c r="AC423" s="10">
        <f t="shared" si="113"/>
        <v>6</v>
      </c>
      <c r="AD423">
        <f t="shared" si="114"/>
        <v>3</v>
      </c>
      <c r="AE423" s="10">
        <f t="shared" si="115"/>
        <v>16</v>
      </c>
      <c r="AF423" s="5">
        <f t="shared" si="108"/>
        <v>1</v>
      </c>
      <c r="AG423" s="5">
        <f t="shared" si="109"/>
        <v>1</v>
      </c>
      <c r="AH423" s="5">
        <f t="shared" si="116"/>
        <v>0</v>
      </c>
      <c r="AI423">
        <f>IF(B423&lt;&gt;"", COUNTIFS($B$2:B423, B423), "")</f>
        <v>5</v>
      </c>
      <c r="AJ423">
        <f t="shared" si="117"/>
        <v>5</v>
      </c>
      <c r="AK423">
        <f t="shared" si="110"/>
        <v>5</v>
      </c>
      <c r="AL423">
        <f t="shared" si="118"/>
        <v>7</v>
      </c>
      <c r="AM423" t="str">
        <f t="shared" si="119"/>
        <v>July</v>
      </c>
      <c r="AN423">
        <f t="shared" si="120"/>
        <v>2023</v>
      </c>
      <c r="AO423" t="str">
        <f t="shared" si="121"/>
        <v>&gt;3</v>
      </c>
      <c r="AP423" t="str">
        <f t="shared" si="122"/>
        <v>&gt;3</v>
      </c>
      <c r="AQ423" t="str">
        <f t="shared" si="123"/>
        <v>&lt;=3</v>
      </c>
    </row>
    <row r="424" spans="1:43" x14ac:dyDescent="0.3">
      <c r="A424" t="s">
        <v>33</v>
      </c>
      <c r="B424" t="s">
        <v>386</v>
      </c>
      <c r="C424" t="s">
        <v>121</v>
      </c>
      <c r="D424">
        <v>3692</v>
      </c>
      <c r="E424">
        <v>23210539</v>
      </c>
      <c r="F424" t="s">
        <v>437</v>
      </c>
      <c r="G424" t="s">
        <v>438</v>
      </c>
      <c r="H424">
        <v>15000</v>
      </c>
      <c r="I424">
        <v>9.31</v>
      </c>
      <c r="J424">
        <v>139650</v>
      </c>
      <c r="K424" s="7" t="str">
        <f>IFERROR(IF(B424&lt;&gt;"", TEXT(VLOOKUP(B424, 'Expected Date'!A:B, 2, FALSE) + DATE(RIGHT(C424,2),MID(C424,4,2),LEFT(C424,2)), "dd/mm/yy"), ""), "")</f>
        <v>15/08/23</v>
      </c>
      <c r="L424" t="s">
        <v>68</v>
      </c>
      <c r="M424" t="s">
        <v>48</v>
      </c>
      <c r="N424" t="s">
        <v>342</v>
      </c>
      <c r="O424" t="s">
        <v>192</v>
      </c>
      <c r="P424">
        <v>23291086</v>
      </c>
      <c r="Q424" t="s">
        <v>437</v>
      </c>
      <c r="R424" t="s">
        <v>438</v>
      </c>
      <c r="S424">
        <v>14628</v>
      </c>
      <c r="T424">
        <v>9.31</v>
      </c>
      <c r="U424">
        <v>136186.68</v>
      </c>
      <c r="V424" t="str">
        <f t="shared" si="124"/>
        <v>Dahej</v>
      </c>
      <c r="W424" t="str">
        <f>VLOOKUP(B424, Currency!A:B, 2, FALSE)</f>
        <v>INR</v>
      </c>
      <c r="X424" t="str">
        <f t="shared" ref="X424:X472" si="125">X422</f>
        <v>Accepted</v>
      </c>
      <c r="Y424">
        <f>IFERROR(VLOOKUP(N424, Payment_Terms!A:B, 2, FALSE), "Payment term not found!")</f>
        <v>30</v>
      </c>
      <c r="Z424" t="str">
        <f>IFERROR(VLOOKUP(R424, Item_Category!A:B, 2, FALSE), "Uncategorized")</f>
        <v>Liner</v>
      </c>
      <c r="AA424" s="5">
        <f t="shared" si="111"/>
        <v>2.4799999999999999E-2</v>
      </c>
      <c r="AB424">
        <f t="shared" si="112"/>
        <v>3</v>
      </c>
      <c r="AC424" s="10">
        <f t="shared" si="113"/>
        <v>-1</v>
      </c>
      <c r="AD424">
        <f t="shared" si="114"/>
        <v>5</v>
      </c>
      <c r="AE424" s="10">
        <f t="shared" si="115"/>
        <v>4</v>
      </c>
      <c r="AF424" s="5">
        <f t="shared" si="108"/>
        <v>1</v>
      </c>
      <c r="AG424" s="5">
        <f t="shared" si="109"/>
        <v>1</v>
      </c>
      <c r="AH424" s="5">
        <f t="shared" si="116"/>
        <v>0</v>
      </c>
      <c r="AI424">
        <f>IF(B424&lt;&gt;"", COUNTIFS($B$2:B424, B424), "")</f>
        <v>8</v>
      </c>
      <c r="AJ424">
        <f t="shared" si="117"/>
        <v>5</v>
      </c>
      <c r="AK424">
        <f t="shared" si="110"/>
        <v>5</v>
      </c>
      <c r="AL424">
        <f t="shared" si="118"/>
        <v>8</v>
      </c>
      <c r="AM424" t="str">
        <f t="shared" si="119"/>
        <v>August</v>
      </c>
      <c r="AN424">
        <f t="shared" si="120"/>
        <v>2023</v>
      </c>
      <c r="AO424" t="str">
        <f t="shared" si="121"/>
        <v>&gt;3</v>
      </c>
      <c r="AP424" t="str">
        <f t="shared" si="122"/>
        <v>&lt;=3</v>
      </c>
      <c r="AQ424" t="str">
        <f t="shared" si="123"/>
        <v>&gt;3</v>
      </c>
    </row>
    <row r="425" spans="1:43" x14ac:dyDescent="0.3">
      <c r="A425" t="s">
        <v>33</v>
      </c>
      <c r="B425" t="s">
        <v>382</v>
      </c>
      <c r="C425" t="s">
        <v>279</v>
      </c>
      <c r="D425">
        <v>4449</v>
      </c>
      <c r="E425">
        <v>23210676</v>
      </c>
      <c r="F425" t="s">
        <v>479</v>
      </c>
      <c r="G425" t="s">
        <v>480</v>
      </c>
      <c r="H425">
        <v>1000</v>
      </c>
      <c r="I425">
        <v>38.200000000000003</v>
      </c>
      <c r="J425">
        <v>38200</v>
      </c>
      <c r="K425" s="7" t="str">
        <f>IFERROR(IF(B425&lt;&gt;"", TEXT(VLOOKUP(B425, 'Expected Date'!A:B, 2, FALSE) + DATE(RIGHT(C425,2),MID(C425,4,2),LEFT(C425,2)), "dd/mm/yy"), ""), "")</f>
        <v>29/09/23</v>
      </c>
      <c r="L425" t="s">
        <v>38</v>
      </c>
      <c r="M425" t="s">
        <v>48</v>
      </c>
      <c r="N425" t="s">
        <v>342</v>
      </c>
      <c r="O425" t="s">
        <v>181</v>
      </c>
      <c r="P425">
        <v>23291470</v>
      </c>
      <c r="Q425" t="s">
        <v>479</v>
      </c>
      <c r="R425" t="s">
        <v>480</v>
      </c>
      <c r="S425">
        <v>1000</v>
      </c>
      <c r="T425">
        <v>38.200000000000003</v>
      </c>
      <c r="U425">
        <v>38200</v>
      </c>
      <c r="V425" t="str">
        <f t="shared" si="124"/>
        <v>Dahej</v>
      </c>
      <c r="W425" t="str">
        <f>VLOOKUP(B425, Currency!A:B, 2, FALSE)</f>
        <v>INR</v>
      </c>
      <c r="X425" t="str">
        <f t="shared" si="125"/>
        <v>Accepted</v>
      </c>
      <c r="Y425">
        <f>IFERROR(VLOOKUP(N425, Payment_Terms!A:B, 2, FALSE), "Payment term not found!")</f>
        <v>30</v>
      </c>
      <c r="Z425" t="str">
        <f>IFERROR(VLOOKUP(R425, Item_Category!A:B, 2, FALSE), "Uncategorized")</f>
        <v>Soda Ash</v>
      </c>
      <c r="AA425" s="5">
        <f t="shared" si="111"/>
        <v>0</v>
      </c>
      <c r="AB425">
        <f t="shared" si="112"/>
        <v>5</v>
      </c>
      <c r="AC425" s="10">
        <f t="shared" si="113"/>
        <v>-8</v>
      </c>
      <c r="AD425">
        <f t="shared" si="114"/>
        <v>5</v>
      </c>
      <c r="AE425" s="10">
        <f t="shared" si="115"/>
        <v>2</v>
      </c>
      <c r="AF425" s="5">
        <f t="shared" si="108"/>
        <v>1</v>
      </c>
      <c r="AG425" s="5">
        <f t="shared" si="109"/>
        <v>1</v>
      </c>
      <c r="AH425" s="5">
        <f t="shared" si="116"/>
        <v>0</v>
      </c>
      <c r="AI425">
        <f>IF(B425&lt;&gt;"", COUNTIFS($B$2:B425, B425), "")</f>
        <v>7</v>
      </c>
      <c r="AJ425">
        <f t="shared" si="117"/>
        <v>5</v>
      </c>
      <c r="AK425">
        <f t="shared" si="110"/>
        <v>5</v>
      </c>
      <c r="AL425">
        <f t="shared" si="118"/>
        <v>9</v>
      </c>
      <c r="AM425" t="str">
        <f t="shared" si="119"/>
        <v>September</v>
      </c>
      <c r="AN425">
        <f t="shared" si="120"/>
        <v>2023</v>
      </c>
      <c r="AO425" t="str">
        <f t="shared" si="121"/>
        <v>&gt;3</v>
      </c>
      <c r="AP425" t="str">
        <f t="shared" si="122"/>
        <v>&gt;3</v>
      </c>
      <c r="AQ425" t="str">
        <f t="shared" si="123"/>
        <v>&gt;3</v>
      </c>
    </row>
    <row r="426" spans="1:43" x14ac:dyDescent="0.3">
      <c r="A426" t="s">
        <v>33</v>
      </c>
      <c r="B426" t="s">
        <v>371</v>
      </c>
      <c r="C426" t="s">
        <v>482</v>
      </c>
      <c r="D426">
        <v>4236</v>
      </c>
      <c r="E426">
        <v>23210630</v>
      </c>
      <c r="F426" t="s">
        <v>372</v>
      </c>
      <c r="G426" t="s">
        <v>373</v>
      </c>
      <c r="H426">
        <v>20</v>
      </c>
      <c r="I426">
        <v>1100</v>
      </c>
      <c r="J426">
        <v>22000</v>
      </c>
      <c r="K426" s="7" t="str">
        <f>IFERROR(IF(B426&lt;&gt;"", TEXT(VLOOKUP(B426, 'Expected Date'!A:B, 2, FALSE) + DATE(RIGHT(C426,2),MID(C426,4,2),LEFT(C426,2)), "dd/mm/yy"), ""), "")</f>
        <v>12/09/23</v>
      </c>
      <c r="L426" t="s">
        <v>38</v>
      </c>
      <c r="M426" t="s">
        <v>48</v>
      </c>
      <c r="N426" t="s">
        <v>342</v>
      </c>
      <c r="O426" t="s">
        <v>164</v>
      </c>
      <c r="P426">
        <v>23291353</v>
      </c>
      <c r="Q426" t="s">
        <v>372</v>
      </c>
      <c r="R426" t="s">
        <v>373</v>
      </c>
      <c r="S426">
        <v>10.11</v>
      </c>
      <c r="T426">
        <v>1100</v>
      </c>
      <c r="U426">
        <v>11121</v>
      </c>
      <c r="V426" t="str">
        <f t="shared" si="124"/>
        <v>Dahej</v>
      </c>
      <c r="W426" t="str">
        <f>VLOOKUP(B426, Currency!A:B, 2, FALSE)</f>
        <v>INR</v>
      </c>
      <c r="X426" t="str">
        <f t="shared" si="125"/>
        <v>Accepted</v>
      </c>
      <c r="Y426">
        <f>IFERROR(VLOOKUP(N426, Payment_Terms!A:B, 2, FALSE), "Payment term not found!")</f>
        <v>30</v>
      </c>
      <c r="Z426" t="str">
        <f>IFERROR(VLOOKUP(R426, Item_Category!A:B, 2, FALSE), "Uncategorized")</f>
        <v>HCL</v>
      </c>
      <c r="AA426" s="5">
        <f t="shared" si="111"/>
        <v>0</v>
      </c>
      <c r="AB426">
        <f t="shared" si="112"/>
        <v>5</v>
      </c>
      <c r="AC426" s="10">
        <f t="shared" si="113"/>
        <v>-4</v>
      </c>
      <c r="AD426">
        <f t="shared" si="114"/>
        <v>5</v>
      </c>
      <c r="AE426" s="10">
        <f t="shared" si="115"/>
        <v>1</v>
      </c>
      <c r="AF426" s="5">
        <f t="shared" si="108"/>
        <v>1</v>
      </c>
      <c r="AG426" s="5">
        <f t="shared" si="109"/>
        <v>1</v>
      </c>
      <c r="AH426" s="5">
        <f t="shared" si="116"/>
        <v>0</v>
      </c>
      <c r="AI426">
        <f>IF(B426&lt;&gt;"", COUNTIFS($B$2:B426, B426), "")</f>
        <v>6</v>
      </c>
      <c r="AJ426">
        <f t="shared" si="117"/>
        <v>5</v>
      </c>
      <c r="AK426">
        <f t="shared" si="110"/>
        <v>5</v>
      </c>
      <c r="AL426">
        <f t="shared" si="118"/>
        <v>9</v>
      </c>
      <c r="AM426" t="str">
        <f t="shared" si="119"/>
        <v>September</v>
      </c>
      <c r="AN426">
        <f t="shared" si="120"/>
        <v>2023</v>
      </c>
      <c r="AO426" t="str">
        <f t="shared" si="121"/>
        <v>&gt;3</v>
      </c>
      <c r="AP426" t="str">
        <f t="shared" si="122"/>
        <v>&gt;3</v>
      </c>
      <c r="AQ426" t="str">
        <f t="shared" si="123"/>
        <v>&gt;3</v>
      </c>
    </row>
    <row r="427" spans="1:43" x14ac:dyDescent="0.3">
      <c r="A427" t="s">
        <v>33</v>
      </c>
      <c r="B427" t="s">
        <v>483</v>
      </c>
      <c r="C427" t="s">
        <v>71</v>
      </c>
      <c r="D427">
        <v>2599</v>
      </c>
      <c r="E427">
        <v>23210325</v>
      </c>
      <c r="F427" t="s">
        <v>349</v>
      </c>
      <c r="G427" t="s">
        <v>350</v>
      </c>
      <c r="H427">
        <v>18.010000000000002</v>
      </c>
      <c r="I427">
        <v>45310</v>
      </c>
      <c r="J427">
        <v>816033.1</v>
      </c>
      <c r="K427" s="7" t="str">
        <f>IFERROR(IF(B427&lt;&gt;"", TEXT(VLOOKUP(B427, 'Expected Date'!A:B, 2, FALSE) + DATE(RIGHT(C427,2),MID(C427,4,2),LEFT(C427,2)), "dd/mm/yy"), ""), "")</f>
        <v>02/07/23</v>
      </c>
      <c r="L427" t="s">
        <v>38</v>
      </c>
      <c r="M427" t="s">
        <v>48</v>
      </c>
      <c r="N427" t="s">
        <v>484</v>
      </c>
      <c r="O427" t="s">
        <v>63</v>
      </c>
      <c r="P427">
        <v>23290634</v>
      </c>
      <c r="Q427" t="s">
        <v>349</v>
      </c>
      <c r="R427" t="s">
        <v>350</v>
      </c>
      <c r="S427">
        <v>18.010000000000002</v>
      </c>
      <c r="T427">
        <v>45310</v>
      </c>
      <c r="U427">
        <v>816033.1</v>
      </c>
      <c r="V427" t="str">
        <f t="shared" si="124"/>
        <v>Dahej</v>
      </c>
      <c r="W427" t="str">
        <f>VLOOKUP(B427, Currency!A:B, 2, FALSE)</f>
        <v>INR</v>
      </c>
      <c r="X427" t="str">
        <f t="shared" si="125"/>
        <v>Accepted</v>
      </c>
      <c r="Y427">
        <f>IFERROR(VLOOKUP(N427, Payment_Terms!A:B, 2, FALSE), "Payment term not found!")</f>
        <v>0</v>
      </c>
      <c r="Z427" t="str">
        <f>IFERROR(VLOOKUP(R427, Item_Category!A:B, 2, FALSE), "Uncategorized")</f>
        <v>Oil</v>
      </c>
      <c r="AA427" s="5">
        <f t="shared" si="111"/>
        <v>0</v>
      </c>
      <c r="AB427">
        <f t="shared" si="112"/>
        <v>5</v>
      </c>
      <c r="AC427" s="10">
        <f t="shared" si="113"/>
        <v>-8</v>
      </c>
      <c r="AD427">
        <f t="shared" si="114"/>
        <v>5</v>
      </c>
      <c r="AE427" s="10">
        <f t="shared" si="115"/>
        <v>2</v>
      </c>
      <c r="AF427" s="5">
        <f t="shared" si="108"/>
        <v>1</v>
      </c>
      <c r="AG427" s="5">
        <f t="shared" si="109"/>
        <v>1</v>
      </c>
      <c r="AH427" s="5">
        <f t="shared" si="116"/>
        <v>0</v>
      </c>
      <c r="AI427">
        <f>IF(B427&lt;&gt;"", COUNTIFS($B$2:B427, B427), "")</f>
        <v>1</v>
      </c>
      <c r="AJ427">
        <f t="shared" si="117"/>
        <v>5</v>
      </c>
      <c r="AK427">
        <f t="shared" si="110"/>
        <v>5</v>
      </c>
      <c r="AL427">
        <f t="shared" si="118"/>
        <v>6</v>
      </c>
      <c r="AM427" t="str">
        <f t="shared" si="119"/>
        <v>June</v>
      </c>
      <c r="AN427">
        <f t="shared" si="120"/>
        <v>2023</v>
      </c>
      <c r="AO427" t="str">
        <f t="shared" si="121"/>
        <v>&gt;3</v>
      </c>
      <c r="AP427" t="str">
        <f t="shared" si="122"/>
        <v>&gt;3</v>
      </c>
      <c r="AQ427" t="str">
        <f t="shared" si="123"/>
        <v>&gt;3</v>
      </c>
    </row>
    <row r="428" spans="1:43" x14ac:dyDescent="0.3">
      <c r="A428" t="s">
        <v>33</v>
      </c>
      <c r="B428" t="s">
        <v>371</v>
      </c>
      <c r="C428" t="s">
        <v>192</v>
      </c>
      <c r="D428">
        <v>3771</v>
      </c>
      <c r="E428">
        <v>23210547</v>
      </c>
      <c r="F428" t="s">
        <v>372</v>
      </c>
      <c r="G428" t="s">
        <v>373</v>
      </c>
      <c r="H428">
        <v>20</v>
      </c>
      <c r="I428">
        <v>1100</v>
      </c>
      <c r="J428">
        <v>22000</v>
      </c>
      <c r="K428" s="7" t="str">
        <f>IFERROR(IF(B428&lt;&gt;"", TEXT(VLOOKUP(B428, 'Expected Date'!A:B, 2, FALSE) + DATE(RIGHT(C428,2),MID(C428,4,2),LEFT(C428,2)), "dd/mm/yy"), ""), "")</f>
        <v>19/08/23</v>
      </c>
      <c r="L428" t="s">
        <v>68</v>
      </c>
      <c r="M428" t="s">
        <v>48</v>
      </c>
      <c r="N428" t="s">
        <v>342</v>
      </c>
      <c r="O428" t="s">
        <v>332</v>
      </c>
      <c r="P428">
        <v>23291265</v>
      </c>
      <c r="Q428" t="s">
        <v>372</v>
      </c>
      <c r="R428" t="s">
        <v>373</v>
      </c>
      <c r="S428">
        <v>9.94</v>
      </c>
      <c r="T428">
        <v>1100</v>
      </c>
      <c r="U428">
        <v>10934</v>
      </c>
      <c r="V428" t="str">
        <f t="shared" si="124"/>
        <v>Dahej</v>
      </c>
      <c r="W428" t="str">
        <f>VLOOKUP(B428, Currency!A:B, 2, FALSE)</f>
        <v>INR</v>
      </c>
      <c r="X428" t="str">
        <f t="shared" si="125"/>
        <v>Accepted</v>
      </c>
      <c r="Y428">
        <f>IFERROR(VLOOKUP(N428, Payment_Terms!A:B, 2, FALSE), "Payment term not found!")</f>
        <v>30</v>
      </c>
      <c r="Z428" t="str">
        <f>IFERROR(VLOOKUP(R428, Item_Category!A:B, 2, FALSE), "Uncategorized")</f>
        <v>HCL</v>
      </c>
      <c r="AA428" s="5">
        <f t="shared" si="111"/>
        <v>4.9999999999990048E-4</v>
      </c>
      <c r="AB428">
        <f t="shared" si="112"/>
        <v>4</v>
      </c>
      <c r="AC428" s="10">
        <f t="shared" si="113"/>
        <v>10</v>
      </c>
      <c r="AD428">
        <f t="shared" si="114"/>
        <v>2</v>
      </c>
      <c r="AE428" s="10">
        <f t="shared" si="115"/>
        <v>15</v>
      </c>
      <c r="AF428" s="5">
        <f t="shared" si="108"/>
        <v>1</v>
      </c>
      <c r="AG428" s="5">
        <f t="shared" si="109"/>
        <v>1</v>
      </c>
      <c r="AH428" s="5">
        <f t="shared" si="116"/>
        <v>0</v>
      </c>
      <c r="AI428">
        <f>IF(B428&lt;&gt;"", COUNTIFS($B$2:B428, B428), "")</f>
        <v>7</v>
      </c>
      <c r="AJ428">
        <f t="shared" si="117"/>
        <v>5</v>
      </c>
      <c r="AK428">
        <f t="shared" si="110"/>
        <v>4</v>
      </c>
      <c r="AL428">
        <f t="shared" si="118"/>
        <v>8</v>
      </c>
      <c r="AM428" t="str">
        <f t="shared" si="119"/>
        <v>August</v>
      </c>
      <c r="AN428">
        <f t="shared" si="120"/>
        <v>2023</v>
      </c>
      <c r="AO428" t="str">
        <f t="shared" si="121"/>
        <v>&gt;3</v>
      </c>
      <c r="AP428" t="str">
        <f t="shared" si="122"/>
        <v>&gt;3</v>
      </c>
      <c r="AQ428" t="str">
        <f t="shared" si="123"/>
        <v>&lt;=3</v>
      </c>
    </row>
    <row r="429" spans="1:43" x14ac:dyDescent="0.3">
      <c r="A429" t="s">
        <v>33</v>
      </c>
      <c r="B429" t="s">
        <v>122</v>
      </c>
      <c r="C429" t="s">
        <v>281</v>
      </c>
      <c r="D429">
        <v>4184</v>
      </c>
      <c r="E429">
        <v>23210616</v>
      </c>
      <c r="F429" t="s">
        <v>405</v>
      </c>
      <c r="G429" t="s">
        <v>406</v>
      </c>
      <c r="H429">
        <v>600</v>
      </c>
      <c r="I429">
        <v>930</v>
      </c>
      <c r="J429">
        <v>558000</v>
      </c>
      <c r="K429" s="7" t="str">
        <f>IFERROR(IF(B429&lt;&gt;"", TEXT(VLOOKUP(B429, 'Expected Date'!A:B, 2, FALSE) + DATE(RIGHT(C429,2),MID(C429,4,2),LEFT(C429,2)), "dd/mm/yy"), ""), "")</f>
        <v>20/09/23</v>
      </c>
      <c r="L429" t="s">
        <v>38</v>
      </c>
      <c r="M429" t="s">
        <v>39</v>
      </c>
      <c r="N429" t="s">
        <v>364</v>
      </c>
      <c r="O429" t="s">
        <v>279</v>
      </c>
      <c r="P429">
        <v>23291469</v>
      </c>
      <c r="Q429" t="s">
        <v>405</v>
      </c>
      <c r="R429" t="s">
        <v>406</v>
      </c>
      <c r="S429">
        <v>140</v>
      </c>
      <c r="T429">
        <v>930</v>
      </c>
      <c r="U429">
        <v>130200</v>
      </c>
      <c r="V429" t="str">
        <f t="shared" si="124"/>
        <v>Dahej</v>
      </c>
      <c r="W429" t="str">
        <f>VLOOKUP(B429, Currency!A:B, 2, FALSE)</f>
        <v>INR</v>
      </c>
      <c r="X429" t="str">
        <f t="shared" si="125"/>
        <v>Accepted</v>
      </c>
      <c r="Y429">
        <f>IFERROR(VLOOKUP(N429, Payment_Terms!A:B, 2, FALSE), "Payment term not found!")</f>
        <v>30</v>
      </c>
      <c r="Z429" t="str">
        <f>IFERROR(VLOOKUP(R429, Item_Category!A:B, 2, FALSE), "Uncategorized")</f>
        <v>Pallets</v>
      </c>
      <c r="AA429" s="5">
        <f t="shared" si="111"/>
        <v>0</v>
      </c>
      <c r="AB429">
        <f t="shared" si="112"/>
        <v>5</v>
      </c>
      <c r="AC429" s="10">
        <f t="shared" si="113"/>
        <v>-1</v>
      </c>
      <c r="AD429">
        <f t="shared" si="114"/>
        <v>5</v>
      </c>
      <c r="AE429" s="10">
        <f t="shared" si="115"/>
        <v>14</v>
      </c>
      <c r="AF429" s="5">
        <f t="shared" si="108"/>
        <v>1</v>
      </c>
      <c r="AG429" s="5">
        <f t="shared" si="109"/>
        <v>1</v>
      </c>
      <c r="AH429" s="5">
        <f t="shared" si="116"/>
        <v>0</v>
      </c>
      <c r="AI429">
        <f>IF(B429&lt;&gt;"", COUNTIFS($B$2:B429, B429), "")</f>
        <v>20</v>
      </c>
      <c r="AJ429">
        <f t="shared" si="117"/>
        <v>5</v>
      </c>
      <c r="AK429">
        <f t="shared" si="110"/>
        <v>5</v>
      </c>
      <c r="AL429">
        <f t="shared" si="118"/>
        <v>9</v>
      </c>
      <c r="AM429" t="str">
        <f t="shared" si="119"/>
        <v>September</v>
      </c>
      <c r="AN429">
        <f t="shared" si="120"/>
        <v>2023</v>
      </c>
      <c r="AO429" t="str">
        <f t="shared" si="121"/>
        <v>&gt;3</v>
      </c>
      <c r="AP429" t="str">
        <f t="shared" si="122"/>
        <v>&gt;3</v>
      </c>
      <c r="AQ429" t="str">
        <f t="shared" si="123"/>
        <v>&gt;3</v>
      </c>
    </row>
    <row r="430" spans="1:43" x14ac:dyDescent="0.3">
      <c r="A430" t="s">
        <v>33</v>
      </c>
      <c r="B430" t="s">
        <v>386</v>
      </c>
      <c r="C430" t="s">
        <v>165</v>
      </c>
      <c r="D430">
        <v>2308</v>
      </c>
      <c r="E430">
        <v>23210249</v>
      </c>
      <c r="F430" t="s">
        <v>410</v>
      </c>
      <c r="G430" t="s">
        <v>411</v>
      </c>
      <c r="H430">
        <v>510</v>
      </c>
      <c r="I430">
        <v>129</v>
      </c>
      <c r="J430">
        <v>65790</v>
      </c>
      <c r="K430" s="7" t="str">
        <f>IFERROR(IF(B430&lt;&gt;"", TEXT(VLOOKUP(B430, 'Expected Date'!A:B, 2, FALSE) + DATE(RIGHT(C430,2),MID(C430,4,2),LEFT(C430,2)), "dd/mm/yy"), ""), "")</f>
        <v>12/06/23</v>
      </c>
      <c r="L430" t="s">
        <v>38</v>
      </c>
      <c r="M430" t="s">
        <v>39</v>
      </c>
      <c r="N430" t="s">
        <v>342</v>
      </c>
      <c r="O430" t="s">
        <v>231</v>
      </c>
      <c r="P430">
        <v>23290483</v>
      </c>
      <c r="Q430" t="s">
        <v>410</v>
      </c>
      <c r="R430" t="s">
        <v>411</v>
      </c>
      <c r="S430">
        <v>518</v>
      </c>
      <c r="T430">
        <v>129</v>
      </c>
      <c r="U430">
        <v>66822</v>
      </c>
      <c r="V430" t="str">
        <f t="shared" si="124"/>
        <v>Dahej</v>
      </c>
      <c r="W430" t="str">
        <f>VLOOKUP(B430, Currency!A:B, 2, FALSE)</f>
        <v>INR</v>
      </c>
      <c r="X430" t="str">
        <f t="shared" si="125"/>
        <v>Accepted</v>
      </c>
      <c r="Y430">
        <f>IFERROR(VLOOKUP(N430, Payment_Terms!A:B, 2, FALSE), "Payment term not found!")</f>
        <v>30</v>
      </c>
      <c r="Z430" t="str">
        <f>IFERROR(VLOOKUP(R430, Item_Category!A:B, 2, FALSE), "Uncategorized")</f>
        <v>Wrapping 23</v>
      </c>
      <c r="AA430" s="5">
        <f t="shared" si="111"/>
        <v>0</v>
      </c>
      <c r="AB430">
        <f t="shared" si="112"/>
        <v>5</v>
      </c>
      <c r="AC430" s="10">
        <f t="shared" si="113"/>
        <v>-3</v>
      </c>
      <c r="AD430">
        <f t="shared" si="114"/>
        <v>5</v>
      </c>
      <c r="AE430" s="10">
        <f t="shared" si="115"/>
        <v>2</v>
      </c>
      <c r="AF430" s="5">
        <f t="shared" si="108"/>
        <v>1</v>
      </c>
      <c r="AG430" s="5">
        <f t="shared" si="109"/>
        <v>1</v>
      </c>
      <c r="AH430" s="5">
        <f t="shared" si="116"/>
        <v>0</v>
      </c>
      <c r="AI430">
        <f>IF(B430&lt;&gt;"", COUNTIFS($B$2:B430, B430), "")</f>
        <v>9</v>
      </c>
      <c r="AJ430">
        <f t="shared" si="117"/>
        <v>5</v>
      </c>
      <c r="AK430">
        <f t="shared" si="110"/>
        <v>5</v>
      </c>
      <c r="AL430">
        <f t="shared" si="118"/>
        <v>6</v>
      </c>
      <c r="AM430" t="str">
        <f t="shared" si="119"/>
        <v>June</v>
      </c>
      <c r="AN430">
        <f t="shared" si="120"/>
        <v>2023</v>
      </c>
      <c r="AO430" t="str">
        <f t="shared" si="121"/>
        <v>&gt;3</v>
      </c>
      <c r="AP430" t="str">
        <f t="shared" si="122"/>
        <v>&gt;3</v>
      </c>
      <c r="AQ430" t="str">
        <f t="shared" si="123"/>
        <v>&gt;3</v>
      </c>
    </row>
    <row r="431" spans="1:43" x14ac:dyDescent="0.3">
      <c r="A431" t="s">
        <v>33</v>
      </c>
      <c r="B431" t="str">
        <f>B284</f>
        <v>Ami Enterprises</v>
      </c>
      <c r="C431" t="s">
        <v>416</v>
      </c>
      <c r="D431">
        <v>2119</v>
      </c>
      <c r="E431">
        <v>23210181</v>
      </c>
      <c r="F431" t="s">
        <v>485</v>
      </c>
      <c r="G431" t="s">
        <v>486</v>
      </c>
      <c r="H431">
        <v>1000</v>
      </c>
      <c r="I431">
        <v>28</v>
      </c>
      <c r="J431">
        <v>28000</v>
      </c>
      <c r="K431" s="7" t="str">
        <f>IFERROR(IF(B431&lt;&gt;"", TEXT(VLOOKUP(B431, 'Expected Date'!A:B, 2, FALSE) + DATE(RIGHT(C431,2),MID(C431,4,2),LEFT(C431,2)), "dd/mm/yy"), ""), "")</f>
        <v>30/05/23</v>
      </c>
      <c r="L431" t="s">
        <v>38</v>
      </c>
      <c r="M431" t="s">
        <v>39</v>
      </c>
      <c r="N431" t="s">
        <v>342</v>
      </c>
      <c r="O431" t="s">
        <v>432</v>
      </c>
      <c r="P431">
        <v>23290367</v>
      </c>
      <c r="Q431" t="s">
        <v>485</v>
      </c>
      <c r="R431" t="s">
        <v>486</v>
      </c>
      <c r="S431">
        <v>1000</v>
      </c>
      <c r="T431">
        <v>28</v>
      </c>
      <c r="U431">
        <v>28000</v>
      </c>
      <c r="V431" t="str">
        <f t="shared" si="124"/>
        <v>Dahej</v>
      </c>
      <c r="W431" t="str">
        <f>VLOOKUP(B431, Currency!A:B, 2, FALSE)</f>
        <v>INR</v>
      </c>
      <c r="X431" t="str">
        <f t="shared" si="125"/>
        <v>Accepted</v>
      </c>
      <c r="Y431">
        <f>IFERROR(VLOOKUP(N431, Payment_Terms!A:B, 2, FALSE), "Payment term not found!")</f>
        <v>30</v>
      </c>
      <c r="Z431" t="str">
        <f>IFERROR(VLOOKUP(R431, Item_Category!A:B, 2, FALSE), "Uncategorized")</f>
        <v>Liner</v>
      </c>
      <c r="AA431" s="5">
        <f t="shared" si="111"/>
        <v>0</v>
      </c>
      <c r="AB431">
        <f t="shared" si="112"/>
        <v>5</v>
      </c>
      <c r="AC431" s="10">
        <f t="shared" si="113"/>
        <v>-8</v>
      </c>
      <c r="AD431">
        <f t="shared" si="114"/>
        <v>5</v>
      </c>
      <c r="AE431" s="10">
        <f t="shared" si="115"/>
        <v>2</v>
      </c>
      <c r="AF431" s="5">
        <f t="shared" si="108"/>
        <v>1</v>
      </c>
      <c r="AG431" s="5">
        <f t="shared" si="109"/>
        <v>1</v>
      </c>
      <c r="AH431" s="5">
        <f t="shared" si="116"/>
        <v>0</v>
      </c>
      <c r="AI431">
        <f>IF(B431&lt;&gt;"", COUNTIFS($B$2:B431, B431), "")</f>
        <v>27</v>
      </c>
      <c r="AJ431">
        <f t="shared" si="117"/>
        <v>5</v>
      </c>
      <c r="AK431">
        <f t="shared" si="110"/>
        <v>5</v>
      </c>
      <c r="AL431">
        <f t="shared" si="118"/>
        <v>5</v>
      </c>
      <c r="AM431" t="str">
        <f t="shared" si="119"/>
        <v>May</v>
      </c>
      <c r="AN431">
        <f t="shared" si="120"/>
        <v>2023</v>
      </c>
      <c r="AO431" t="str">
        <f t="shared" si="121"/>
        <v>&gt;3</v>
      </c>
      <c r="AP431" t="str">
        <f t="shared" si="122"/>
        <v>&gt;3</v>
      </c>
      <c r="AQ431" t="str">
        <f t="shared" si="123"/>
        <v>&gt;3</v>
      </c>
    </row>
    <row r="432" spans="1:43" x14ac:dyDescent="0.3">
      <c r="A432" t="s">
        <v>33</v>
      </c>
      <c r="B432" t="s">
        <v>436</v>
      </c>
      <c r="C432" t="s">
        <v>416</v>
      </c>
      <c r="D432">
        <v>2118</v>
      </c>
      <c r="E432">
        <v>23210180</v>
      </c>
      <c r="F432" t="s">
        <v>430</v>
      </c>
      <c r="G432" t="s">
        <v>431</v>
      </c>
      <c r="H432">
        <v>7000</v>
      </c>
      <c r="I432">
        <v>9</v>
      </c>
      <c r="J432">
        <v>63000</v>
      </c>
      <c r="K432" s="7" t="str">
        <f>IFERROR(IF(B432&lt;&gt;"", TEXT(VLOOKUP(B432, 'Expected Date'!A:B, 2, FALSE) + DATE(RIGHT(C432,2),MID(C432,4,2),LEFT(C432,2)), "dd/mm/yy"), ""), "")</f>
        <v>30/05/23</v>
      </c>
      <c r="L432" t="s">
        <v>68</v>
      </c>
      <c r="M432" t="s">
        <v>48</v>
      </c>
      <c r="N432" t="s">
        <v>342</v>
      </c>
      <c r="O432" t="s">
        <v>179</v>
      </c>
      <c r="P432">
        <v>23290368</v>
      </c>
      <c r="Q432" t="s">
        <v>430</v>
      </c>
      <c r="R432" t="s">
        <v>431</v>
      </c>
      <c r="S432">
        <v>2500</v>
      </c>
      <c r="T432">
        <v>9</v>
      </c>
      <c r="U432">
        <v>22500</v>
      </c>
      <c r="V432" t="str">
        <f t="shared" si="124"/>
        <v>Dahej</v>
      </c>
      <c r="W432" t="str">
        <f>VLOOKUP(B432, Currency!A:B, 2, FALSE)</f>
        <v>INR</v>
      </c>
      <c r="X432" t="str">
        <f t="shared" si="125"/>
        <v>Accepted</v>
      </c>
      <c r="Y432">
        <f>IFERROR(VLOOKUP(N432, Payment_Terms!A:B, 2, FALSE), "Payment term not found!")</f>
        <v>30</v>
      </c>
      <c r="Z432" t="str">
        <f>IFERROR(VLOOKUP(R432, Item_Category!A:B, 2, FALSE), "Uncategorized")</f>
        <v>Lime</v>
      </c>
      <c r="AA432" s="5">
        <f t="shared" si="111"/>
        <v>0.6428571428571429</v>
      </c>
      <c r="AB432">
        <f t="shared" si="112"/>
        <v>1</v>
      </c>
      <c r="AC432" s="10">
        <f t="shared" si="113"/>
        <v>-7</v>
      </c>
      <c r="AD432">
        <f t="shared" si="114"/>
        <v>5</v>
      </c>
      <c r="AE432" s="10">
        <f t="shared" si="115"/>
        <v>3</v>
      </c>
      <c r="AF432" s="5">
        <f t="shared" si="108"/>
        <v>1</v>
      </c>
      <c r="AG432" s="5">
        <f t="shared" si="109"/>
        <v>1</v>
      </c>
      <c r="AH432" s="5">
        <f t="shared" si="116"/>
        <v>0</v>
      </c>
      <c r="AI432">
        <f>IF(B432&lt;&gt;"", COUNTIFS($B$2:B432, B432), "")</f>
        <v>5</v>
      </c>
      <c r="AJ432">
        <f t="shared" si="117"/>
        <v>5</v>
      </c>
      <c r="AK432">
        <f t="shared" si="110"/>
        <v>4</v>
      </c>
      <c r="AL432">
        <f t="shared" si="118"/>
        <v>5</v>
      </c>
      <c r="AM432" t="str">
        <f t="shared" si="119"/>
        <v>May</v>
      </c>
      <c r="AN432">
        <f t="shared" si="120"/>
        <v>2023</v>
      </c>
      <c r="AO432" t="str">
        <f t="shared" si="121"/>
        <v>&gt;3</v>
      </c>
      <c r="AP432" t="str">
        <f t="shared" si="122"/>
        <v>&lt;=3</v>
      </c>
      <c r="AQ432" t="str">
        <f t="shared" si="123"/>
        <v>&gt;3</v>
      </c>
    </row>
    <row r="433" spans="1:43" x14ac:dyDescent="0.3">
      <c r="A433" t="s">
        <v>111</v>
      </c>
      <c r="B433" t="s">
        <v>296</v>
      </c>
      <c r="C433" t="s">
        <v>374</v>
      </c>
      <c r="D433">
        <v>1251</v>
      </c>
      <c r="E433">
        <v>23210020</v>
      </c>
      <c r="F433" t="s">
        <v>445</v>
      </c>
      <c r="G433" t="s">
        <v>446</v>
      </c>
      <c r="H433">
        <v>12000</v>
      </c>
      <c r="I433">
        <v>205</v>
      </c>
      <c r="J433">
        <v>2460000</v>
      </c>
      <c r="K433" s="7" t="str">
        <f>IFERROR(IF(B433&lt;&gt;"", TEXT(VLOOKUP(B433, 'Expected Date'!A:B, 2, FALSE) + DATE(RIGHT(C433,2),MID(C433,4,2),LEFT(C433,2)), "dd/mm/yy"), ""), "")</f>
        <v>28/04/23</v>
      </c>
      <c r="L433" t="s">
        <v>38</v>
      </c>
      <c r="M433" t="s">
        <v>48</v>
      </c>
      <c r="N433" t="s">
        <v>381</v>
      </c>
      <c r="O433" t="s">
        <v>137</v>
      </c>
      <c r="P433">
        <v>23290376</v>
      </c>
      <c r="Q433" t="s">
        <v>445</v>
      </c>
      <c r="R433" t="s">
        <v>446</v>
      </c>
      <c r="S433">
        <v>2000</v>
      </c>
      <c r="T433">
        <v>205</v>
      </c>
      <c r="U433">
        <v>410000</v>
      </c>
      <c r="V433" t="str">
        <f t="shared" si="124"/>
        <v>Dahej</v>
      </c>
      <c r="W433" t="str">
        <f>VLOOKUP(B433, Currency!A:B, 2, FALSE)</f>
        <v>INR</v>
      </c>
      <c r="X433" t="str">
        <f t="shared" si="125"/>
        <v>Accepted</v>
      </c>
      <c r="Y433">
        <f>IFERROR(VLOOKUP(N433, Payment_Terms!A:B, 2, FALSE), "Payment term not found!")</f>
        <v>30</v>
      </c>
      <c r="Z433" t="str">
        <f>IFERROR(VLOOKUP(R433, Item_Category!A:B, 2, FALSE), "Uncategorized")</f>
        <v>SSG - Potato</v>
      </c>
      <c r="AA433" s="5">
        <f t="shared" si="111"/>
        <v>0</v>
      </c>
      <c r="AB433">
        <f t="shared" si="112"/>
        <v>5</v>
      </c>
      <c r="AC433" s="10">
        <f t="shared" si="113"/>
        <v>28</v>
      </c>
      <c r="AD433">
        <f t="shared" si="114"/>
        <v>1</v>
      </c>
      <c r="AE433" s="10">
        <f t="shared" si="115"/>
        <v>43</v>
      </c>
      <c r="AF433" s="5">
        <f t="shared" si="108"/>
        <v>1</v>
      </c>
      <c r="AG433" s="5">
        <f t="shared" si="109"/>
        <v>1</v>
      </c>
      <c r="AH433" s="5">
        <f t="shared" si="116"/>
        <v>0</v>
      </c>
      <c r="AI433">
        <f>IF(B433&lt;&gt;"", COUNTIFS($B$2:B433, B433), "")</f>
        <v>7</v>
      </c>
      <c r="AJ433">
        <f t="shared" si="117"/>
        <v>5</v>
      </c>
      <c r="AK433">
        <f t="shared" si="110"/>
        <v>4</v>
      </c>
      <c r="AL433">
        <f t="shared" si="118"/>
        <v>4</v>
      </c>
      <c r="AM433" t="str">
        <f t="shared" si="119"/>
        <v>April</v>
      </c>
      <c r="AN433">
        <f t="shared" si="120"/>
        <v>2023</v>
      </c>
      <c r="AO433" t="str">
        <f t="shared" si="121"/>
        <v>&gt;3</v>
      </c>
      <c r="AP433" t="str">
        <f t="shared" si="122"/>
        <v>&gt;3</v>
      </c>
      <c r="AQ433" t="str">
        <f t="shared" si="123"/>
        <v>&lt;=3</v>
      </c>
    </row>
    <row r="434" spans="1:43" x14ac:dyDescent="0.3">
      <c r="A434" t="s">
        <v>33</v>
      </c>
      <c r="B434" t="s">
        <v>366</v>
      </c>
      <c r="C434" t="s">
        <v>308</v>
      </c>
      <c r="D434">
        <v>2491</v>
      </c>
      <c r="E434">
        <v>23210297</v>
      </c>
      <c r="F434" t="s">
        <v>392</v>
      </c>
      <c r="G434" t="s">
        <v>393</v>
      </c>
      <c r="H434">
        <v>150</v>
      </c>
      <c r="I434">
        <v>11000</v>
      </c>
      <c r="J434">
        <v>1650000</v>
      </c>
      <c r="K434" s="7" t="str">
        <f>IFERROR(IF(B434&lt;&gt;"", TEXT(VLOOKUP(B434, 'Expected Date'!A:B, 2, FALSE) + DATE(RIGHT(C434,2),MID(C434,4,2),LEFT(C434,2)), "dd/mm/yy"), ""), "")</f>
        <v>12/06/23</v>
      </c>
      <c r="L434" t="s">
        <v>68</v>
      </c>
      <c r="M434" t="s">
        <v>48</v>
      </c>
      <c r="N434" t="s">
        <v>370</v>
      </c>
      <c r="O434" t="s">
        <v>71</v>
      </c>
      <c r="P434">
        <v>23290547</v>
      </c>
      <c r="Q434" t="s">
        <v>392</v>
      </c>
      <c r="R434" t="s">
        <v>393</v>
      </c>
      <c r="S434">
        <v>29.18</v>
      </c>
      <c r="T434">
        <v>11000</v>
      </c>
      <c r="U434">
        <v>320980</v>
      </c>
      <c r="V434" t="str">
        <f t="shared" si="124"/>
        <v>Dahej</v>
      </c>
      <c r="W434" t="str">
        <f>VLOOKUP(B434, Currency!A:B, 2, FALSE)</f>
        <v>INR</v>
      </c>
      <c r="X434" t="str">
        <f t="shared" si="125"/>
        <v>Accepted</v>
      </c>
      <c r="Y434">
        <f>IFERROR(VLOOKUP(N434, Payment_Terms!A:B, 2, FALSE), "Payment term not found!")</f>
        <v>15</v>
      </c>
      <c r="Z434" t="str">
        <f>IFERROR(VLOOKUP(R434, Item_Category!A:B, 2, FALSE), "Uncategorized")</f>
        <v>Coal materials</v>
      </c>
      <c r="AA434" s="5">
        <f t="shared" si="111"/>
        <v>0.60453333333333337</v>
      </c>
      <c r="AB434">
        <f t="shared" si="112"/>
        <v>1</v>
      </c>
      <c r="AC434" s="10">
        <f t="shared" si="113"/>
        <v>10</v>
      </c>
      <c r="AD434">
        <f t="shared" si="114"/>
        <v>2</v>
      </c>
      <c r="AE434" s="10">
        <f t="shared" si="115"/>
        <v>12</v>
      </c>
      <c r="AF434" s="5">
        <f t="shared" si="108"/>
        <v>1</v>
      </c>
      <c r="AG434" s="5">
        <f t="shared" si="109"/>
        <v>1</v>
      </c>
      <c r="AH434" s="5">
        <f t="shared" si="116"/>
        <v>0</v>
      </c>
      <c r="AI434">
        <f>IF(B434&lt;&gt;"", COUNTIFS($B$2:B434, B434), "")</f>
        <v>31</v>
      </c>
      <c r="AJ434">
        <f t="shared" si="117"/>
        <v>5</v>
      </c>
      <c r="AK434">
        <f t="shared" si="110"/>
        <v>3</v>
      </c>
      <c r="AL434">
        <f t="shared" si="118"/>
        <v>6</v>
      </c>
      <c r="AM434" t="str">
        <f t="shared" si="119"/>
        <v>June</v>
      </c>
      <c r="AN434">
        <f t="shared" si="120"/>
        <v>2023</v>
      </c>
      <c r="AO434" t="str">
        <f t="shared" si="121"/>
        <v>&gt;3</v>
      </c>
      <c r="AP434" t="str">
        <f t="shared" si="122"/>
        <v>&lt;=3</v>
      </c>
      <c r="AQ434" t="str">
        <f t="shared" si="123"/>
        <v>&lt;=3</v>
      </c>
    </row>
    <row r="435" spans="1:43" x14ac:dyDescent="0.3">
      <c r="A435" t="s">
        <v>33</v>
      </c>
      <c r="B435" t="s">
        <v>382</v>
      </c>
      <c r="C435" t="s">
        <v>195</v>
      </c>
      <c r="D435">
        <v>2451</v>
      </c>
      <c r="E435">
        <v>23210284</v>
      </c>
      <c r="F435" t="s">
        <v>479</v>
      </c>
      <c r="G435" t="s">
        <v>480</v>
      </c>
      <c r="H435">
        <v>1000</v>
      </c>
      <c r="I435">
        <v>38</v>
      </c>
      <c r="J435">
        <v>38000</v>
      </c>
      <c r="K435" s="7" t="str">
        <f>IFERROR(IF(B435&lt;&gt;"", TEXT(VLOOKUP(B435, 'Expected Date'!A:B, 2, FALSE) + DATE(RIGHT(C435,2),MID(C435,4,2),LEFT(C435,2)), "dd/mm/yy"), ""), "")</f>
        <v>25/06/23</v>
      </c>
      <c r="L435" t="s">
        <v>38</v>
      </c>
      <c r="M435" t="s">
        <v>48</v>
      </c>
      <c r="N435" t="s">
        <v>342</v>
      </c>
      <c r="O435" t="s">
        <v>184</v>
      </c>
      <c r="P435">
        <v>23290528</v>
      </c>
      <c r="Q435" t="s">
        <v>479</v>
      </c>
      <c r="R435" t="s">
        <v>480</v>
      </c>
      <c r="S435">
        <v>1000</v>
      </c>
      <c r="T435">
        <v>38</v>
      </c>
      <c r="U435">
        <v>38000</v>
      </c>
      <c r="V435" t="str">
        <f t="shared" si="124"/>
        <v>Dahej</v>
      </c>
      <c r="W435" t="str">
        <f>VLOOKUP(B435, Currency!A:B, 2, FALSE)</f>
        <v>INR</v>
      </c>
      <c r="X435" t="str">
        <f t="shared" si="125"/>
        <v>Accepted</v>
      </c>
      <c r="Y435">
        <f>IFERROR(VLOOKUP(N435, Payment_Terms!A:B, 2, FALSE), "Payment term not found!")</f>
        <v>30</v>
      </c>
      <c r="Z435" t="str">
        <f>IFERROR(VLOOKUP(R435, Item_Category!A:B, 2, FALSE), "Uncategorized")</f>
        <v>Soda Ash</v>
      </c>
      <c r="AA435" s="5">
        <f t="shared" si="111"/>
        <v>0</v>
      </c>
      <c r="AB435">
        <f t="shared" si="112"/>
        <v>5</v>
      </c>
      <c r="AC435" s="10">
        <f t="shared" si="113"/>
        <v>-9</v>
      </c>
      <c r="AD435">
        <f t="shared" si="114"/>
        <v>5</v>
      </c>
      <c r="AE435" s="10">
        <f t="shared" si="115"/>
        <v>1</v>
      </c>
      <c r="AF435" s="5">
        <f t="shared" si="108"/>
        <v>1</v>
      </c>
      <c r="AG435" s="5">
        <f t="shared" si="109"/>
        <v>1</v>
      </c>
      <c r="AH435" s="5">
        <f t="shared" si="116"/>
        <v>0</v>
      </c>
      <c r="AI435">
        <f>IF(B435&lt;&gt;"", COUNTIFS($B$2:B435, B435), "")</f>
        <v>8</v>
      </c>
      <c r="AJ435">
        <f t="shared" si="117"/>
        <v>5</v>
      </c>
      <c r="AK435">
        <f t="shared" si="110"/>
        <v>5</v>
      </c>
      <c r="AL435">
        <f t="shared" si="118"/>
        <v>6</v>
      </c>
      <c r="AM435" t="str">
        <f t="shared" si="119"/>
        <v>June</v>
      </c>
      <c r="AN435">
        <f t="shared" si="120"/>
        <v>2023</v>
      </c>
      <c r="AO435" t="str">
        <f t="shared" si="121"/>
        <v>&gt;3</v>
      </c>
      <c r="AP435" t="str">
        <f t="shared" si="122"/>
        <v>&gt;3</v>
      </c>
      <c r="AQ435" t="str">
        <f t="shared" si="123"/>
        <v>&gt;3</v>
      </c>
    </row>
    <row r="436" spans="1:43" x14ac:dyDescent="0.3">
      <c r="A436" t="s">
        <v>33</v>
      </c>
      <c r="B436" t="s">
        <v>366</v>
      </c>
      <c r="C436" t="s">
        <v>56</v>
      </c>
      <c r="D436">
        <v>3584</v>
      </c>
      <c r="E436">
        <v>23210509</v>
      </c>
      <c r="F436" t="s">
        <v>392</v>
      </c>
      <c r="G436" t="s">
        <v>393</v>
      </c>
      <c r="H436">
        <v>100</v>
      </c>
      <c r="I436">
        <v>9850</v>
      </c>
      <c r="J436">
        <v>985000</v>
      </c>
      <c r="K436" s="7" t="str">
        <f>IFERROR(IF(B436&lt;&gt;"", TEXT(VLOOKUP(B436, 'Expected Date'!A:B, 2, FALSE) + DATE(RIGHT(C436,2),MID(C436,4,2),LEFT(C436,2)), "dd/mm/yy"), ""), "")</f>
        <v>06/08/23</v>
      </c>
      <c r="L436" t="s">
        <v>68</v>
      </c>
      <c r="M436" t="s">
        <v>48</v>
      </c>
      <c r="N436" t="s">
        <v>370</v>
      </c>
      <c r="O436" t="s">
        <v>487</v>
      </c>
      <c r="P436">
        <v>23291050</v>
      </c>
      <c r="Q436" t="s">
        <v>392</v>
      </c>
      <c r="R436" t="s">
        <v>393</v>
      </c>
      <c r="S436">
        <v>27.91</v>
      </c>
      <c r="T436">
        <v>9850</v>
      </c>
      <c r="U436">
        <v>274913.5</v>
      </c>
      <c r="V436" t="str">
        <f t="shared" si="124"/>
        <v>Dahej</v>
      </c>
      <c r="W436" t="str">
        <f>VLOOKUP(B436, Currency!A:B, 2, FALSE)</f>
        <v>INR</v>
      </c>
      <c r="X436" t="str">
        <f t="shared" si="125"/>
        <v>Accepted</v>
      </c>
      <c r="Y436">
        <f>IFERROR(VLOOKUP(N436, Payment_Terms!A:B, 2, FALSE), "Payment term not found!")</f>
        <v>15</v>
      </c>
      <c r="Z436" t="str">
        <f>IFERROR(VLOOKUP(R436, Item_Category!A:B, 2, FALSE), "Uncategorized")</f>
        <v>Coal materials</v>
      </c>
      <c r="AA436" s="5">
        <f t="shared" si="111"/>
        <v>0.11530000000000001</v>
      </c>
      <c r="AB436">
        <f t="shared" si="112"/>
        <v>1</v>
      </c>
      <c r="AC436" s="10">
        <f t="shared" si="113"/>
        <v>0</v>
      </c>
      <c r="AD436">
        <f t="shared" si="114"/>
        <v>5</v>
      </c>
      <c r="AE436" s="10">
        <f t="shared" si="115"/>
        <v>2</v>
      </c>
      <c r="AF436" s="5">
        <f t="shared" si="108"/>
        <v>1</v>
      </c>
      <c r="AG436" s="5">
        <f t="shared" si="109"/>
        <v>1</v>
      </c>
      <c r="AH436" s="5">
        <f t="shared" si="116"/>
        <v>0</v>
      </c>
      <c r="AI436">
        <f>IF(B436&lt;&gt;"", COUNTIFS($B$2:B436, B436), "")</f>
        <v>32</v>
      </c>
      <c r="AJ436">
        <f t="shared" si="117"/>
        <v>5</v>
      </c>
      <c r="AK436">
        <f t="shared" si="110"/>
        <v>4</v>
      </c>
      <c r="AL436">
        <f t="shared" si="118"/>
        <v>8</v>
      </c>
      <c r="AM436" t="str">
        <f t="shared" si="119"/>
        <v>August</v>
      </c>
      <c r="AN436">
        <f t="shared" si="120"/>
        <v>2023</v>
      </c>
      <c r="AO436" t="str">
        <f t="shared" si="121"/>
        <v>&gt;3</v>
      </c>
      <c r="AP436" t="str">
        <f t="shared" si="122"/>
        <v>&lt;=3</v>
      </c>
      <c r="AQ436" t="str">
        <f t="shared" si="123"/>
        <v>&gt;3</v>
      </c>
    </row>
    <row r="437" spans="1:43" x14ac:dyDescent="0.3">
      <c r="A437" t="s">
        <v>33</v>
      </c>
      <c r="B437" t="s">
        <v>366</v>
      </c>
      <c r="C437" t="s">
        <v>56</v>
      </c>
      <c r="D437">
        <v>3584</v>
      </c>
      <c r="E437">
        <v>23210509</v>
      </c>
      <c r="F437" t="s">
        <v>392</v>
      </c>
      <c r="G437" t="s">
        <v>393</v>
      </c>
      <c r="H437">
        <v>100</v>
      </c>
      <c r="I437">
        <v>9850</v>
      </c>
      <c r="J437">
        <v>985000</v>
      </c>
      <c r="K437" s="7" t="str">
        <f>IFERROR(IF(B437&lt;&gt;"", TEXT(VLOOKUP(B437, 'Expected Date'!A:B, 2, FALSE) + DATE(RIGHT(C437,2),MID(C437,4,2),LEFT(C437,2)), "dd/mm/yy"), ""), "")</f>
        <v>06/08/23</v>
      </c>
      <c r="L437" t="s">
        <v>68</v>
      </c>
      <c r="M437" t="s">
        <v>48</v>
      </c>
      <c r="N437" t="s">
        <v>370</v>
      </c>
      <c r="O437" t="s">
        <v>408</v>
      </c>
      <c r="P437">
        <v>23291051</v>
      </c>
      <c r="Q437" t="s">
        <v>392</v>
      </c>
      <c r="R437" t="s">
        <v>393</v>
      </c>
      <c r="S437">
        <v>30.62</v>
      </c>
      <c r="T437">
        <v>9850</v>
      </c>
      <c r="U437">
        <v>301607</v>
      </c>
      <c r="V437" t="str">
        <f t="shared" si="124"/>
        <v>Dahej</v>
      </c>
      <c r="W437" t="str">
        <f>VLOOKUP(B437, Currency!A:B, 2, FALSE)</f>
        <v>INR</v>
      </c>
      <c r="X437" t="str">
        <f t="shared" si="125"/>
        <v>Accepted</v>
      </c>
      <c r="Y437">
        <f>IFERROR(VLOOKUP(N437, Payment_Terms!A:B, 2, FALSE), "Payment term not found!")</f>
        <v>15</v>
      </c>
      <c r="Z437" t="str">
        <f>IFERROR(VLOOKUP(R437, Item_Category!A:B, 2, FALSE), "Uncategorized")</f>
        <v>Coal materials</v>
      </c>
      <c r="AA437" s="5">
        <f t="shared" si="111"/>
        <v>0.11530000000000001</v>
      </c>
      <c r="AB437">
        <f t="shared" si="112"/>
        <v>1</v>
      </c>
      <c r="AC437" s="10">
        <f t="shared" si="113"/>
        <v>2</v>
      </c>
      <c r="AD437">
        <f t="shared" si="114"/>
        <v>5</v>
      </c>
      <c r="AE437" s="10">
        <f t="shared" si="115"/>
        <v>4</v>
      </c>
      <c r="AF437" s="5">
        <f t="shared" si="108"/>
        <v>1</v>
      </c>
      <c r="AG437" s="5">
        <f t="shared" si="109"/>
        <v>1</v>
      </c>
      <c r="AH437" s="5">
        <f t="shared" si="116"/>
        <v>0</v>
      </c>
      <c r="AI437">
        <f>IF(B437&lt;&gt;"", COUNTIFS($B$2:B437, B437), "")</f>
        <v>33</v>
      </c>
      <c r="AJ437">
        <f t="shared" si="117"/>
        <v>5</v>
      </c>
      <c r="AK437">
        <f t="shared" si="110"/>
        <v>4</v>
      </c>
      <c r="AL437">
        <f t="shared" si="118"/>
        <v>8</v>
      </c>
      <c r="AM437" t="str">
        <f t="shared" si="119"/>
        <v>August</v>
      </c>
      <c r="AN437">
        <f t="shared" si="120"/>
        <v>2023</v>
      </c>
      <c r="AO437" t="str">
        <f t="shared" si="121"/>
        <v>&gt;3</v>
      </c>
      <c r="AP437" t="str">
        <f t="shared" si="122"/>
        <v>&lt;=3</v>
      </c>
      <c r="AQ437" t="str">
        <f t="shared" si="123"/>
        <v>&gt;3</v>
      </c>
    </row>
    <row r="438" spans="1:43" x14ac:dyDescent="0.3">
      <c r="A438" t="s">
        <v>33</v>
      </c>
      <c r="B438" t="s">
        <v>353</v>
      </c>
      <c r="C438" t="s">
        <v>354</v>
      </c>
      <c r="D438">
        <v>2799</v>
      </c>
      <c r="E438">
        <v>23210355</v>
      </c>
      <c r="F438" t="s">
        <v>355</v>
      </c>
      <c r="G438" t="s">
        <v>356</v>
      </c>
      <c r="H438">
        <v>40000</v>
      </c>
      <c r="I438">
        <v>1.1000000000000001</v>
      </c>
      <c r="J438">
        <v>44000</v>
      </c>
      <c r="K438" s="7" t="str">
        <f>IFERROR(IF(B438&lt;&gt;"", TEXT(VLOOKUP(B438, 'Expected Date'!A:B, 2, FALSE) + DATE(RIGHT(C438,2),MID(C438,4,2),LEFT(C438,2)), "dd/mm/yy"), ""), "")</f>
        <v>05/07/23</v>
      </c>
      <c r="L438" t="s">
        <v>38</v>
      </c>
      <c r="M438" t="s">
        <v>48</v>
      </c>
      <c r="N438" t="s">
        <v>342</v>
      </c>
      <c r="O438" t="s">
        <v>202</v>
      </c>
      <c r="P438">
        <v>23291060</v>
      </c>
      <c r="Q438" t="s">
        <v>355</v>
      </c>
      <c r="R438" t="s">
        <v>356</v>
      </c>
      <c r="S438">
        <v>6000</v>
      </c>
      <c r="T438">
        <v>1.1000000000000001</v>
      </c>
      <c r="U438">
        <v>6600</v>
      </c>
      <c r="V438" t="str">
        <f t="shared" si="124"/>
        <v>Dahej</v>
      </c>
      <c r="W438" t="str">
        <f>VLOOKUP(B438, Currency!A:B, 2, FALSE)</f>
        <v>INR</v>
      </c>
      <c r="X438" t="str">
        <f t="shared" si="125"/>
        <v>Accepted</v>
      </c>
      <c r="Y438">
        <f>IFERROR(VLOOKUP(N438, Payment_Terms!A:B, 2, FALSE), "Payment term not found!")</f>
        <v>30</v>
      </c>
      <c r="Z438" t="str">
        <f>IFERROR(VLOOKUP(R438, Item_Category!A:B, 2, FALSE), "Uncategorized")</f>
        <v>Sticker</v>
      </c>
      <c r="AA438" s="5">
        <f t="shared" si="111"/>
        <v>0</v>
      </c>
      <c r="AB438">
        <f t="shared" si="112"/>
        <v>5</v>
      </c>
      <c r="AC438" s="10">
        <f t="shared" si="113"/>
        <v>35</v>
      </c>
      <c r="AD438">
        <f t="shared" si="114"/>
        <v>1</v>
      </c>
      <c r="AE438" s="10">
        <f t="shared" si="115"/>
        <v>37</v>
      </c>
      <c r="AF438" s="5">
        <f t="shared" si="108"/>
        <v>1</v>
      </c>
      <c r="AG438" s="5">
        <f t="shared" si="109"/>
        <v>1</v>
      </c>
      <c r="AH438" s="5">
        <f t="shared" si="116"/>
        <v>0</v>
      </c>
      <c r="AI438">
        <f>IF(B438&lt;&gt;"", COUNTIFS($B$2:B438, B438), "")</f>
        <v>4</v>
      </c>
      <c r="AJ438">
        <f t="shared" si="117"/>
        <v>5</v>
      </c>
      <c r="AK438">
        <f t="shared" si="110"/>
        <v>4</v>
      </c>
      <c r="AL438">
        <f t="shared" si="118"/>
        <v>7</v>
      </c>
      <c r="AM438" t="str">
        <f t="shared" si="119"/>
        <v>July</v>
      </c>
      <c r="AN438">
        <f t="shared" si="120"/>
        <v>2023</v>
      </c>
      <c r="AO438" t="str">
        <f t="shared" si="121"/>
        <v>&gt;3</v>
      </c>
      <c r="AP438" t="str">
        <f t="shared" si="122"/>
        <v>&gt;3</v>
      </c>
      <c r="AQ438" t="str">
        <f t="shared" si="123"/>
        <v>&lt;=3</v>
      </c>
    </row>
    <row r="439" spans="1:43" x14ac:dyDescent="0.3">
      <c r="A439" t="s">
        <v>33</v>
      </c>
      <c r="B439" t="s">
        <v>456</v>
      </c>
      <c r="C439" t="s">
        <v>88</v>
      </c>
      <c r="D439">
        <v>3063</v>
      </c>
      <c r="E439">
        <v>23210412</v>
      </c>
      <c r="F439" t="s">
        <v>488</v>
      </c>
      <c r="G439" t="s">
        <v>489</v>
      </c>
      <c r="H439">
        <v>1</v>
      </c>
      <c r="I439">
        <v>2090</v>
      </c>
      <c r="J439">
        <v>2090</v>
      </c>
      <c r="K439" s="7" t="str">
        <f>IFERROR(IF(B439&lt;&gt;"", TEXT(VLOOKUP(B439, 'Expected Date'!A:B, 2, FALSE) + DATE(RIGHT(C439,2),MID(C439,4,2),LEFT(C439,2)), "dd/mm/yy"), ""), "")</f>
        <v>14/07/23</v>
      </c>
      <c r="L439" t="s">
        <v>38</v>
      </c>
      <c r="M439" t="s">
        <v>39</v>
      </c>
      <c r="N439" t="s">
        <v>459</v>
      </c>
      <c r="O439" t="s">
        <v>78</v>
      </c>
      <c r="P439">
        <v>23291216</v>
      </c>
      <c r="Q439" t="s">
        <v>488</v>
      </c>
      <c r="R439" t="s">
        <v>489</v>
      </c>
      <c r="S439">
        <v>1</v>
      </c>
      <c r="T439">
        <v>2090</v>
      </c>
      <c r="U439">
        <v>2090</v>
      </c>
      <c r="V439" t="str">
        <f t="shared" si="124"/>
        <v>Dahej</v>
      </c>
      <c r="W439" t="str">
        <f>VLOOKUP(B439, Currency!A:B, 2, FALSE)</f>
        <v>INR</v>
      </c>
      <c r="X439" t="str">
        <f t="shared" si="125"/>
        <v>Accepted</v>
      </c>
      <c r="Y439">
        <f>IFERROR(VLOOKUP(N439, Payment_Terms!A:B, 2, FALSE), "Payment term not found!")</f>
        <v>0</v>
      </c>
      <c r="Z439" t="str">
        <f>IFERROR(VLOOKUP(R439, Item_Category!A:B, 2, FALSE), "Uncategorized")</f>
        <v>Mesh vibro sifter</v>
      </c>
      <c r="AA439" s="5">
        <f t="shared" si="111"/>
        <v>0</v>
      </c>
      <c r="AB439">
        <f t="shared" si="112"/>
        <v>5</v>
      </c>
      <c r="AC439" s="10">
        <f t="shared" si="113"/>
        <v>41</v>
      </c>
      <c r="AD439">
        <f t="shared" si="114"/>
        <v>1</v>
      </c>
      <c r="AE439" s="10">
        <f t="shared" si="115"/>
        <v>51</v>
      </c>
      <c r="AF439" s="5">
        <f t="shared" si="108"/>
        <v>1</v>
      </c>
      <c r="AG439" s="5">
        <f t="shared" si="109"/>
        <v>1</v>
      </c>
      <c r="AH439" s="5">
        <f t="shared" si="116"/>
        <v>0</v>
      </c>
      <c r="AI439">
        <f>IF(B439&lt;&gt;"", COUNTIFS($B$2:B439, B439), "")</f>
        <v>5</v>
      </c>
      <c r="AJ439">
        <f t="shared" si="117"/>
        <v>5</v>
      </c>
      <c r="AK439">
        <f t="shared" si="110"/>
        <v>4</v>
      </c>
      <c r="AL439">
        <f t="shared" si="118"/>
        <v>7</v>
      </c>
      <c r="AM439" t="str">
        <f t="shared" si="119"/>
        <v>July</v>
      </c>
      <c r="AN439">
        <f t="shared" si="120"/>
        <v>2023</v>
      </c>
      <c r="AO439" t="str">
        <f t="shared" si="121"/>
        <v>&gt;3</v>
      </c>
      <c r="AP439" t="str">
        <f t="shared" si="122"/>
        <v>&gt;3</v>
      </c>
      <c r="AQ439" t="str">
        <f t="shared" si="123"/>
        <v>&lt;=3</v>
      </c>
    </row>
    <row r="440" spans="1:43" x14ac:dyDescent="0.3">
      <c r="A440" t="s">
        <v>33</v>
      </c>
      <c r="B440" t="s">
        <v>456</v>
      </c>
      <c r="C440" t="s">
        <v>88</v>
      </c>
      <c r="D440">
        <v>3063</v>
      </c>
      <c r="E440">
        <v>23210412</v>
      </c>
      <c r="F440" t="s">
        <v>490</v>
      </c>
      <c r="G440" t="s">
        <v>491</v>
      </c>
      <c r="H440">
        <v>1</v>
      </c>
      <c r="I440">
        <v>2090</v>
      </c>
      <c r="J440">
        <v>2090</v>
      </c>
      <c r="K440" s="7" t="str">
        <f>IFERROR(IF(B440&lt;&gt;"", TEXT(VLOOKUP(B440, 'Expected Date'!A:B, 2, FALSE) + DATE(RIGHT(C440,2),MID(C440,4,2),LEFT(C440,2)), "dd/mm/yy"), ""), "")</f>
        <v>14/07/23</v>
      </c>
      <c r="L440" t="s">
        <v>38</v>
      </c>
      <c r="M440" t="s">
        <v>39</v>
      </c>
      <c r="N440" t="s">
        <v>459</v>
      </c>
      <c r="O440" t="s">
        <v>78</v>
      </c>
      <c r="P440">
        <v>23291216</v>
      </c>
      <c r="Q440" t="s">
        <v>490</v>
      </c>
      <c r="R440" t="s">
        <v>491</v>
      </c>
      <c r="S440">
        <v>1</v>
      </c>
      <c r="T440">
        <v>2090</v>
      </c>
      <c r="U440">
        <v>2090</v>
      </c>
      <c r="V440" t="str">
        <f t="shared" si="124"/>
        <v>Dahej</v>
      </c>
      <c r="W440" t="str">
        <f>VLOOKUP(B440, Currency!A:B, 2, FALSE)</f>
        <v>INR</v>
      </c>
      <c r="X440" t="str">
        <f t="shared" si="125"/>
        <v>Accepted</v>
      </c>
      <c r="Y440">
        <f>IFERROR(VLOOKUP(N440, Payment_Terms!A:B, 2, FALSE), "Payment term not found!")</f>
        <v>0</v>
      </c>
      <c r="Z440" t="str">
        <f>IFERROR(VLOOKUP(R440, Item_Category!A:B, 2, FALSE), "Uncategorized")</f>
        <v>Mesh vibro sifter</v>
      </c>
      <c r="AA440" s="5">
        <f t="shared" si="111"/>
        <v>0</v>
      </c>
      <c r="AB440">
        <f t="shared" si="112"/>
        <v>5</v>
      </c>
      <c r="AC440" s="10">
        <f t="shared" si="113"/>
        <v>41</v>
      </c>
      <c r="AD440">
        <f t="shared" si="114"/>
        <v>1</v>
      </c>
      <c r="AE440" s="10">
        <f t="shared" si="115"/>
        <v>51</v>
      </c>
      <c r="AF440" s="5">
        <f t="shared" si="108"/>
        <v>1</v>
      </c>
      <c r="AG440" s="5">
        <f t="shared" si="109"/>
        <v>1</v>
      </c>
      <c r="AH440" s="5">
        <f t="shared" si="116"/>
        <v>0</v>
      </c>
      <c r="AI440">
        <f>IF(B440&lt;&gt;"", COUNTIFS($B$2:B440, B440), "")</f>
        <v>6</v>
      </c>
      <c r="AJ440">
        <f t="shared" si="117"/>
        <v>5</v>
      </c>
      <c r="AK440">
        <f t="shared" si="110"/>
        <v>4</v>
      </c>
      <c r="AL440">
        <f t="shared" si="118"/>
        <v>7</v>
      </c>
      <c r="AM440" t="str">
        <f t="shared" si="119"/>
        <v>July</v>
      </c>
      <c r="AN440">
        <f t="shared" si="120"/>
        <v>2023</v>
      </c>
      <c r="AO440" t="str">
        <f t="shared" si="121"/>
        <v>&gt;3</v>
      </c>
      <c r="AP440" t="str">
        <f t="shared" si="122"/>
        <v>&gt;3</v>
      </c>
      <c r="AQ440" t="str">
        <f t="shared" si="123"/>
        <v>&lt;=3</v>
      </c>
    </row>
    <row r="441" spans="1:43" x14ac:dyDescent="0.3">
      <c r="A441" t="s">
        <v>33</v>
      </c>
      <c r="B441" t="str">
        <f>B284</f>
        <v>Ami Enterprises</v>
      </c>
      <c r="C441" t="s">
        <v>416</v>
      </c>
      <c r="D441">
        <v>2119</v>
      </c>
      <c r="E441">
        <v>23210181</v>
      </c>
      <c r="F441" t="s">
        <v>460</v>
      </c>
      <c r="G441" t="s">
        <v>461</v>
      </c>
      <c r="H441">
        <v>10587</v>
      </c>
      <c r="I441">
        <v>35</v>
      </c>
      <c r="J441">
        <v>370545</v>
      </c>
      <c r="K441" s="7" t="str">
        <f>IFERROR(IF(B441&lt;&gt;"", TEXT(VLOOKUP(B441, 'Expected Date'!A:B, 2, FALSE) + DATE(RIGHT(C441,2),MID(C441,4,2),LEFT(C441,2)), "dd/mm/yy"), ""), "")</f>
        <v>30/05/23</v>
      </c>
      <c r="L441" t="s">
        <v>38</v>
      </c>
      <c r="M441" t="s">
        <v>39</v>
      </c>
      <c r="N441" t="s">
        <v>342</v>
      </c>
      <c r="O441" t="s">
        <v>432</v>
      </c>
      <c r="P441">
        <v>23290367</v>
      </c>
      <c r="Q441" t="s">
        <v>460</v>
      </c>
      <c r="R441" t="s">
        <v>461</v>
      </c>
      <c r="S441">
        <v>10587</v>
      </c>
      <c r="T441">
        <v>35</v>
      </c>
      <c r="U441">
        <v>370545</v>
      </c>
      <c r="V441" t="str">
        <f t="shared" si="124"/>
        <v>Dahej</v>
      </c>
      <c r="W441" t="str">
        <f>VLOOKUP(B441, Currency!A:B, 2, FALSE)</f>
        <v>INR</v>
      </c>
      <c r="X441" t="str">
        <f t="shared" si="125"/>
        <v>Accepted</v>
      </c>
      <c r="Y441">
        <f>IFERROR(VLOOKUP(N441, Payment_Terms!A:B, 2, FALSE), "Payment term not found!")</f>
        <v>30</v>
      </c>
      <c r="Z441" t="str">
        <f>IFERROR(VLOOKUP(R441, Item_Category!A:B, 2, FALSE), "Uncategorized")</f>
        <v>Bags</v>
      </c>
      <c r="AA441" s="5">
        <f t="shared" si="111"/>
        <v>0</v>
      </c>
      <c r="AB441">
        <f t="shared" si="112"/>
        <v>5</v>
      </c>
      <c r="AC441" s="10">
        <f t="shared" si="113"/>
        <v>-8</v>
      </c>
      <c r="AD441">
        <f t="shared" si="114"/>
        <v>5</v>
      </c>
      <c r="AE441" s="10">
        <f t="shared" si="115"/>
        <v>2</v>
      </c>
      <c r="AF441" s="5">
        <f t="shared" si="108"/>
        <v>1</v>
      </c>
      <c r="AG441" s="5">
        <f t="shared" si="109"/>
        <v>1</v>
      </c>
      <c r="AH441" s="5">
        <f t="shared" si="116"/>
        <v>0</v>
      </c>
      <c r="AI441">
        <f>IF(B441&lt;&gt;"", COUNTIFS($B$2:B441, B441), "")</f>
        <v>28</v>
      </c>
      <c r="AJ441">
        <f t="shared" si="117"/>
        <v>5</v>
      </c>
      <c r="AK441">
        <f t="shared" si="110"/>
        <v>5</v>
      </c>
      <c r="AL441">
        <f t="shared" si="118"/>
        <v>5</v>
      </c>
      <c r="AM441" t="str">
        <f t="shared" si="119"/>
        <v>May</v>
      </c>
      <c r="AN441">
        <f t="shared" si="120"/>
        <v>2023</v>
      </c>
      <c r="AO441" t="str">
        <f t="shared" si="121"/>
        <v>&gt;3</v>
      </c>
      <c r="AP441" t="str">
        <f t="shared" si="122"/>
        <v>&gt;3</v>
      </c>
      <c r="AQ441" t="str">
        <f t="shared" si="123"/>
        <v>&gt;3</v>
      </c>
    </row>
    <row r="442" spans="1:43" x14ac:dyDescent="0.3">
      <c r="A442" t="s">
        <v>33</v>
      </c>
      <c r="B442" t="s">
        <v>366</v>
      </c>
      <c r="C442" t="s">
        <v>415</v>
      </c>
      <c r="D442">
        <v>2138</v>
      </c>
      <c r="E442">
        <v>23210185</v>
      </c>
      <c r="F442" t="s">
        <v>392</v>
      </c>
      <c r="G442" t="s">
        <v>393</v>
      </c>
      <c r="H442">
        <v>100</v>
      </c>
      <c r="I442">
        <v>11000</v>
      </c>
      <c r="J442">
        <v>1100000</v>
      </c>
      <c r="K442" s="7" t="str">
        <f>IFERROR(IF(B442&lt;&gt;"", TEXT(VLOOKUP(B442, 'Expected Date'!A:B, 2, FALSE) + DATE(RIGHT(C442,2),MID(C442,4,2),LEFT(C442,2)), "dd/mm/yy"), ""), "")</f>
        <v>23/05/23</v>
      </c>
      <c r="L442" t="s">
        <v>68</v>
      </c>
      <c r="M442" t="s">
        <v>48</v>
      </c>
      <c r="N442" t="s">
        <v>370</v>
      </c>
      <c r="O442" t="s">
        <v>432</v>
      </c>
      <c r="P442">
        <v>23290373</v>
      </c>
      <c r="Q442" t="s">
        <v>392</v>
      </c>
      <c r="R442" t="s">
        <v>393</v>
      </c>
      <c r="S442">
        <v>27.68</v>
      </c>
      <c r="T442">
        <v>11000</v>
      </c>
      <c r="U442">
        <v>304480</v>
      </c>
      <c r="V442" t="str">
        <f t="shared" si="124"/>
        <v>Dahej</v>
      </c>
      <c r="W442" t="str">
        <f>VLOOKUP(B442, Currency!A:B, 2, FALSE)</f>
        <v>INR</v>
      </c>
      <c r="X442" t="str">
        <f t="shared" si="125"/>
        <v>Accepted</v>
      </c>
      <c r="Y442">
        <f>IFERROR(VLOOKUP(N442, Payment_Terms!A:B, 2, FALSE), "Payment term not found!")</f>
        <v>15</v>
      </c>
      <c r="Z442" t="str">
        <f>IFERROR(VLOOKUP(R442, Item_Category!A:B, 2, FALSE), "Uncategorized")</f>
        <v>Coal materials</v>
      </c>
      <c r="AA442" s="5">
        <f t="shared" si="111"/>
        <v>0.15810000000000002</v>
      </c>
      <c r="AB442">
        <f t="shared" si="112"/>
        <v>1</v>
      </c>
      <c r="AC442" s="10">
        <f t="shared" si="113"/>
        <v>-1</v>
      </c>
      <c r="AD442">
        <f t="shared" si="114"/>
        <v>5</v>
      </c>
      <c r="AE442" s="10">
        <f t="shared" si="115"/>
        <v>1</v>
      </c>
      <c r="AF442" s="5">
        <f t="shared" si="108"/>
        <v>1</v>
      </c>
      <c r="AG442" s="5">
        <f t="shared" si="109"/>
        <v>1</v>
      </c>
      <c r="AH442" s="5">
        <f t="shared" si="116"/>
        <v>0</v>
      </c>
      <c r="AI442">
        <f>IF(B442&lt;&gt;"", COUNTIFS($B$2:B442, B442), "")</f>
        <v>34</v>
      </c>
      <c r="AJ442">
        <f t="shared" si="117"/>
        <v>5</v>
      </c>
      <c r="AK442">
        <f t="shared" si="110"/>
        <v>4</v>
      </c>
      <c r="AL442">
        <f t="shared" si="118"/>
        <v>5</v>
      </c>
      <c r="AM442" t="str">
        <f t="shared" si="119"/>
        <v>May</v>
      </c>
      <c r="AN442">
        <f t="shared" si="120"/>
        <v>2023</v>
      </c>
      <c r="AO442" t="str">
        <f t="shared" si="121"/>
        <v>&gt;3</v>
      </c>
      <c r="AP442" t="str">
        <f t="shared" si="122"/>
        <v>&lt;=3</v>
      </c>
      <c r="AQ442" t="str">
        <f t="shared" si="123"/>
        <v>&gt;3</v>
      </c>
    </row>
    <row r="443" spans="1:43" x14ac:dyDescent="0.3">
      <c r="A443" t="s">
        <v>33</v>
      </c>
      <c r="B443" t="s">
        <v>382</v>
      </c>
      <c r="C443" t="s">
        <v>193</v>
      </c>
      <c r="D443">
        <v>3152</v>
      </c>
      <c r="E443">
        <v>23210426</v>
      </c>
      <c r="F443" t="s">
        <v>479</v>
      </c>
      <c r="G443" t="s">
        <v>480</v>
      </c>
      <c r="H443">
        <v>1000</v>
      </c>
      <c r="I443">
        <v>38.700000000000003</v>
      </c>
      <c r="J443">
        <v>38700</v>
      </c>
      <c r="K443" s="7" t="str">
        <f>IFERROR(IF(B443&lt;&gt;"", TEXT(VLOOKUP(B443, 'Expected Date'!A:B, 2, FALSE) + DATE(RIGHT(C443,2),MID(C443,4,2),LEFT(C443,2)), "dd/mm/yy"), ""), "")</f>
        <v>27/07/23</v>
      </c>
      <c r="L443" t="s">
        <v>38</v>
      </c>
      <c r="M443" t="s">
        <v>48</v>
      </c>
      <c r="N443" t="s">
        <v>342</v>
      </c>
      <c r="O443" t="s">
        <v>116</v>
      </c>
      <c r="P443">
        <v>23290832</v>
      </c>
      <c r="Q443" t="s">
        <v>479</v>
      </c>
      <c r="R443" t="s">
        <v>480</v>
      </c>
      <c r="S443">
        <v>1000</v>
      </c>
      <c r="T443">
        <v>38.700000000000003</v>
      </c>
      <c r="U443">
        <v>38700</v>
      </c>
      <c r="V443" t="str">
        <f t="shared" si="124"/>
        <v>Dahej</v>
      </c>
      <c r="W443" t="str">
        <f>VLOOKUP(B443, Currency!A:B, 2, FALSE)</f>
        <v>INR</v>
      </c>
      <c r="X443" t="str">
        <f t="shared" si="125"/>
        <v>Accepted</v>
      </c>
      <c r="Y443">
        <f>IFERROR(VLOOKUP(N443, Payment_Terms!A:B, 2, FALSE), "Payment term not found!")</f>
        <v>30</v>
      </c>
      <c r="Z443" t="str">
        <f>IFERROR(VLOOKUP(R443, Item_Category!A:B, 2, FALSE), "Uncategorized")</f>
        <v>Soda Ash</v>
      </c>
      <c r="AA443" s="5">
        <f t="shared" si="111"/>
        <v>0</v>
      </c>
      <c r="AB443">
        <f t="shared" si="112"/>
        <v>5</v>
      </c>
      <c r="AC443" s="10">
        <f t="shared" si="113"/>
        <v>-9</v>
      </c>
      <c r="AD443">
        <f t="shared" si="114"/>
        <v>5</v>
      </c>
      <c r="AE443" s="10">
        <f t="shared" si="115"/>
        <v>1</v>
      </c>
      <c r="AF443" s="5">
        <f t="shared" si="108"/>
        <v>1</v>
      </c>
      <c r="AG443" s="5">
        <f t="shared" si="109"/>
        <v>1</v>
      </c>
      <c r="AH443" s="5">
        <f t="shared" si="116"/>
        <v>0</v>
      </c>
      <c r="AI443">
        <f>IF(B443&lt;&gt;"", COUNTIFS($B$2:B443, B443), "")</f>
        <v>9</v>
      </c>
      <c r="AJ443">
        <f t="shared" si="117"/>
        <v>5</v>
      </c>
      <c r="AK443">
        <f t="shared" si="110"/>
        <v>5</v>
      </c>
      <c r="AL443">
        <f t="shared" si="118"/>
        <v>7</v>
      </c>
      <c r="AM443" t="str">
        <f t="shared" si="119"/>
        <v>July</v>
      </c>
      <c r="AN443">
        <f t="shared" si="120"/>
        <v>2023</v>
      </c>
      <c r="AO443" t="str">
        <f t="shared" si="121"/>
        <v>&gt;3</v>
      </c>
      <c r="AP443" t="str">
        <f t="shared" si="122"/>
        <v>&gt;3</v>
      </c>
      <c r="AQ443" t="str">
        <f t="shared" si="123"/>
        <v>&gt;3</v>
      </c>
    </row>
    <row r="444" spans="1:43" x14ac:dyDescent="0.3">
      <c r="A444" t="s">
        <v>33</v>
      </c>
      <c r="B444" t="s">
        <v>382</v>
      </c>
      <c r="C444" t="s">
        <v>193</v>
      </c>
      <c r="D444">
        <v>3152</v>
      </c>
      <c r="E444">
        <v>23210426</v>
      </c>
      <c r="F444" t="s">
        <v>412</v>
      </c>
      <c r="G444" t="s">
        <v>413</v>
      </c>
      <c r="H444">
        <v>1000</v>
      </c>
      <c r="I444">
        <v>19.7</v>
      </c>
      <c r="J444">
        <v>19700</v>
      </c>
      <c r="K444" s="7" t="str">
        <f>IFERROR(IF(B444&lt;&gt;"", TEXT(VLOOKUP(B444, 'Expected Date'!A:B, 2, FALSE) + DATE(RIGHT(C444,2),MID(C444,4,2),LEFT(C444,2)), "dd/mm/yy"), ""), "")</f>
        <v>27/07/23</v>
      </c>
      <c r="L444" t="s">
        <v>38</v>
      </c>
      <c r="M444" t="s">
        <v>48</v>
      </c>
      <c r="N444" t="s">
        <v>342</v>
      </c>
      <c r="O444" t="s">
        <v>116</v>
      </c>
      <c r="P444">
        <v>23290832</v>
      </c>
      <c r="Q444" t="s">
        <v>412</v>
      </c>
      <c r="R444" t="s">
        <v>413</v>
      </c>
      <c r="S444">
        <v>1000</v>
      </c>
      <c r="T444">
        <v>19.7</v>
      </c>
      <c r="U444">
        <v>19700</v>
      </c>
      <c r="V444" t="str">
        <f t="shared" si="124"/>
        <v>Dahej</v>
      </c>
      <c r="W444" t="str">
        <f>VLOOKUP(B444, Currency!A:B, 2, FALSE)</f>
        <v>INR</v>
      </c>
      <c r="X444" t="str">
        <f t="shared" si="125"/>
        <v>Accepted</v>
      </c>
      <c r="Y444">
        <f>IFERROR(VLOOKUP(N444, Payment_Terms!A:B, 2, FALSE), "Payment term not found!")</f>
        <v>30</v>
      </c>
      <c r="Z444" t="str">
        <f>IFERROR(VLOOKUP(R444, Item_Category!A:B, 2, FALSE), "Uncategorized")</f>
        <v>NON FERRIC ALUM</v>
      </c>
      <c r="AA444" s="5">
        <f t="shared" si="111"/>
        <v>0</v>
      </c>
      <c r="AB444">
        <f t="shared" si="112"/>
        <v>5</v>
      </c>
      <c r="AC444" s="10">
        <f t="shared" si="113"/>
        <v>-9</v>
      </c>
      <c r="AD444">
        <f t="shared" si="114"/>
        <v>5</v>
      </c>
      <c r="AE444" s="10">
        <f t="shared" si="115"/>
        <v>1</v>
      </c>
      <c r="AF444" s="5">
        <f t="shared" si="108"/>
        <v>1</v>
      </c>
      <c r="AG444" s="5">
        <f t="shared" si="109"/>
        <v>1</v>
      </c>
      <c r="AH444" s="5">
        <f t="shared" si="116"/>
        <v>0</v>
      </c>
      <c r="AI444">
        <f>IF(B444&lt;&gt;"", COUNTIFS($B$2:B444, B444), "")</f>
        <v>10</v>
      </c>
      <c r="AJ444">
        <f t="shared" si="117"/>
        <v>5</v>
      </c>
      <c r="AK444">
        <f t="shared" si="110"/>
        <v>5</v>
      </c>
      <c r="AL444">
        <f t="shared" si="118"/>
        <v>7</v>
      </c>
      <c r="AM444" t="str">
        <f t="shared" si="119"/>
        <v>July</v>
      </c>
      <c r="AN444">
        <f t="shared" si="120"/>
        <v>2023</v>
      </c>
      <c r="AO444" t="str">
        <f t="shared" si="121"/>
        <v>&gt;3</v>
      </c>
      <c r="AP444" t="str">
        <f t="shared" si="122"/>
        <v>&gt;3</v>
      </c>
      <c r="AQ444" t="str">
        <f t="shared" si="123"/>
        <v>&gt;3</v>
      </c>
    </row>
    <row r="445" spans="1:43" x14ac:dyDescent="0.3">
      <c r="A445" t="s">
        <v>33</v>
      </c>
      <c r="B445" t="s">
        <v>395</v>
      </c>
      <c r="C445" t="s">
        <v>88</v>
      </c>
      <c r="D445">
        <v>2928</v>
      </c>
      <c r="E445">
        <v>23210383</v>
      </c>
      <c r="F445" t="s">
        <v>392</v>
      </c>
      <c r="G445" t="s">
        <v>393</v>
      </c>
      <c r="H445">
        <v>200</v>
      </c>
      <c r="I445">
        <v>10700</v>
      </c>
      <c r="J445">
        <v>2140000</v>
      </c>
      <c r="K445" s="7" t="str">
        <f>IFERROR(IF(B445&lt;&gt;"", TEXT(VLOOKUP(B445, 'Expected Date'!A:B, 2, FALSE) + DATE(RIGHT(C445,2),MID(C445,4,2),LEFT(C445,2)), "dd/mm/yy"), ""), "")</f>
        <v>09/07/23</v>
      </c>
      <c r="L445" t="s">
        <v>68</v>
      </c>
      <c r="M445" t="s">
        <v>48</v>
      </c>
      <c r="N445" t="s">
        <v>370</v>
      </c>
      <c r="O445" t="s">
        <v>120</v>
      </c>
      <c r="P445">
        <v>23290844</v>
      </c>
      <c r="Q445" t="s">
        <v>392</v>
      </c>
      <c r="R445" t="s">
        <v>393</v>
      </c>
      <c r="S445">
        <v>27</v>
      </c>
      <c r="T445">
        <v>10700</v>
      </c>
      <c r="U445">
        <v>288900</v>
      </c>
      <c r="V445" t="str">
        <f t="shared" si="124"/>
        <v>Dahej</v>
      </c>
      <c r="W445" t="str">
        <f>VLOOKUP(B445, Currency!A:B, 2, FALSE)</f>
        <v>INR</v>
      </c>
      <c r="X445" t="str">
        <f t="shared" si="125"/>
        <v>Accepted</v>
      </c>
      <c r="Y445">
        <f>IFERROR(VLOOKUP(N445, Payment_Terms!A:B, 2, FALSE), "Payment term not found!")</f>
        <v>15</v>
      </c>
      <c r="Z445" t="str">
        <f>IFERROR(VLOOKUP(R445, Item_Category!A:B, 2, FALSE), "Uncategorized")</f>
        <v>Coal materials</v>
      </c>
      <c r="AA445" s="5">
        <f t="shared" si="111"/>
        <v>5.1500000000000053E-3</v>
      </c>
      <c r="AB445">
        <f t="shared" si="112"/>
        <v>4</v>
      </c>
      <c r="AC445" s="10">
        <f t="shared" si="113"/>
        <v>11</v>
      </c>
      <c r="AD445">
        <f t="shared" si="114"/>
        <v>1</v>
      </c>
      <c r="AE445" s="10">
        <f t="shared" si="115"/>
        <v>16</v>
      </c>
      <c r="AF445" s="5">
        <f t="shared" si="108"/>
        <v>1</v>
      </c>
      <c r="AG445" s="5">
        <f t="shared" si="109"/>
        <v>1</v>
      </c>
      <c r="AH445" s="5">
        <f t="shared" si="116"/>
        <v>0</v>
      </c>
      <c r="AI445">
        <f>IF(B445&lt;&gt;"", COUNTIFS($B$2:B445, B445), "")</f>
        <v>14</v>
      </c>
      <c r="AJ445">
        <f t="shared" si="117"/>
        <v>5</v>
      </c>
      <c r="AK445">
        <f t="shared" si="110"/>
        <v>4</v>
      </c>
      <c r="AL445">
        <f t="shared" si="118"/>
        <v>7</v>
      </c>
      <c r="AM445" t="str">
        <f t="shared" si="119"/>
        <v>July</v>
      </c>
      <c r="AN445">
        <f t="shared" si="120"/>
        <v>2023</v>
      </c>
      <c r="AO445" t="str">
        <f t="shared" si="121"/>
        <v>&gt;3</v>
      </c>
      <c r="AP445" t="str">
        <f t="shared" si="122"/>
        <v>&gt;3</v>
      </c>
      <c r="AQ445" t="str">
        <f t="shared" si="123"/>
        <v>&lt;=3</v>
      </c>
    </row>
    <row r="446" spans="1:43" x14ac:dyDescent="0.3">
      <c r="A446" t="s">
        <v>33</v>
      </c>
      <c r="B446" t="s">
        <v>371</v>
      </c>
      <c r="C446" t="s">
        <v>482</v>
      </c>
      <c r="D446">
        <v>4236</v>
      </c>
      <c r="E446">
        <v>23210630</v>
      </c>
      <c r="F446" t="s">
        <v>372</v>
      </c>
      <c r="G446" t="s">
        <v>373</v>
      </c>
      <c r="H446">
        <v>20</v>
      </c>
      <c r="I446">
        <v>1100</v>
      </c>
      <c r="J446">
        <v>22000</v>
      </c>
      <c r="K446" s="7" t="str">
        <f>IFERROR(IF(B446&lt;&gt;"", TEXT(VLOOKUP(B446, 'Expected Date'!A:B, 2, FALSE) + DATE(RIGHT(C446,2),MID(C446,4,2),LEFT(C446,2)), "dd/mm/yy"), ""), "")</f>
        <v>12/09/23</v>
      </c>
      <c r="L446" t="s">
        <v>38</v>
      </c>
      <c r="M446" t="s">
        <v>48</v>
      </c>
      <c r="N446" t="s">
        <v>342</v>
      </c>
      <c r="O446" t="s">
        <v>154</v>
      </c>
      <c r="P446">
        <v>23291468</v>
      </c>
      <c r="Q446" t="s">
        <v>372</v>
      </c>
      <c r="R446" t="s">
        <v>373</v>
      </c>
      <c r="S446">
        <v>9.9600000000000009</v>
      </c>
      <c r="T446">
        <v>1100</v>
      </c>
      <c r="U446">
        <v>10956</v>
      </c>
      <c r="V446" t="str">
        <f t="shared" si="124"/>
        <v>Dahej</v>
      </c>
      <c r="W446" t="str">
        <f>VLOOKUP(B446, Currency!A:B, 2, FALSE)</f>
        <v>INR</v>
      </c>
      <c r="X446" t="str">
        <f t="shared" si="125"/>
        <v>Accepted</v>
      </c>
      <c r="Y446">
        <f>IFERROR(VLOOKUP(N446, Payment_Terms!A:B, 2, FALSE), "Payment term not found!")</f>
        <v>30</v>
      </c>
      <c r="Z446" t="str">
        <f>IFERROR(VLOOKUP(R446, Item_Category!A:B, 2, FALSE), "Uncategorized")</f>
        <v>HCL</v>
      </c>
      <c r="AA446" s="5">
        <f t="shared" si="111"/>
        <v>0</v>
      </c>
      <c r="AB446">
        <f t="shared" si="112"/>
        <v>5</v>
      </c>
      <c r="AC446" s="10">
        <f t="shared" si="113"/>
        <v>8</v>
      </c>
      <c r="AD446">
        <f t="shared" si="114"/>
        <v>2</v>
      </c>
      <c r="AE446" s="10">
        <f t="shared" si="115"/>
        <v>13</v>
      </c>
      <c r="AF446" s="5">
        <f t="shared" si="108"/>
        <v>1</v>
      </c>
      <c r="AG446" s="5">
        <f t="shared" si="109"/>
        <v>1</v>
      </c>
      <c r="AH446" s="5">
        <f t="shared" si="116"/>
        <v>0</v>
      </c>
      <c r="AI446">
        <f>IF(B446&lt;&gt;"", COUNTIFS($B$2:B446, B446), "")</f>
        <v>8</v>
      </c>
      <c r="AJ446">
        <f t="shared" si="117"/>
        <v>5</v>
      </c>
      <c r="AK446">
        <f t="shared" si="110"/>
        <v>5</v>
      </c>
      <c r="AL446">
        <f t="shared" si="118"/>
        <v>9</v>
      </c>
      <c r="AM446" t="str">
        <f t="shared" si="119"/>
        <v>September</v>
      </c>
      <c r="AN446">
        <f t="shared" si="120"/>
        <v>2023</v>
      </c>
      <c r="AO446" t="str">
        <f t="shared" si="121"/>
        <v>&gt;3</v>
      </c>
      <c r="AP446" t="str">
        <f t="shared" si="122"/>
        <v>&gt;3</v>
      </c>
      <c r="AQ446" t="str">
        <f t="shared" si="123"/>
        <v>&lt;=3</v>
      </c>
    </row>
    <row r="447" spans="1:43" x14ac:dyDescent="0.3">
      <c r="A447" t="str">
        <f>A355</f>
        <v>Woodpulp</v>
      </c>
      <c r="B447" t="s">
        <v>140</v>
      </c>
      <c r="C447" t="s">
        <v>146</v>
      </c>
      <c r="D447">
        <v>1749</v>
      </c>
      <c r="E447">
        <v>23220017</v>
      </c>
      <c r="F447" t="s">
        <v>359</v>
      </c>
      <c r="G447" t="s">
        <v>360</v>
      </c>
      <c r="H447">
        <v>100</v>
      </c>
      <c r="I447">
        <v>830</v>
      </c>
      <c r="J447">
        <v>6710550</v>
      </c>
      <c r="K447" s="7" t="str">
        <f>IFERROR(IF(B447&lt;&gt;"", TEXT(VLOOKUP(B447, 'Expected Date'!A:B, 2, FALSE) + DATE(RIGHT(C447,2),MID(C447,4,2),LEFT(C447,2)), "dd/mm/yy"), ""), "")</f>
        <v>23/06/23</v>
      </c>
      <c r="L447" t="s">
        <v>68</v>
      </c>
      <c r="M447" t="str">
        <f>M355</f>
        <v>MT</v>
      </c>
      <c r="N447" t="s">
        <v>144</v>
      </c>
      <c r="O447" t="s">
        <v>416</v>
      </c>
      <c r="P447">
        <v>23290392</v>
      </c>
      <c r="Q447" t="s">
        <v>359</v>
      </c>
      <c r="R447" t="s">
        <v>360</v>
      </c>
      <c r="S447">
        <v>98.521000000000001</v>
      </c>
      <c r="T447">
        <v>830</v>
      </c>
      <c r="U447">
        <v>6668541.6699999999</v>
      </c>
      <c r="V447" t="str">
        <f t="shared" si="124"/>
        <v>Dahej</v>
      </c>
      <c r="W447" t="str">
        <f>VLOOKUP(B447, Currency!A:B, 2, FALSE)</f>
        <v>USD</v>
      </c>
      <c r="X447" t="str">
        <f t="shared" si="125"/>
        <v>Accepted</v>
      </c>
      <c r="Y447">
        <f>IFERROR(VLOOKUP(N447, Payment_Terms!A:B, 2, FALSE), "Payment term not found!")</f>
        <v>30</v>
      </c>
      <c r="Z447" t="str">
        <f>IFERROR(VLOOKUP(R447, Item_Category!A:B, 2, FALSE), "Uncategorized")</f>
        <v>Wood pulp</v>
      </c>
      <c r="AA447" s="5">
        <f t="shared" si="111"/>
        <v>1.4789999999999992E-2</v>
      </c>
      <c r="AB447">
        <f t="shared" si="112"/>
        <v>4</v>
      </c>
      <c r="AC447" s="10">
        <f t="shared" si="113"/>
        <v>-34</v>
      </c>
      <c r="AD447">
        <f t="shared" si="114"/>
        <v>5</v>
      </c>
      <c r="AE447" s="10">
        <f t="shared" si="115"/>
        <v>11</v>
      </c>
      <c r="AF447" s="5">
        <f t="shared" si="108"/>
        <v>1</v>
      </c>
      <c r="AG447" s="5">
        <f t="shared" si="109"/>
        <v>1</v>
      </c>
      <c r="AH447" s="5">
        <f t="shared" si="116"/>
        <v>0</v>
      </c>
      <c r="AI447">
        <f>IF(B447&lt;&gt;"", COUNTIFS($B$2:B447, B447), "")</f>
        <v>19</v>
      </c>
      <c r="AJ447">
        <f t="shared" si="117"/>
        <v>5</v>
      </c>
      <c r="AK447">
        <f t="shared" si="110"/>
        <v>5</v>
      </c>
      <c r="AL447">
        <f t="shared" si="118"/>
        <v>5</v>
      </c>
      <c r="AM447" t="str">
        <f t="shared" si="119"/>
        <v>May</v>
      </c>
      <c r="AN447">
        <f t="shared" si="120"/>
        <v>2023</v>
      </c>
      <c r="AO447" t="str">
        <f t="shared" si="121"/>
        <v>&gt;3</v>
      </c>
      <c r="AP447" t="str">
        <f t="shared" si="122"/>
        <v>&gt;3</v>
      </c>
      <c r="AQ447" t="str">
        <f t="shared" si="123"/>
        <v>&gt;3</v>
      </c>
    </row>
    <row r="448" spans="1:43" x14ac:dyDescent="0.3">
      <c r="A448" t="s">
        <v>33</v>
      </c>
      <c r="B448" t="s">
        <v>492</v>
      </c>
      <c r="C448" t="s">
        <v>89</v>
      </c>
      <c r="D448">
        <v>3006</v>
      </c>
      <c r="E448">
        <v>23210408</v>
      </c>
      <c r="F448" t="s">
        <v>399</v>
      </c>
      <c r="G448" t="s">
        <v>400</v>
      </c>
      <c r="H448">
        <v>150</v>
      </c>
      <c r="I448">
        <v>60</v>
      </c>
      <c r="J448">
        <v>9000</v>
      </c>
      <c r="K448" s="7" t="str">
        <f>IFERROR(IF(B448&lt;&gt;"", TEXT(VLOOKUP(B448, 'Expected Date'!A:B, 2, FALSE) + DATE(RIGHT(C448,2),MID(C448,4,2),LEFT(C448,2)), "dd/mm/yy"), ""), "")</f>
        <v>10/07/23</v>
      </c>
      <c r="L448" t="s">
        <v>38</v>
      </c>
      <c r="M448" t="s">
        <v>39</v>
      </c>
      <c r="N448" t="s">
        <v>342</v>
      </c>
      <c r="O448" t="s">
        <v>117</v>
      </c>
      <c r="P448">
        <v>23290784</v>
      </c>
      <c r="Q448" t="s">
        <v>399</v>
      </c>
      <c r="R448" t="s">
        <v>400</v>
      </c>
      <c r="S448">
        <v>150</v>
      </c>
      <c r="T448">
        <v>60</v>
      </c>
      <c r="U448">
        <v>9000</v>
      </c>
      <c r="V448" t="str">
        <f t="shared" si="124"/>
        <v>Dahej</v>
      </c>
      <c r="W448" t="str">
        <f>VLOOKUP(B448, Currency!A:B, 2, FALSE)</f>
        <v>INR</v>
      </c>
      <c r="X448" t="str">
        <f t="shared" si="125"/>
        <v>Accepted</v>
      </c>
      <c r="Y448">
        <f>IFERROR(VLOOKUP(N448, Payment_Terms!A:B, 2, FALSE), "Payment term not found!")</f>
        <v>30</v>
      </c>
      <c r="Z448" t="str">
        <f>IFERROR(VLOOKUP(R448, Item_Category!A:B, 2, FALSE), "Uncategorized")</f>
        <v>Ply sheets</v>
      </c>
      <c r="AA448" s="5">
        <f t="shared" si="111"/>
        <v>0</v>
      </c>
      <c r="AB448">
        <f t="shared" si="112"/>
        <v>5</v>
      </c>
      <c r="AC448" s="10">
        <f t="shared" si="113"/>
        <v>-3</v>
      </c>
      <c r="AD448">
        <f t="shared" si="114"/>
        <v>5</v>
      </c>
      <c r="AE448" s="10">
        <f t="shared" si="115"/>
        <v>2</v>
      </c>
      <c r="AF448" s="5">
        <f t="shared" si="108"/>
        <v>1</v>
      </c>
      <c r="AG448" s="5">
        <f t="shared" si="109"/>
        <v>1</v>
      </c>
      <c r="AH448" s="5">
        <f t="shared" si="116"/>
        <v>0</v>
      </c>
      <c r="AI448">
        <f>IF(B448&lt;&gt;"", COUNTIFS($B$2:B448, B448), "")</f>
        <v>1</v>
      </c>
      <c r="AJ448">
        <f t="shared" si="117"/>
        <v>5</v>
      </c>
      <c r="AK448">
        <f t="shared" si="110"/>
        <v>5</v>
      </c>
      <c r="AL448">
        <f t="shared" si="118"/>
        <v>7</v>
      </c>
      <c r="AM448" t="str">
        <f t="shared" si="119"/>
        <v>July</v>
      </c>
      <c r="AN448">
        <f t="shared" si="120"/>
        <v>2023</v>
      </c>
      <c r="AO448" t="str">
        <f t="shared" si="121"/>
        <v>&gt;3</v>
      </c>
      <c r="AP448" t="str">
        <f t="shared" si="122"/>
        <v>&gt;3</v>
      </c>
      <c r="AQ448" t="str">
        <f t="shared" si="123"/>
        <v>&gt;3</v>
      </c>
    </row>
    <row r="449" spans="1:43" x14ac:dyDescent="0.3">
      <c r="A449" t="s">
        <v>33</v>
      </c>
      <c r="B449" t="s">
        <v>122</v>
      </c>
      <c r="C449" t="s">
        <v>192</v>
      </c>
      <c r="D449">
        <v>3695</v>
      </c>
      <c r="E449">
        <v>23210540</v>
      </c>
      <c r="F449" t="s">
        <v>405</v>
      </c>
      <c r="G449" t="s">
        <v>406</v>
      </c>
      <c r="H449">
        <v>600</v>
      </c>
      <c r="I449">
        <v>930</v>
      </c>
      <c r="J449">
        <v>558000</v>
      </c>
      <c r="K449" s="7" t="str">
        <f>IFERROR(IF(B449&lt;&gt;"", TEXT(VLOOKUP(B449, 'Expected Date'!A:B, 2, FALSE) + DATE(RIGHT(C449,2),MID(C449,4,2),LEFT(C449,2)), "dd/mm/yy"), ""), "")</f>
        <v>29/08/23</v>
      </c>
      <c r="L449" t="s">
        <v>38</v>
      </c>
      <c r="M449" t="s">
        <v>39</v>
      </c>
      <c r="N449" t="s">
        <v>364</v>
      </c>
      <c r="O449" t="s">
        <v>493</v>
      </c>
      <c r="P449">
        <v>23291302</v>
      </c>
      <c r="Q449" t="s">
        <v>405</v>
      </c>
      <c r="R449" t="s">
        <v>406</v>
      </c>
      <c r="S449">
        <v>180</v>
      </c>
      <c r="T449">
        <v>930</v>
      </c>
      <c r="U449">
        <v>167400</v>
      </c>
      <c r="V449" t="str">
        <f t="shared" si="124"/>
        <v>Dahej</v>
      </c>
      <c r="W449" t="str">
        <f>VLOOKUP(B449, Currency!A:B, 2, FALSE)</f>
        <v>INR</v>
      </c>
      <c r="X449" t="str">
        <f t="shared" si="125"/>
        <v>Accepted</v>
      </c>
      <c r="Y449">
        <f>IFERROR(VLOOKUP(N449, Payment_Terms!A:B, 2, FALSE), "Payment term not found!")</f>
        <v>30</v>
      </c>
      <c r="Z449" t="str">
        <f>IFERROR(VLOOKUP(R449, Item_Category!A:B, 2, FALSE), "Uncategorized")</f>
        <v>Pallets</v>
      </c>
      <c r="AA449" s="5">
        <f t="shared" si="111"/>
        <v>0</v>
      </c>
      <c r="AB449">
        <f t="shared" si="112"/>
        <v>5</v>
      </c>
      <c r="AC449" s="10">
        <f t="shared" si="113"/>
        <v>5</v>
      </c>
      <c r="AD449">
        <f t="shared" si="114"/>
        <v>3</v>
      </c>
      <c r="AE449" s="10">
        <f t="shared" si="115"/>
        <v>20</v>
      </c>
      <c r="AF449" s="5">
        <f t="shared" si="108"/>
        <v>1</v>
      </c>
      <c r="AG449" s="5">
        <f t="shared" si="109"/>
        <v>1</v>
      </c>
      <c r="AH449" s="5">
        <f t="shared" si="116"/>
        <v>0</v>
      </c>
      <c r="AI449">
        <f>IF(B449&lt;&gt;"", COUNTIFS($B$2:B449, B449), "")</f>
        <v>21</v>
      </c>
      <c r="AJ449">
        <f t="shared" si="117"/>
        <v>5</v>
      </c>
      <c r="AK449">
        <f t="shared" si="110"/>
        <v>5</v>
      </c>
      <c r="AL449">
        <f t="shared" si="118"/>
        <v>8</v>
      </c>
      <c r="AM449" t="str">
        <f t="shared" si="119"/>
        <v>August</v>
      </c>
      <c r="AN449">
        <f t="shared" si="120"/>
        <v>2023</v>
      </c>
      <c r="AO449" t="str">
        <f t="shared" si="121"/>
        <v>&gt;3</v>
      </c>
      <c r="AP449" t="str">
        <f t="shared" si="122"/>
        <v>&gt;3</v>
      </c>
      <c r="AQ449" t="str">
        <f t="shared" si="123"/>
        <v>&lt;=3</v>
      </c>
    </row>
    <row r="450" spans="1:43" x14ac:dyDescent="0.3">
      <c r="A450" t="s">
        <v>33</v>
      </c>
      <c r="B450" t="s">
        <v>386</v>
      </c>
      <c r="C450" t="s">
        <v>178</v>
      </c>
      <c r="D450">
        <v>4141</v>
      </c>
      <c r="E450">
        <v>23210604</v>
      </c>
      <c r="F450" t="s">
        <v>494</v>
      </c>
      <c r="G450" t="s">
        <v>495</v>
      </c>
      <c r="H450">
        <v>120</v>
      </c>
      <c r="I450">
        <v>510</v>
      </c>
      <c r="J450">
        <v>61200</v>
      </c>
      <c r="K450" s="7" t="str">
        <f>IFERROR(IF(B450&lt;&gt;"", TEXT(VLOOKUP(B450, 'Expected Date'!A:B, 2, FALSE) + DATE(RIGHT(C450,2),MID(C450,4,2),LEFT(C450,2)), "dd/mm/yy"), ""), "")</f>
        <v>06/09/23</v>
      </c>
      <c r="L450" t="s">
        <v>38</v>
      </c>
      <c r="M450" t="s">
        <v>48</v>
      </c>
      <c r="N450" t="s">
        <v>342</v>
      </c>
      <c r="O450" t="s">
        <v>496</v>
      </c>
      <c r="P450">
        <v>23291303</v>
      </c>
      <c r="Q450" t="s">
        <v>494</v>
      </c>
      <c r="R450" t="s">
        <v>495</v>
      </c>
      <c r="S450">
        <v>120</v>
      </c>
      <c r="T450">
        <v>510</v>
      </c>
      <c r="U450">
        <v>61200</v>
      </c>
      <c r="V450" t="str">
        <f t="shared" si="124"/>
        <v>Dahej</v>
      </c>
      <c r="W450" t="str">
        <f>VLOOKUP(B450, Currency!A:B, 2, FALSE)</f>
        <v>INR</v>
      </c>
      <c r="X450" t="str">
        <f t="shared" si="125"/>
        <v>Accepted</v>
      </c>
      <c r="Y450">
        <f>IFERROR(VLOOKUP(N450, Payment_Terms!A:B, 2, FALSE), "Payment term not found!")</f>
        <v>30</v>
      </c>
      <c r="Z450" t="str">
        <f>IFERROR(VLOOKUP(R450, Item_Category!A:B, 2, FALSE), "Uncategorized")</f>
        <v>Strapping rolls</v>
      </c>
      <c r="AA450" s="5">
        <f t="shared" si="111"/>
        <v>0</v>
      </c>
      <c r="AB450">
        <f t="shared" si="112"/>
        <v>5</v>
      </c>
      <c r="AC450" s="10">
        <f t="shared" si="113"/>
        <v>-4</v>
      </c>
      <c r="AD450">
        <f t="shared" si="114"/>
        <v>5</v>
      </c>
      <c r="AE450" s="10">
        <f t="shared" si="115"/>
        <v>1</v>
      </c>
      <c r="AF450" s="5">
        <f t="shared" ref="AF450:AF513" si="126">IF(X450="Accepted",1,0)</f>
        <v>1</v>
      </c>
      <c r="AG450" s="5">
        <f t="shared" ref="AG450:AG513" si="127">ROUNDUP((SUMIFS(S:S, B:B, B450, X:X, "Accepted")/SUMIF(B:B,B450,S:S)),2)</f>
        <v>1</v>
      </c>
      <c r="AH450" s="5">
        <f t="shared" si="116"/>
        <v>0</v>
      </c>
      <c r="AI450">
        <f>IF(B450&lt;&gt;"", COUNTIFS($B$2:B450, B450), "")</f>
        <v>10</v>
      </c>
      <c r="AJ450">
        <f t="shared" si="117"/>
        <v>5</v>
      </c>
      <c r="AK450">
        <f t="shared" ref="AK450:AK513" si="128">_xlfn.CEILING.MATH(((0.4*AJ450)+(0.3*AD450)+(0.3*AB450)),1)</f>
        <v>5</v>
      </c>
      <c r="AL450">
        <f t="shared" si="118"/>
        <v>9</v>
      </c>
      <c r="AM450" t="str">
        <f t="shared" si="119"/>
        <v>September</v>
      </c>
      <c r="AN450">
        <f t="shared" si="120"/>
        <v>2023</v>
      </c>
      <c r="AO450" t="str">
        <f t="shared" si="121"/>
        <v>&gt;3</v>
      </c>
      <c r="AP450" t="str">
        <f t="shared" si="122"/>
        <v>&gt;3</v>
      </c>
      <c r="AQ450" t="str">
        <f t="shared" si="123"/>
        <v>&gt;3</v>
      </c>
    </row>
    <row r="451" spans="1:43" x14ac:dyDescent="0.3">
      <c r="A451" t="s">
        <v>33</v>
      </c>
      <c r="B451" t="s">
        <v>386</v>
      </c>
      <c r="C451" t="s">
        <v>178</v>
      </c>
      <c r="D451">
        <v>4141</v>
      </c>
      <c r="E451">
        <v>23210604</v>
      </c>
      <c r="F451" t="s">
        <v>497</v>
      </c>
      <c r="G451" t="s">
        <v>498</v>
      </c>
      <c r="H451">
        <v>505</v>
      </c>
      <c r="I451">
        <v>19.5</v>
      </c>
      <c r="J451">
        <v>9847.5</v>
      </c>
      <c r="K451" s="7" t="str">
        <f>IFERROR(IF(B451&lt;&gt;"", TEXT(VLOOKUP(B451, 'Expected Date'!A:B, 2, FALSE) + DATE(RIGHT(C451,2),MID(C451,4,2),LEFT(C451,2)), "dd/mm/yy"), ""), "")</f>
        <v>06/09/23</v>
      </c>
      <c r="L451" t="s">
        <v>68</v>
      </c>
      <c r="M451" t="s">
        <v>39</v>
      </c>
      <c r="N451" t="s">
        <v>342</v>
      </c>
      <c r="O451" t="s">
        <v>496</v>
      </c>
      <c r="P451">
        <v>23291303</v>
      </c>
      <c r="Q451" t="s">
        <v>497</v>
      </c>
      <c r="R451" t="s">
        <v>498</v>
      </c>
      <c r="S451">
        <v>501</v>
      </c>
      <c r="T451">
        <v>19.5</v>
      </c>
      <c r="U451">
        <v>9769.5</v>
      </c>
      <c r="V451" t="str">
        <f t="shared" si="124"/>
        <v>Dahej</v>
      </c>
      <c r="W451" t="str">
        <f>VLOOKUP(B451, Currency!A:B, 2, FALSE)</f>
        <v>INR</v>
      </c>
      <c r="X451" t="str">
        <f t="shared" si="125"/>
        <v>Accepted</v>
      </c>
      <c r="Y451">
        <f>IFERROR(VLOOKUP(N451, Payment_Terms!A:B, 2, FALSE), "Payment term not found!")</f>
        <v>30</v>
      </c>
      <c r="Z451" t="str">
        <f>IFERROR(VLOOKUP(R451, Item_Category!A:B, 2, FALSE), "Uncategorized")</f>
        <v>HDPE blue bag</v>
      </c>
      <c r="AA451" s="5">
        <f t="shared" ref="AA451:AA514" si="129">IFERROR(IF(AND(E451&lt;&gt;"", G451&lt;&gt;""), MAX(0, (H451-SUMIFS(S:S, E:E, E451, G:G, G451))/H451), ""), (H451-S451)/H451)</f>
        <v>7.9207920792079209E-3</v>
      </c>
      <c r="AB451">
        <f t="shared" ref="AB451:AB514" si="130">IF(AA451&lt;=0%,5,(IF(AND(AA451&gt;0%,AA451&lt;=2%),4,IF(AND(AA451&gt;2%,AA451&lt;=5%),3,IF(AND(AA451&gt;5%,AA451&lt;10%),2,1)))))</f>
        <v>4</v>
      </c>
      <c r="AC451" s="10">
        <f t="shared" ref="AC451:AC514" si="131">DATE(RIGHT(O451,2),MID(O451,4,2),LEFT(O451,2)) - DATE(RIGHT(K451,2),MID(K451,4,2),LEFT(K451,2))</f>
        <v>-4</v>
      </c>
      <c r="AD451">
        <f t="shared" ref="AD451:AD514" si="132">IF(AC451 &lt;= 2, 5, IF(AC451 &lt;= 4, 4, IF(AC451 &lt;= 7, 3, IF(AC451&lt;=10,2,1))))</f>
        <v>5</v>
      </c>
      <c r="AE451" s="10">
        <f t="shared" ref="AE451:AE514" si="133">ABS(DATE(RIGHT(O451,2),MID(O451,4,2),LEFT(O451,2)) - DATE(RIGHT(C451,2),MID(C451,4,2),LEFT(C451,2)))</f>
        <v>1</v>
      </c>
      <c r="AF451" s="5">
        <f t="shared" si="126"/>
        <v>1</v>
      </c>
      <c r="AG451" s="5">
        <f t="shared" si="127"/>
        <v>1</v>
      </c>
      <c r="AH451" s="5">
        <f t="shared" ref="AH451:AH514" si="134">ROUNDUP(ABS(100%-AG451),2)</f>
        <v>0</v>
      </c>
      <c r="AI451">
        <f>IF(B451&lt;&gt;"", COUNTIFS($B$2:B451, B451), "")</f>
        <v>11</v>
      </c>
      <c r="AJ451">
        <f t="shared" ref="AJ451:AJ514" si="135">IF(AH451=0%,5,IF(AND(AH451&gt;0%,AH451&lt;=2%),4,IF(AND(AH451&gt;2%,AH451&lt;=5%),3,IF(AND(AH451&gt;5%,AH451&lt;10%),2,1))))</f>
        <v>5</v>
      </c>
      <c r="AK451">
        <f t="shared" si="128"/>
        <v>5</v>
      </c>
      <c r="AL451">
        <f t="shared" ref="AL451:AL514" si="136">MONTH(DATE(RIGHT(C451,2),MID(C451,4,2),LEFT(C451,2)))</f>
        <v>9</v>
      </c>
      <c r="AM451" t="str">
        <f t="shared" ref="AM451:AM514" si="137">TEXT(DATE(RIGHT(C451,2),MID(C451,4,2),LEFT(C451,2)),"mmmm")</f>
        <v>September</v>
      </c>
      <c r="AN451">
        <f t="shared" ref="AN451:AN514" si="138">YEAR(DATE(VALUE(MID(C451,7,2))+2000, MID(C451,4,2), MID(C451,1,2)))</f>
        <v>2023</v>
      </c>
      <c r="AO451" t="str">
        <f t="shared" ref="AO451:AO514" si="139">IF(AJ451&lt;=3,"&lt;=3","&gt;3")</f>
        <v>&gt;3</v>
      </c>
      <c r="AP451" t="str">
        <f t="shared" ref="AP451:AP514" si="140">IF(AB451&lt;=3,"&lt;=3","&gt;3")</f>
        <v>&gt;3</v>
      </c>
      <c r="AQ451" t="str">
        <f t="shared" ref="AQ451:AQ514" si="141">IF(AD451&lt;=3,"&lt;=3","&gt;3")</f>
        <v>&gt;3</v>
      </c>
    </row>
    <row r="452" spans="1:43" x14ac:dyDescent="0.3">
      <c r="A452" t="s">
        <v>33</v>
      </c>
      <c r="B452" t="s">
        <v>386</v>
      </c>
      <c r="C452" t="s">
        <v>178</v>
      </c>
      <c r="D452">
        <v>4141</v>
      </c>
      <c r="E452">
        <v>23210604</v>
      </c>
      <c r="F452" t="s">
        <v>499</v>
      </c>
      <c r="G452" t="s">
        <v>500</v>
      </c>
      <c r="H452">
        <v>505</v>
      </c>
      <c r="I452">
        <v>19.5</v>
      </c>
      <c r="J452">
        <v>9847.5</v>
      </c>
      <c r="K452" s="7" t="str">
        <f>IFERROR(IF(B452&lt;&gt;"", TEXT(VLOOKUP(B452, 'Expected Date'!A:B, 2, FALSE) + DATE(RIGHT(C452,2),MID(C452,4,2),LEFT(C452,2)), "dd/mm/yy"), ""), "")</f>
        <v>06/09/23</v>
      </c>
      <c r="L452" t="s">
        <v>68</v>
      </c>
      <c r="M452" t="s">
        <v>39</v>
      </c>
      <c r="N452" t="s">
        <v>342</v>
      </c>
      <c r="O452" t="s">
        <v>496</v>
      </c>
      <c r="P452">
        <v>23291303</v>
      </c>
      <c r="Q452" t="s">
        <v>499</v>
      </c>
      <c r="R452" t="s">
        <v>500</v>
      </c>
      <c r="S452">
        <v>502</v>
      </c>
      <c r="T452">
        <v>19.5</v>
      </c>
      <c r="U452">
        <v>9789</v>
      </c>
      <c r="V452" t="str">
        <f t="shared" si="124"/>
        <v>Dahej</v>
      </c>
      <c r="W452" t="str">
        <f>VLOOKUP(B452, Currency!A:B, 2, FALSE)</f>
        <v>INR</v>
      </c>
      <c r="X452" t="str">
        <f t="shared" si="125"/>
        <v>Accepted</v>
      </c>
      <c r="Y452">
        <f>IFERROR(VLOOKUP(N452, Payment_Terms!A:B, 2, FALSE), "Payment term not found!")</f>
        <v>30</v>
      </c>
      <c r="Z452" t="str">
        <f>IFERROR(VLOOKUP(R452, Item_Category!A:B, 2, FALSE), "Uncategorized")</f>
        <v>HDPE yellow bag</v>
      </c>
      <c r="AA452" s="5">
        <f t="shared" si="129"/>
        <v>5.9405940594059407E-3</v>
      </c>
      <c r="AB452">
        <f t="shared" si="130"/>
        <v>4</v>
      </c>
      <c r="AC452" s="10">
        <f t="shared" si="131"/>
        <v>-4</v>
      </c>
      <c r="AD452">
        <f t="shared" si="132"/>
        <v>5</v>
      </c>
      <c r="AE452" s="10">
        <f t="shared" si="133"/>
        <v>1</v>
      </c>
      <c r="AF452" s="5">
        <f t="shared" si="126"/>
        <v>1</v>
      </c>
      <c r="AG452" s="5">
        <f t="shared" si="127"/>
        <v>1</v>
      </c>
      <c r="AH452" s="5">
        <f t="shared" si="134"/>
        <v>0</v>
      </c>
      <c r="AI452">
        <f>IF(B452&lt;&gt;"", COUNTIFS($B$2:B452, B452), "")</f>
        <v>12</v>
      </c>
      <c r="AJ452">
        <f t="shared" si="135"/>
        <v>5</v>
      </c>
      <c r="AK452">
        <f t="shared" si="128"/>
        <v>5</v>
      </c>
      <c r="AL452">
        <f t="shared" si="136"/>
        <v>9</v>
      </c>
      <c r="AM452" t="str">
        <f t="shared" si="137"/>
        <v>September</v>
      </c>
      <c r="AN452">
        <f t="shared" si="138"/>
        <v>2023</v>
      </c>
      <c r="AO452" t="str">
        <f t="shared" si="139"/>
        <v>&gt;3</v>
      </c>
      <c r="AP452" t="str">
        <f t="shared" si="140"/>
        <v>&gt;3</v>
      </c>
      <c r="AQ452" t="str">
        <f t="shared" si="141"/>
        <v>&gt;3</v>
      </c>
    </row>
    <row r="453" spans="1:43" x14ac:dyDescent="0.3">
      <c r="A453" t="s">
        <v>33</v>
      </c>
      <c r="B453" t="s">
        <v>382</v>
      </c>
      <c r="C453" t="s">
        <v>284</v>
      </c>
      <c r="D453">
        <v>4153</v>
      </c>
      <c r="E453">
        <v>23210607</v>
      </c>
      <c r="F453" t="s">
        <v>479</v>
      </c>
      <c r="G453" t="s">
        <v>480</v>
      </c>
      <c r="H453">
        <v>1000</v>
      </c>
      <c r="I453">
        <v>38.200000000000003</v>
      </c>
      <c r="J453">
        <v>38200</v>
      </c>
      <c r="K453" s="7" t="str">
        <f>IFERROR(IF(B453&lt;&gt;"", TEXT(VLOOKUP(B453, 'Expected Date'!A:B, 2, FALSE) + DATE(RIGHT(C453,2),MID(C453,4,2),LEFT(C453,2)), "dd/mm/yy"), ""), "")</f>
        <v>14/09/23</v>
      </c>
      <c r="L453" t="s">
        <v>38</v>
      </c>
      <c r="M453" t="s">
        <v>48</v>
      </c>
      <c r="N453" t="s">
        <v>342</v>
      </c>
      <c r="O453" t="s">
        <v>281</v>
      </c>
      <c r="P453">
        <v>23291332</v>
      </c>
      <c r="Q453" t="s">
        <v>479</v>
      </c>
      <c r="R453" t="s">
        <v>480</v>
      </c>
      <c r="S453">
        <v>1000</v>
      </c>
      <c r="T453">
        <v>38.200000000000003</v>
      </c>
      <c r="U453">
        <v>38200</v>
      </c>
      <c r="V453" t="str">
        <f t="shared" si="124"/>
        <v>Dahej</v>
      </c>
      <c r="W453" t="str">
        <f>VLOOKUP(B453, Currency!A:B, 2, FALSE)</f>
        <v>INR</v>
      </c>
      <c r="X453" t="str">
        <f t="shared" si="125"/>
        <v>Accepted</v>
      </c>
      <c r="Y453">
        <f>IFERROR(VLOOKUP(N453, Payment_Terms!A:B, 2, FALSE), "Payment term not found!")</f>
        <v>30</v>
      </c>
      <c r="Z453" t="str">
        <f>IFERROR(VLOOKUP(R453, Item_Category!A:B, 2, FALSE), "Uncategorized")</f>
        <v>Soda Ash</v>
      </c>
      <c r="AA453" s="5">
        <f t="shared" si="129"/>
        <v>0</v>
      </c>
      <c r="AB453">
        <f t="shared" si="130"/>
        <v>5</v>
      </c>
      <c r="AC453" s="10">
        <f t="shared" si="131"/>
        <v>-9</v>
      </c>
      <c r="AD453">
        <f t="shared" si="132"/>
        <v>5</v>
      </c>
      <c r="AE453" s="10">
        <f t="shared" si="133"/>
        <v>1</v>
      </c>
      <c r="AF453" s="5">
        <f t="shared" si="126"/>
        <v>1</v>
      </c>
      <c r="AG453" s="5">
        <f t="shared" si="127"/>
        <v>1</v>
      </c>
      <c r="AH453" s="5">
        <f t="shared" si="134"/>
        <v>0</v>
      </c>
      <c r="AI453">
        <f>IF(B453&lt;&gt;"", COUNTIFS($B$2:B453, B453), "")</f>
        <v>11</v>
      </c>
      <c r="AJ453">
        <f t="shared" si="135"/>
        <v>5</v>
      </c>
      <c r="AK453">
        <f t="shared" si="128"/>
        <v>5</v>
      </c>
      <c r="AL453">
        <f t="shared" si="136"/>
        <v>9</v>
      </c>
      <c r="AM453" t="str">
        <f t="shared" si="137"/>
        <v>September</v>
      </c>
      <c r="AN453">
        <f t="shared" si="138"/>
        <v>2023</v>
      </c>
      <c r="AO453" t="str">
        <f t="shared" si="139"/>
        <v>&gt;3</v>
      </c>
      <c r="AP453" t="str">
        <f t="shared" si="140"/>
        <v>&gt;3</v>
      </c>
      <c r="AQ453" t="str">
        <f t="shared" si="141"/>
        <v>&gt;3</v>
      </c>
    </row>
    <row r="454" spans="1:43" x14ac:dyDescent="0.3">
      <c r="A454" t="s">
        <v>33</v>
      </c>
      <c r="B454" t="s">
        <v>382</v>
      </c>
      <c r="C454" t="s">
        <v>284</v>
      </c>
      <c r="D454">
        <v>4153</v>
      </c>
      <c r="E454">
        <v>23210607</v>
      </c>
      <c r="F454" t="s">
        <v>412</v>
      </c>
      <c r="G454" t="s">
        <v>413</v>
      </c>
      <c r="H454">
        <v>1000</v>
      </c>
      <c r="I454">
        <v>19.2</v>
      </c>
      <c r="J454">
        <v>19200</v>
      </c>
      <c r="K454" s="7" t="str">
        <f>IFERROR(IF(B454&lt;&gt;"", TEXT(VLOOKUP(B454, 'Expected Date'!A:B, 2, FALSE) + DATE(RIGHT(C454,2),MID(C454,4,2),LEFT(C454,2)), "dd/mm/yy"), ""), "")</f>
        <v>14/09/23</v>
      </c>
      <c r="L454" t="s">
        <v>38</v>
      </c>
      <c r="M454" t="s">
        <v>48</v>
      </c>
      <c r="N454" t="s">
        <v>342</v>
      </c>
      <c r="O454" t="s">
        <v>281</v>
      </c>
      <c r="P454">
        <v>23291332</v>
      </c>
      <c r="Q454" t="s">
        <v>412</v>
      </c>
      <c r="R454" t="s">
        <v>413</v>
      </c>
      <c r="S454">
        <v>1000</v>
      </c>
      <c r="T454">
        <v>19.2</v>
      </c>
      <c r="U454">
        <v>19200</v>
      </c>
      <c r="V454" t="str">
        <f t="shared" si="124"/>
        <v>Dahej</v>
      </c>
      <c r="W454" t="str">
        <f>VLOOKUP(B454, Currency!A:B, 2, FALSE)</f>
        <v>INR</v>
      </c>
      <c r="X454" t="str">
        <f t="shared" si="125"/>
        <v>Accepted</v>
      </c>
      <c r="Y454">
        <f>IFERROR(VLOOKUP(N454, Payment_Terms!A:B, 2, FALSE), "Payment term not found!")</f>
        <v>30</v>
      </c>
      <c r="Z454" t="str">
        <f>IFERROR(VLOOKUP(R454, Item_Category!A:B, 2, FALSE), "Uncategorized")</f>
        <v>NON FERRIC ALUM</v>
      </c>
      <c r="AA454" s="5">
        <f t="shared" si="129"/>
        <v>0</v>
      </c>
      <c r="AB454">
        <f t="shared" si="130"/>
        <v>5</v>
      </c>
      <c r="AC454" s="10">
        <f t="shared" si="131"/>
        <v>-9</v>
      </c>
      <c r="AD454">
        <f t="shared" si="132"/>
        <v>5</v>
      </c>
      <c r="AE454" s="10">
        <f t="shared" si="133"/>
        <v>1</v>
      </c>
      <c r="AF454" s="5">
        <f t="shared" si="126"/>
        <v>1</v>
      </c>
      <c r="AG454" s="5">
        <f t="shared" si="127"/>
        <v>1</v>
      </c>
      <c r="AH454" s="5">
        <f t="shared" si="134"/>
        <v>0</v>
      </c>
      <c r="AI454">
        <f>IF(B454&lt;&gt;"", COUNTIFS($B$2:B454, B454), "")</f>
        <v>12</v>
      </c>
      <c r="AJ454">
        <f t="shared" si="135"/>
        <v>5</v>
      </c>
      <c r="AK454">
        <f t="shared" si="128"/>
        <v>5</v>
      </c>
      <c r="AL454">
        <f t="shared" si="136"/>
        <v>9</v>
      </c>
      <c r="AM454" t="str">
        <f t="shared" si="137"/>
        <v>September</v>
      </c>
      <c r="AN454">
        <f t="shared" si="138"/>
        <v>2023</v>
      </c>
      <c r="AO454" t="str">
        <f t="shared" si="139"/>
        <v>&gt;3</v>
      </c>
      <c r="AP454" t="str">
        <f t="shared" si="140"/>
        <v>&gt;3</v>
      </c>
      <c r="AQ454" t="str">
        <f t="shared" si="141"/>
        <v>&gt;3</v>
      </c>
    </row>
    <row r="455" spans="1:43" x14ac:dyDescent="0.3">
      <c r="A455" t="s">
        <v>33</v>
      </c>
      <c r="B455" t="s">
        <v>395</v>
      </c>
      <c r="C455" t="s">
        <v>501</v>
      </c>
      <c r="D455">
        <v>4036</v>
      </c>
      <c r="E455">
        <v>23210586</v>
      </c>
      <c r="F455" t="s">
        <v>392</v>
      </c>
      <c r="G455" t="s">
        <v>393</v>
      </c>
      <c r="H455">
        <v>100</v>
      </c>
      <c r="I455">
        <v>10425</v>
      </c>
      <c r="J455">
        <v>1042500</v>
      </c>
      <c r="K455" s="7" t="str">
        <f>IFERROR(IF(B455&lt;&gt;"", TEXT(VLOOKUP(B455, 'Expected Date'!A:B, 2, FALSE) + DATE(RIGHT(C455,2),MID(C455,4,2),LEFT(C455,2)), "dd/mm/yy"), ""), "")</f>
        <v>25/08/23</v>
      </c>
      <c r="L455" t="s">
        <v>68</v>
      </c>
      <c r="M455" t="s">
        <v>48</v>
      </c>
      <c r="N455" t="s">
        <v>370</v>
      </c>
      <c r="O455" t="s">
        <v>199</v>
      </c>
      <c r="P455">
        <v>23291240</v>
      </c>
      <c r="Q455" t="s">
        <v>392</v>
      </c>
      <c r="R455" t="s">
        <v>393</v>
      </c>
      <c r="S455">
        <v>23.91</v>
      </c>
      <c r="T455">
        <v>10425</v>
      </c>
      <c r="U455">
        <v>249261.75</v>
      </c>
      <c r="V455" t="str">
        <f t="shared" si="124"/>
        <v>Dahej</v>
      </c>
      <c r="W455" t="str">
        <f>VLOOKUP(B455, Currency!A:B, 2, FALSE)</f>
        <v>INR</v>
      </c>
      <c r="X455" t="str">
        <f t="shared" si="125"/>
        <v>Accepted</v>
      </c>
      <c r="Y455">
        <f>IFERROR(VLOOKUP(N455, Payment_Terms!A:B, 2, FALSE), "Payment term not found!")</f>
        <v>15</v>
      </c>
      <c r="Z455" t="str">
        <f>IFERROR(VLOOKUP(R455, Item_Category!A:B, 2, FALSE), "Uncategorized")</f>
        <v>Coal materials</v>
      </c>
      <c r="AA455" s="5">
        <f t="shared" si="129"/>
        <v>0.22800000000000012</v>
      </c>
      <c r="AB455">
        <f t="shared" si="130"/>
        <v>1</v>
      </c>
      <c r="AC455" s="10">
        <f t="shared" si="131"/>
        <v>1</v>
      </c>
      <c r="AD455">
        <f t="shared" si="132"/>
        <v>5</v>
      </c>
      <c r="AE455" s="10">
        <f t="shared" si="133"/>
        <v>6</v>
      </c>
      <c r="AF455" s="5">
        <f t="shared" si="126"/>
        <v>1</v>
      </c>
      <c r="AG455" s="5">
        <f t="shared" si="127"/>
        <v>1</v>
      </c>
      <c r="AH455" s="5">
        <f t="shared" si="134"/>
        <v>0</v>
      </c>
      <c r="AI455">
        <f>IF(B455&lt;&gt;"", COUNTIFS($B$2:B455, B455), "")</f>
        <v>15</v>
      </c>
      <c r="AJ455">
        <f t="shared" si="135"/>
        <v>5</v>
      </c>
      <c r="AK455">
        <f t="shared" si="128"/>
        <v>4</v>
      </c>
      <c r="AL455">
        <f t="shared" si="136"/>
        <v>8</v>
      </c>
      <c r="AM455" t="str">
        <f t="shared" si="137"/>
        <v>August</v>
      </c>
      <c r="AN455">
        <f t="shared" si="138"/>
        <v>2023</v>
      </c>
      <c r="AO455" t="str">
        <f t="shared" si="139"/>
        <v>&gt;3</v>
      </c>
      <c r="AP455" t="str">
        <f t="shared" si="140"/>
        <v>&lt;=3</v>
      </c>
      <c r="AQ455" t="str">
        <f t="shared" si="141"/>
        <v>&gt;3</v>
      </c>
    </row>
    <row r="456" spans="1:43" x14ac:dyDescent="0.3">
      <c r="A456" t="s">
        <v>33</v>
      </c>
      <c r="B456" t="s">
        <v>366</v>
      </c>
      <c r="C456" t="s">
        <v>87</v>
      </c>
      <c r="D456">
        <v>3042</v>
      </c>
      <c r="E456">
        <v>23210410</v>
      </c>
      <c r="F456" t="s">
        <v>392</v>
      </c>
      <c r="G456" t="s">
        <v>393</v>
      </c>
      <c r="H456">
        <v>200</v>
      </c>
      <c r="I456">
        <v>10200</v>
      </c>
      <c r="J456">
        <v>2040000</v>
      </c>
      <c r="K456" s="7" t="str">
        <f>IFERROR(IF(B456&lt;&gt;"", TEXT(VLOOKUP(B456, 'Expected Date'!A:B, 2, FALSE) + DATE(RIGHT(C456,2),MID(C456,4,2),LEFT(C456,2)), "dd/mm/yy"), ""), "")</f>
        <v>14/07/23</v>
      </c>
      <c r="L456" t="s">
        <v>68</v>
      </c>
      <c r="M456" t="s">
        <v>48</v>
      </c>
      <c r="N456" t="s">
        <v>370</v>
      </c>
      <c r="O456" t="s">
        <v>469</v>
      </c>
      <c r="P456">
        <v>23290781</v>
      </c>
      <c r="Q456" t="s">
        <v>392</v>
      </c>
      <c r="R456" t="s">
        <v>393</v>
      </c>
      <c r="S456">
        <v>29.76</v>
      </c>
      <c r="T456">
        <v>10200</v>
      </c>
      <c r="U456">
        <v>303552</v>
      </c>
      <c r="V456" t="str">
        <f t="shared" si="124"/>
        <v>Dahej</v>
      </c>
      <c r="W456" t="str">
        <f>VLOOKUP(B456, Currency!A:B, 2, FALSE)</f>
        <v>INR</v>
      </c>
      <c r="X456" t="str">
        <f t="shared" si="125"/>
        <v>Accepted</v>
      </c>
      <c r="Y456">
        <f>IFERROR(VLOOKUP(N456, Payment_Terms!A:B, 2, FALSE), "Payment term not found!")</f>
        <v>15</v>
      </c>
      <c r="Z456" t="str">
        <f>IFERROR(VLOOKUP(R456, Item_Category!A:B, 2, FALSE), "Uncategorized")</f>
        <v>Coal materials</v>
      </c>
      <c r="AA456" s="5">
        <f t="shared" si="129"/>
        <v>0.57009999999999994</v>
      </c>
      <c r="AB456">
        <f t="shared" si="130"/>
        <v>1</v>
      </c>
      <c r="AC456" s="10">
        <f t="shared" si="131"/>
        <v>-1</v>
      </c>
      <c r="AD456">
        <f t="shared" si="132"/>
        <v>5</v>
      </c>
      <c r="AE456" s="10">
        <f t="shared" si="133"/>
        <v>1</v>
      </c>
      <c r="AF456" s="5">
        <f t="shared" si="126"/>
        <v>1</v>
      </c>
      <c r="AG456" s="5">
        <f t="shared" si="127"/>
        <v>1</v>
      </c>
      <c r="AH456" s="5">
        <f t="shared" si="134"/>
        <v>0</v>
      </c>
      <c r="AI456">
        <f>IF(B456&lt;&gt;"", COUNTIFS($B$2:B456, B456), "")</f>
        <v>35</v>
      </c>
      <c r="AJ456">
        <f t="shared" si="135"/>
        <v>5</v>
      </c>
      <c r="AK456">
        <f t="shared" si="128"/>
        <v>4</v>
      </c>
      <c r="AL456">
        <f t="shared" si="136"/>
        <v>7</v>
      </c>
      <c r="AM456" t="str">
        <f t="shared" si="137"/>
        <v>July</v>
      </c>
      <c r="AN456">
        <f t="shared" si="138"/>
        <v>2023</v>
      </c>
      <c r="AO456" t="str">
        <f t="shared" si="139"/>
        <v>&gt;3</v>
      </c>
      <c r="AP456" t="str">
        <f t="shared" si="140"/>
        <v>&lt;=3</v>
      </c>
      <c r="AQ456" t="str">
        <f t="shared" si="141"/>
        <v>&gt;3</v>
      </c>
    </row>
    <row r="457" spans="1:43" x14ac:dyDescent="0.3">
      <c r="A457" t="s">
        <v>33</v>
      </c>
      <c r="B457" t="s">
        <v>492</v>
      </c>
      <c r="C457" t="s">
        <v>89</v>
      </c>
      <c r="D457">
        <v>3006</v>
      </c>
      <c r="E457">
        <v>23210408</v>
      </c>
      <c r="F457" t="s">
        <v>387</v>
      </c>
      <c r="G457" t="s">
        <v>388</v>
      </c>
      <c r="H457">
        <v>50</v>
      </c>
      <c r="I457">
        <v>95</v>
      </c>
      <c r="J457">
        <v>4750</v>
      </c>
      <c r="K457" s="7" t="str">
        <f>IFERROR(IF(B457&lt;&gt;"", TEXT(VLOOKUP(B457, 'Expected Date'!A:B, 2, FALSE) + DATE(RIGHT(C457,2),MID(C457,4,2),LEFT(C457,2)), "dd/mm/yy"), ""), "")</f>
        <v>10/07/23</v>
      </c>
      <c r="L457" t="s">
        <v>38</v>
      </c>
      <c r="M457" t="s">
        <v>48</v>
      </c>
      <c r="N457" t="s">
        <v>342</v>
      </c>
      <c r="O457" t="s">
        <v>117</v>
      </c>
      <c r="P457">
        <v>23290784</v>
      </c>
      <c r="Q457" t="s">
        <v>387</v>
      </c>
      <c r="R457" t="s">
        <v>388</v>
      </c>
      <c r="S457">
        <v>50</v>
      </c>
      <c r="T457">
        <v>95</v>
      </c>
      <c r="U457">
        <v>4750</v>
      </c>
      <c r="V457" t="str">
        <f t="shared" si="124"/>
        <v>Dahej</v>
      </c>
      <c r="W457" t="str">
        <f>VLOOKUP(B457, Currency!A:B, 2, FALSE)</f>
        <v>INR</v>
      </c>
      <c r="X457" t="str">
        <f t="shared" si="125"/>
        <v>Accepted</v>
      </c>
      <c r="Y457">
        <f>IFERROR(VLOOKUP(N457, Payment_Terms!A:B, 2, FALSE), "Payment term not found!")</f>
        <v>30</v>
      </c>
      <c r="Z457" t="str">
        <f>IFERROR(VLOOKUP(R457, Item_Category!A:B, 2, FALSE), "Uncategorized")</f>
        <v>Clips</v>
      </c>
      <c r="AA457" s="5">
        <f t="shared" si="129"/>
        <v>0</v>
      </c>
      <c r="AB457">
        <f t="shared" si="130"/>
        <v>5</v>
      </c>
      <c r="AC457" s="10">
        <f t="shared" si="131"/>
        <v>-3</v>
      </c>
      <c r="AD457">
        <f t="shared" si="132"/>
        <v>5</v>
      </c>
      <c r="AE457" s="10">
        <f t="shared" si="133"/>
        <v>2</v>
      </c>
      <c r="AF457" s="5">
        <f t="shared" si="126"/>
        <v>1</v>
      </c>
      <c r="AG457" s="5">
        <f t="shared" si="127"/>
        <v>1</v>
      </c>
      <c r="AH457" s="5">
        <f t="shared" si="134"/>
        <v>0</v>
      </c>
      <c r="AI457">
        <f>IF(B457&lt;&gt;"", COUNTIFS($B$2:B457, B457), "")</f>
        <v>2</v>
      </c>
      <c r="AJ457">
        <f t="shared" si="135"/>
        <v>5</v>
      </c>
      <c r="AK457">
        <f t="shared" si="128"/>
        <v>5</v>
      </c>
      <c r="AL457">
        <f t="shared" si="136"/>
        <v>7</v>
      </c>
      <c r="AM457" t="str">
        <f t="shared" si="137"/>
        <v>July</v>
      </c>
      <c r="AN457">
        <f t="shared" si="138"/>
        <v>2023</v>
      </c>
      <c r="AO457" t="str">
        <f t="shared" si="139"/>
        <v>&gt;3</v>
      </c>
      <c r="AP457" t="str">
        <f t="shared" si="140"/>
        <v>&gt;3</v>
      </c>
      <c r="AQ457" t="str">
        <f t="shared" si="141"/>
        <v>&gt;3</v>
      </c>
    </row>
    <row r="458" spans="1:43" x14ac:dyDescent="0.3">
      <c r="A458" t="s">
        <v>33</v>
      </c>
      <c r="B458" t="str">
        <f>B284</f>
        <v>Ami Enterprises</v>
      </c>
      <c r="C458" t="s">
        <v>329</v>
      </c>
      <c r="D458">
        <v>2740</v>
      </c>
      <c r="E458">
        <v>23210338</v>
      </c>
      <c r="F458" t="s">
        <v>502</v>
      </c>
      <c r="G458" t="s">
        <v>503</v>
      </c>
      <c r="H458">
        <v>266</v>
      </c>
      <c r="I458">
        <v>33.5</v>
      </c>
      <c r="J458">
        <v>8911</v>
      </c>
      <c r="K458" s="7" t="str">
        <f>IFERROR(IF(B458&lt;&gt;"", TEXT(VLOOKUP(B458, 'Expected Date'!A:B, 2, FALSE) + DATE(RIGHT(C458,2),MID(C458,4,2),LEFT(C458,2)), "dd/mm/yy"), ""), "")</f>
        <v>05/07/23</v>
      </c>
      <c r="L458" t="s">
        <v>38</v>
      </c>
      <c r="M458" t="s">
        <v>39</v>
      </c>
      <c r="N458" t="s">
        <v>318</v>
      </c>
      <c r="O458" t="s">
        <v>139</v>
      </c>
      <c r="P458">
        <v>23290632</v>
      </c>
      <c r="Q458" t="s">
        <v>502</v>
      </c>
      <c r="R458" t="s">
        <v>503</v>
      </c>
      <c r="S458">
        <v>266</v>
      </c>
      <c r="T458">
        <v>33.5</v>
      </c>
      <c r="U458">
        <v>8911</v>
      </c>
      <c r="V458" t="str">
        <f t="shared" si="124"/>
        <v>Dahej</v>
      </c>
      <c r="W458" t="str">
        <f>VLOOKUP(B458, Currency!A:B, 2, FALSE)</f>
        <v>INR</v>
      </c>
      <c r="X458" t="str">
        <f t="shared" si="125"/>
        <v>Accepted</v>
      </c>
      <c r="Y458">
        <f>IFERROR(VLOOKUP(N458, Payment_Terms!A:B, 2, FALSE), "Payment term not found!")</f>
        <v>30</v>
      </c>
      <c r="Z458" t="str">
        <f>IFERROR(VLOOKUP(R458, Item_Category!A:B, 2, FALSE), "Uncategorized")</f>
        <v>Bags</v>
      </c>
      <c r="AA458" s="5">
        <f t="shared" si="129"/>
        <v>0</v>
      </c>
      <c r="AB458">
        <f t="shared" si="130"/>
        <v>5</v>
      </c>
      <c r="AC458" s="10">
        <f t="shared" si="131"/>
        <v>-7</v>
      </c>
      <c r="AD458">
        <f t="shared" si="132"/>
        <v>5</v>
      </c>
      <c r="AE458" s="10">
        <f t="shared" si="133"/>
        <v>3</v>
      </c>
      <c r="AF458" s="5">
        <f t="shared" si="126"/>
        <v>1</v>
      </c>
      <c r="AG458" s="5">
        <f t="shared" si="127"/>
        <v>1</v>
      </c>
      <c r="AH458" s="5">
        <f t="shared" si="134"/>
        <v>0</v>
      </c>
      <c r="AI458">
        <f>IF(B458&lt;&gt;"", COUNTIFS($B$2:B458, B458), "")</f>
        <v>29</v>
      </c>
      <c r="AJ458">
        <f t="shared" si="135"/>
        <v>5</v>
      </c>
      <c r="AK458">
        <f t="shared" si="128"/>
        <v>5</v>
      </c>
      <c r="AL458">
        <f t="shared" si="136"/>
        <v>6</v>
      </c>
      <c r="AM458" t="str">
        <f t="shared" si="137"/>
        <v>June</v>
      </c>
      <c r="AN458">
        <f t="shared" si="138"/>
        <v>2023</v>
      </c>
      <c r="AO458" t="str">
        <f t="shared" si="139"/>
        <v>&gt;3</v>
      </c>
      <c r="AP458" t="str">
        <f t="shared" si="140"/>
        <v>&gt;3</v>
      </c>
      <c r="AQ458" t="str">
        <f t="shared" si="141"/>
        <v>&gt;3</v>
      </c>
    </row>
    <row r="459" spans="1:43" x14ac:dyDescent="0.3">
      <c r="A459" t="s">
        <v>33</v>
      </c>
      <c r="B459" t="str">
        <f>B284</f>
        <v>Ami Enterprises</v>
      </c>
      <c r="C459" t="s">
        <v>329</v>
      </c>
      <c r="D459">
        <v>2740</v>
      </c>
      <c r="E459">
        <v>23210338</v>
      </c>
      <c r="F459" t="s">
        <v>460</v>
      </c>
      <c r="G459" t="s">
        <v>461</v>
      </c>
      <c r="H459">
        <v>12166</v>
      </c>
      <c r="I459">
        <v>33.5</v>
      </c>
      <c r="J459">
        <v>407561</v>
      </c>
      <c r="K459" s="7" t="str">
        <f>IFERROR(IF(B459&lt;&gt;"", TEXT(VLOOKUP(B459, 'Expected Date'!A:B, 2, FALSE) + DATE(RIGHT(C459,2),MID(C459,4,2),LEFT(C459,2)), "dd/mm/yy"), ""), "")</f>
        <v>05/07/23</v>
      </c>
      <c r="L459" t="s">
        <v>38</v>
      </c>
      <c r="M459" t="s">
        <v>39</v>
      </c>
      <c r="N459" t="s">
        <v>318</v>
      </c>
      <c r="O459" t="s">
        <v>139</v>
      </c>
      <c r="P459">
        <v>23290632</v>
      </c>
      <c r="Q459" t="s">
        <v>460</v>
      </c>
      <c r="R459" t="s">
        <v>461</v>
      </c>
      <c r="S459">
        <v>12166</v>
      </c>
      <c r="T459">
        <v>33.5</v>
      </c>
      <c r="U459">
        <v>407561</v>
      </c>
      <c r="V459" t="str">
        <f t="shared" si="124"/>
        <v>Dahej</v>
      </c>
      <c r="W459" t="str">
        <f>VLOOKUP(B459, Currency!A:B, 2, FALSE)</f>
        <v>INR</v>
      </c>
      <c r="X459" t="str">
        <f t="shared" si="125"/>
        <v>Accepted</v>
      </c>
      <c r="Y459">
        <f>IFERROR(VLOOKUP(N459, Payment_Terms!A:B, 2, FALSE), "Payment term not found!")</f>
        <v>30</v>
      </c>
      <c r="Z459" t="str">
        <f>IFERROR(VLOOKUP(R459, Item_Category!A:B, 2, FALSE), "Uncategorized")</f>
        <v>Bags</v>
      </c>
      <c r="AA459" s="5">
        <f t="shared" si="129"/>
        <v>0</v>
      </c>
      <c r="AB459">
        <f t="shared" si="130"/>
        <v>5</v>
      </c>
      <c r="AC459" s="10">
        <f t="shared" si="131"/>
        <v>-7</v>
      </c>
      <c r="AD459">
        <f t="shared" si="132"/>
        <v>5</v>
      </c>
      <c r="AE459" s="10">
        <f t="shared" si="133"/>
        <v>3</v>
      </c>
      <c r="AF459" s="5">
        <f t="shared" si="126"/>
        <v>1</v>
      </c>
      <c r="AG459" s="5">
        <f t="shared" si="127"/>
        <v>1</v>
      </c>
      <c r="AH459" s="5">
        <f t="shared" si="134"/>
        <v>0</v>
      </c>
      <c r="AI459">
        <f>IF(B459&lt;&gt;"", COUNTIFS($B$2:B459, B459), "")</f>
        <v>30</v>
      </c>
      <c r="AJ459">
        <f t="shared" si="135"/>
        <v>5</v>
      </c>
      <c r="AK459">
        <f t="shared" si="128"/>
        <v>5</v>
      </c>
      <c r="AL459">
        <f t="shared" si="136"/>
        <v>6</v>
      </c>
      <c r="AM459" t="str">
        <f t="shared" si="137"/>
        <v>June</v>
      </c>
      <c r="AN459">
        <f t="shared" si="138"/>
        <v>2023</v>
      </c>
      <c r="AO459" t="str">
        <f t="shared" si="139"/>
        <v>&gt;3</v>
      </c>
      <c r="AP459" t="str">
        <f t="shared" si="140"/>
        <v>&gt;3</v>
      </c>
      <c r="AQ459" t="str">
        <f t="shared" si="141"/>
        <v>&gt;3</v>
      </c>
    </row>
    <row r="460" spans="1:43" x14ac:dyDescent="0.3">
      <c r="A460" t="s">
        <v>33</v>
      </c>
      <c r="B460" t="str">
        <f>B284</f>
        <v>Ami Enterprises</v>
      </c>
      <c r="C460" t="s">
        <v>329</v>
      </c>
      <c r="D460">
        <v>2740</v>
      </c>
      <c r="E460">
        <v>23210338</v>
      </c>
      <c r="F460" t="s">
        <v>471</v>
      </c>
      <c r="G460" t="s">
        <v>472</v>
      </c>
      <c r="H460">
        <v>1023</v>
      </c>
      <c r="I460">
        <v>33.5</v>
      </c>
      <c r="J460">
        <v>34270.5</v>
      </c>
      <c r="K460" s="7" t="str">
        <f>IFERROR(IF(B460&lt;&gt;"", TEXT(VLOOKUP(B460, 'Expected Date'!A:B, 2, FALSE) + DATE(RIGHT(C460,2),MID(C460,4,2),LEFT(C460,2)), "dd/mm/yy"), ""), "")</f>
        <v>05/07/23</v>
      </c>
      <c r="L460" t="s">
        <v>38</v>
      </c>
      <c r="M460" t="s">
        <v>39</v>
      </c>
      <c r="N460" t="s">
        <v>318</v>
      </c>
      <c r="O460" t="s">
        <v>139</v>
      </c>
      <c r="P460">
        <v>23290632</v>
      </c>
      <c r="Q460" t="s">
        <v>471</v>
      </c>
      <c r="R460" t="s">
        <v>472</v>
      </c>
      <c r="S460">
        <v>1023</v>
      </c>
      <c r="T460">
        <v>33.5</v>
      </c>
      <c r="U460">
        <v>34270.5</v>
      </c>
      <c r="V460" t="str">
        <f t="shared" si="124"/>
        <v>Dahej</v>
      </c>
      <c r="W460" t="str">
        <f>VLOOKUP(B460, Currency!A:B, 2, FALSE)</f>
        <v>INR</v>
      </c>
      <c r="X460" t="str">
        <f t="shared" si="125"/>
        <v>Accepted</v>
      </c>
      <c r="Y460">
        <f>IFERROR(VLOOKUP(N460, Payment_Terms!A:B, 2, FALSE), "Payment term not found!")</f>
        <v>30</v>
      </c>
      <c r="Z460" t="str">
        <f>IFERROR(VLOOKUP(R460, Item_Category!A:B, 2, FALSE), "Uncategorized")</f>
        <v>Bags</v>
      </c>
      <c r="AA460" s="5">
        <f t="shared" si="129"/>
        <v>0</v>
      </c>
      <c r="AB460">
        <f t="shared" si="130"/>
        <v>5</v>
      </c>
      <c r="AC460" s="10">
        <f t="shared" si="131"/>
        <v>-7</v>
      </c>
      <c r="AD460">
        <f t="shared" si="132"/>
        <v>5</v>
      </c>
      <c r="AE460" s="10">
        <f t="shared" si="133"/>
        <v>3</v>
      </c>
      <c r="AF460" s="5">
        <f t="shared" si="126"/>
        <v>1</v>
      </c>
      <c r="AG460" s="5">
        <f t="shared" si="127"/>
        <v>1</v>
      </c>
      <c r="AH460" s="5">
        <f t="shared" si="134"/>
        <v>0</v>
      </c>
      <c r="AI460">
        <f>IF(B460&lt;&gt;"", COUNTIFS($B$2:B460, B460), "")</f>
        <v>31</v>
      </c>
      <c r="AJ460">
        <f t="shared" si="135"/>
        <v>5</v>
      </c>
      <c r="AK460">
        <f t="shared" si="128"/>
        <v>5</v>
      </c>
      <c r="AL460">
        <f t="shared" si="136"/>
        <v>6</v>
      </c>
      <c r="AM460" t="str">
        <f t="shared" si="137"/>
        <v>June</v>
      </c>
      <c r="AN460">
        <f t="shared" si="138"/>
        <v>2023</v>
      </c>
      <c r="AO460" t="str">
        <f t="shared" si="139"/>
        <v>&gt;3</v>
      </c>
      <c r="AP460" t="str">
        <f t="shared" si="140"/>
        <v>&gt;3</v>
      </c>
      <c r="AQ460" t="str">
        <f t="shared" si="141"/>
        <v>&gt;3</v>
      </c>
    </row>
    <row r="461" spans="1:43" x14ac:dyDescent="0.3">
      <c r="A461" t="s">
        <v>33</v>
      </c>
      <c r="B461" t="str">
        <f>B284</f>
        <v>Ami Enterprises</v>
      </c>
      <c r="C461" t="s">
        <v>329</v>
      </c>
      <c r="D461">
        <v>2740</v>
      </c>
      <c r="E461">
        <v>23210338</v>
      </c>
      <c r="F461" t="s">
        <v>485</v>
      </c>
      <c r="G461" t="s">
        <v>486</v>
      </c>
      <c r="H461">
        <v>1024</v>
      </c>
      <c r="I461">
        <v>27</v>
      </c>
      <c r="J461">
        <v>27648</v>
      </c>
      <c r="K461" s="7" t="str">
        <f>IFERROR(IF(B461&lt;&gt;"", TEXT(VLOOKUP(B461, 'Expected Date'!A:B, 2, FALSE) + DATE(RIGHT(C461,2),MID(C461,4,2),LEFT(C461,2)), "dd/mm/yy"), ""), "")</f>
        <v>05/07/23</v>
      </c>
      <c r="L461" t="s">
        <v>38</v>
      </c>
      <c r="M461" t="s">
        <v>39</v>
      </c>
      <c r="N461" t="s">
        <v>318</v>
      </c>
      <c r="O461" t="s">
        <v>139</v>
      </c>
      <c r="P461">
        <v>23290632</v>
      </c>
      <c r="Q461" t="s">
        <v>485</v>
      </c>
      <c r="R461" t="s">
        <v>486</v>
      </c>
      <c r="S461">
        <v>1024</v>
      </c>
      <c r="T461">
        <v>27</v>
      </c>
      <c r="U461">
        <v>27648</v>
      </c>
      <c r="V461" t="str">
        <f t="shared" si="124"/>
        <v>Dahej</v>
      </c>
      <c r="W461" t="str">
        <f>VLOOKUP(B461, Currency!A:B, 2, FALSE)</f>
        <v>INR</v>
      </c>
      <c r="X461" t="str">
        <f t="shared" si="125"/>
        <v>Accepted</v>
      </c>
      <c r="Y461">
        <f>IFERROR(VLOOKUP(N461, Payment_Terms!A:B, 2, FALSE), "Payment term not found!")</f>
        <v>30</v>
      </c>
      <c r="Z461" t="str">
        <f>IFERROR(VLOOKUP(R461, Item_Category!A:B, 2, FALSE), "Uncategorized")</f>
        <v>Liner</v>
      </c>
      <c r="AA461" s="5">
        <f t="shared" si="129"/>
        <v>0</v>
      </c>
      <c r="AB461">
        <f t="shared" si="130"/>
        <v>5</v>
      </c>
      <c r="AC461" s="10">
        <f t="shared" si="131"/>
        <v>-7</v>
      </c>
      <c r="AD461">
        <f t="shared" si="132"/>
        <v>5</v>
      </c>
      <c r="AE461" s="10">
        <f t="shared" si="133"/>
        <v>3</v>
      </c>
      <c r="AF461" s="5">
        <f t="shared" si="126"/>
        <v>1</v>
      </c>
      <c r="AG461" s="5">
        <f t="shared" si="127"/>
        <v>1</v>
      </c>
      <c r="AH461" s="5">
        <f t="shared" si="134"/>
        <v>0</v>
      </c>
      <c r="AI461">
        <f>IF(B461&lt;&gt;"", COUNTIFS($B$2:B461, B461), "")</f>
        <v>32</v>
      </c>
      <c r="AJ461">
        <f t="shared" si="135"/>
        <v>5</v>
      </c>
      <c r="AK461">
        <f t="shared" si="128"/>
        <v>5</v>
      </c>
      <c r="AL461">
        <f t="shared" si="136"/>
        <v>6</v>
      </c>
      <c r="AM461" t="str">
        <f t="shared" si="137"/>
        <v>June</v>
      </c>
      <c r="AN461">
        <f t="shared" si="138"/>
        <v>2023</v>
      </c>
      <c r="AO461" t="str">
        <f t="shared" si="139"/>
        <v>&gt;3</v>
      </c>
      <c r="AP461" t="str">
        <f t="shared" si="140"/>
        <v>&gt;3</v>
      </c>
      <c r="AQ461" t="str">
        <f t="shared" si="141"/>
        <v>&gt;3</v>
      </c>
    </row>
    <row r="462" spans="1:43" x14ac:dyDescent="0.3">
      <c r="A462" t="s">
        <v>33</v>
      </c>
      <c r="B462" t="str">
        <f>B284</f>
        <v>Ami Enterprises</v>
      </c>
      <c r="C462" t="s">
        <v>352</v>
      </c>
      <c r="D462">
        <v>2488</v>
      </c>
      <c r="E462">
        <v>23210295</v>
      </c>
      <c r="F462" t="s">
        <v>504</v>
      </c>
      <c r="G462" t="s">
        <v>505</v>
      </c>
      <c r="H462">
        <v>1050</v>
      </c>
      <c r="I462">
        <v>28</v>
      </c>
      <c r="J462">
        <v>29400</v>
      </c>
      <c r="K462" s="7" t="str">
        <f>IFERROR(IF(B462&lt;&gt;"", TEXT(VLOOKUP(B462, 'Expected Date'!A:B, 2, FALSE) + DATE(RIGHT(C462,2),MID(C462,4,2),LEFT(C462,2)), "dd/mm/yy"), ""), "")</f>
        <v>12/06/23</v>
      </c>
      <c r="L462" t="s">
        <v>68</v>
      </c>
      <c r="M462" t="s">
        <v>39</v>
      </c>
      <c r="N462" t="s">
        <v>342</v>
      </c>
      <c r="O462" t="s">
        <v>161</v>
      </c>
      <c r="P462">
        <v>23290633</v>
      </c>
      <c r="Q462" t="s">
        <v>504</v>
      </c>
      <c r="R462" t="s">
        <v>505</v>
      </c>
      <c r="S462">
        <v>1011</v>
      </c>
      <c r="T462">
        <v>28</v>
      </c>
      <c r="U462">
        <v>28308</v>
      </c>
      <c r="V462" t="str">
        <f t="shared" si="124"/>
        <v>Dahej</v>
      </c>
      <c r="W462" t="str">
        <f>VLOOKUP(B462, Currency!A:B, 2, FALSE)</f>
        <v>INR</v>
      </c>
      <c r="X462" t="str">
        <f t="shared" si="125"/>
        <v>Accepted</v>
      </c>
      <c r="Y462">
        <f>IFERROR(VLOOKUP(N462, Payment_Terms!A:B, 2, FALSE), "Payment term not found!")</f>
        <v>30</v>
      </c>
      <c r="Z462" t="str">
        <f>IFERROR(VLOOKUP(R462, Item_Category!A:B, 2, FALSE), "Uncategorized")</f>
        <v>Bags</v>
      </c>
      <c r="AA462" s="5">
        <f t="shared" si="129"/>
        <v>3.7142857142857144E-2</v>
      </c>
      <c r="AB462">
        <f t="shared" si="130"/>
        <v>3</v>
      </c>
      <c r="AC462" s="10">
        <f t="shared" si="131"/>
        <v>-9</v>
      </c>
      <c r="AD462">
        <f t="shared" si="132"/>
        <v>5</v>
      </c>
      <c r="AE462" s="10">
        <f t="shared" si="133"/>
        <v>1</v>
      </c>
      <c r="AF462" s="5">
        <f t="shared" si="126"/>
        <v>1</v>
      </c>
      <c r="AG462" s="5">
        <f t="shared" si="127"/>
        <v>1</v>
      </c>
      <c r="AH462" s="5">
        <f t="shared" si="134"/>
        <v>0</v>
      </c>
      <c r="AI462">
        <f>IF(B462&lt;&gt;"", COUNTIFS($B$2:B462, B462), "")</f>
        <v>33</v>
      </c>
      <c r="AJ462">
        <f t="shared" si="135"/>
        <v>5</v>
      </c>
      <c r="AK462">
        <f t="shared" si="128"/>
        <v>5</v>
      </c>
      <c r="AL462">
        <f t="shared" si="136"/>
        <v>6</v>
      </c>
      <c r="AM462" t="str">
        <f t="shared" si="137"/>
        <v>June</v>
      </c>
      <c r="AN462">
        <f t="shared" si="138"/>
        <v>2023</v>
      </c>
      <c r="AO462" t="str">
        <f t="shared" si="139"/>
        <v>&gt;3</v>
      </c>
      <c r="AP462" t="str">
        <f t="shared" si="140"/>
        <v>&lt;=3</v>
      </c>
      <c r="AQ462" t="str">
        <f t="shared" si="141"/>
        <v>&gt;3</v>
      </c>
    </row>
    <row r="463" spans="1:43" x14ac:dyDescent="0.3">
      <c r="A463" t="str">
        <f>A304</f>
        <v>Woodpulp</v>
      </c>
      <c r="B463" t="s">
        <v>96</v>
      </c>
      <c r="C463" t="s">
        <v>97</v>
      </c>
      <c r="D463">
        <v>1238</v>
      </c>
      <c r="E463">
        <v>23220007</v>
      </c>
      <c r="F463" t="s">
        <v>389</v>
      </c>
      <c r="G463" t="s">
        <v>390</v>
      </c>
      <c r="H463">
        <v>75</v>
      </c>
      <c r="I463">
        <v>1025</v>
      </c>
      <c r="J463">
        <v>6234562.5</v>
      </c>
      <c r="K463" s="7" t="str">
        <f>IFERROR(IF(B463&lt;&gt;"", TEXT(VLOOKUP(B463, 'Expected Date'!A:B, 2, FALSE) + DATE(RIGHT(C463,2),MID(C463,4,2),LEFT(C463,2)), "dd/mm/yy"), ""), "")</f>
        <v>10/06/23</v>
      </c>
      <c r="L463" t="s">
        <v>68</v>
      </c>
      <c r="M463" t="str">
        <f>M355</f>
        <v>MT</v>
      </c>
      <c r="N463" t="s">
        <v>102</v>
      </c>
      <c r="O463" t="s">
        <v>208</v>
      </c>
      <c r="P463">
        <v>23291079</v>
      </c>
      <c r="Q463" t="s">
        <v>389</v>
      </c>
      <c r="R463" t="s">
        <v>390</v>
      </c>
      <c r="S463">
        <v>73.040000000000006</v>
      </c>
      <c r="T463">
        <v>1025</v>
      </c>
      <c r="U463">
        <v>6131525.4000000004</v>
      </c>
      <c r="V463" t="str">
        <f t="shared" si="124"/>
        <v>Dahej</v>
      </c>
      <c r="W463" t="str">
        <f>VLOOKUP(B463, Currency!A:B, 2, FALSE)</f>
        <v>USD</v>
      </c>
      <c r="X463" t="str">
        <f t="shared" si="125"/>
        <v>Accepted</v>
      </c>
      <c r="Y463">
        <f>IFERROR(VLOOKUP(N463, Payment_Terms!A:B, 2, FALSE), "Payment term not found!")</f>
        <v>60</v>
      </c>
      <c r="Z463" t="str">
        <f>IFERROR(VLOOKUP(R463, Item_Category!A:B, 2, FALSE), "Uncategorized")</f>
        <v>Wood pulp</v>
      </c>
      <c r="AA463" s="5">
        <f t="shared" si="129"/>
        <v>2.6133333333333252E-2</v>
      </c>
      <c r="AB463">
        <f t="shared" si="130"/>
        <v>3</v>
      </c>
      <c r="AC463" s="10">
        <f t="shared" si="131"/>
        <v>63</v>
      </c>
      <c r="AD463">
        <f t="shared" si="132"/>
        <v>1</v>
      </c>
      <c r="AE463" s="10">
        <f t="shared" si="133"/>
        <v>123</v>
      </c>
      <c r="AF463" s="5">
        <f t="shared" si="126"/>
        <v>1</v>
      </c>
      <c r="AG463" s="5">
        <f t="shared" si="127"/>
        <v>1</v>
      </c>
      <c r="AH463" s="5">
        <f t="shared" si="134"/>
        <v>0</v>
      </c>
      <c r="AI463">
        <f>IF(B463&lt;&gt;"", COUNTIFS($B$2:B463, B463), "")</f>
        <v>10</v>
      </c>
      <c r="AJ463">
        <f t="shared" si="135"/>
        <v>5</v>
      </c>
      <c r="AK463">
        <f t="shared" si="128"/>
        <v>4</v>
      </c>
      <c r="AL463">
        <f t="shared" si="136"/>
        <v>4</v>
      </c>
      <c r="AM463" t="str">
        <f t="shared" si="137"/>
        <v>April</v>
      </c>
      <c r="AN463">
        <f t="shared" si="138"/>
        <v>2023</v>
      </c>
      <c r="AO463" t="str">
        <f t="shared" si="139"/>
        <v>&gt;3</v>
      </c>
      <c r="AP463" t="str">
        <f t="shared" si="140"/>
        <v>&lt;=3</v>
      </c>
      <c r="AQ463" t="str">
        <f t="shared" si="141"/>
        <v>&lt;=3</v>
      </c>
    </row>
    <row r="464" spans="1:43" x14ac:dyDescent="0.3">
      <c r="A464" t="str">
        <f>A447</f>
        <v>Woodpulp</v>
      </c>
      <c r="B464" t="s">
        <v>140</v>
      </c>
      <c r="C464" t="s">
        <v>442</v>
      </c>
      <c r="D464">
        <v>1499</v>
      </c>
      <c r="E464">
        <v>23220012</v>
      </c>
      <c r="F464" t="s">
        <v>359</v>
      </c>
      <c r="G464" t="s">
        <v>360</v>
      </c>
      <c r="H464">
        <v>50</v>
      </c>
      <c r="I464">
        <v>830</v>
      </c>
      <c r="J464">
        <v>3378100</v>
      </c>
      <c r="K464" s="7" t="str">
        <f>IFERROR(IF(B464&lt;&gt;"", TEXT(VLOOKUP(B464, 'Expected Date'!A:B, 2, FALSE) + DATE(RIGHT(C464,2),MID(C464,4,2),LEFT(C464,2)), "dd/mm/yy"), ""), "")</f>
        <v>09/06/23</v>
      </c>
      <c r="L464" t="s">
        <v>68</v>
      </c>
      <c r="M464" t="str">
        <f>M355</f>
        <v>MT</v>
      </c>
      <c r="N464" t="s">
        <v>144</v>
      </c>
      <c r="O464" t="s">
        <v>168</v>
      </c>
      <c r="P464">
        <v>23290115</v>
      </c>
      <c r="Q464" t="s">
        <v>359</v>
      </c>
      <c r="R464" t="s">
        <v>360</v>
      </c>
      <c r="S464">
        <v>49.039000000000001</v>
      </c>
      <c r="T464">
        <v>830</v>
      </c>
      <c r="U464">
        <v>3300962.21</v>
      </c>
      <c r="V464" t="str">
        <f t="shared" si="124"/>
        <v>Dahej</v>
      </c>
      <c r="W464" t="str">
        <f>VLOOKUP(B464, Currency!A:B, 2, FALSE)</f>
        <v>USD</v>
      </c>
      <c r="X464" t="str">
        <f t="shared" si="125"/>
        <v>Accepted</v>
      </c>
      <c r="Y464">
        <f>IFERROR(VLOOKUP(N464, Payment_Terms!A:B, 2, FALSE), "Payment term not found!")</f>
        <v>30</v>
      </c>
      <c r="Z464" t="str">
        <f>IFERROR(VLOOKUP(R464, Item_Category!A:B, 2, FALSE), "Uncategorized")</f>
        <v>Wood pulp</v>
      </c>
      <c r="AA464" s="5">
        <f t="shared" si="129"/>
        <v>1.921999999999997E-2</v>
      </c>
      <c r="AB464">
        <f t="shared" si="130"/>
        <v>4</v>
      </c>
      <c r="AC464" s="10">
        <f t="shared" si="131"/>
        <v>-53</v>
      </c>
      <c r="AD464">
        <f t="shared" si="132"/>
        <v>5</v>
      </c>
      <c r="AE464" s="10">
        <f t="shared" si="133"/>
        <v>8</v>
      </c>
      <c r="AF464" s="5">
        <f t="shared" si="126"/>
        <v>1</v>
      </c>
      <c r="AG464" s="5">
        <f t="shared" si="127"/>
        <v>1</v>
      </c>
      <c r="AH464" s="5">
        <f t="shared" si="134"/>
        <v>0</v>
      </c>
      <c r="AI464">
        <f>IF(B464&lt;&gt;"", COUNTIFS($B$2:B464, B464), "")</f>
        <v>20</v>
      </c>
      <c r="AJ464">
        <f t="shared" si="135"/>
        <v>5</v>
      </c>
      <c r="AK464">
        <f t="shared" si="128"/>
        <v>5</v>
      </c>
      <c r="AL464">
        <f t="shared" si="136"/>
        <v>4</v>
      </c>
      <c r="AM464" t="str">
        <f t="shared" si="137"/>
        <v>April</v>
      </c>
      <c r="AN464">
        <f t="shared" si="138"/>
        <v>2023</v>
      </c>
      <c r="AO464" t="str">
        <f t="shared" si="139"/>
        <v>&gt;3</v>
      </c>
      <c r="AP464" t="str">
        <f t="shared" si="140"/>
        <v>&gt;3</v>
      </c>
      <c r="AQ464" t="str">
        <f t="shared" si="141"/>
        <v>&gt;3</v>
      </c>
    </row>
    <row r="465" spans="1:43" x14ac:dyDescent="0.3">
      <c r="A465" t="s">
        <v>33</v>
      </c>
      <c r="B465" t="s">
        <v>347</v>
      </c>
      <c r="C465" t="s">
        <v>293</v>
      </c>
      <c r="D465">
        <v>3929</v>
      </c>
      <c r="E465">
        <v>23210567</v>
      </c>
      <c r="F465" t="s">
        <v>349</v>
      </c>
      <c r="G465" t="s">
        <v>350</v>
      </c>
      <c r="H465">
        <v>24</v>
      </c>
      <c r="I465">
        <v>55700</v>
      </c>
      <c r="J465">
        <v>1336800</v>
      </c>
      <c r="K465" s="7" t="str">
        <f>IFERROR(IF(B465&lt;&gt;"", TEXT(VLOOKUP(B465, 'Expected Date'!A:B, 2, FALSE) + DATE(RIGHT(C465,2),MID(C465,4,2),LEFT(C465,2)), "dd/mm/yy"), ""), "")</f>
        <v>23/08/23</v>
      </c>
      <c r="L465" t="s">
        <v>68</v>
      </c>
      <c r="M465" t="s">
        <v>48</v>
      </c>
      <c r="N465" t="s">
        <v>351</v>
      </c>
      <c r="O465" t="s">
        <v>199</v>
      </c>
      <c r="P465">
        <v>23291241</v>
      </c>
      <c r="Q465" t="s">
        <v>349</v>
      </c>
      <c r="R465" t="s">
        <v>350</v>
      </c>
      <c r="S465">
        <v>23.16</v>
      </c>
      <c r="T465">
        <v>55700</v>
      </c>
      <c r="U465">
        <v>1290012</v>
      </c>
      <c r="V465" t="str">
        <f t="shared" si="124"/>
        <v>Dahej</v>
      </c>
      <c r="W465" t="str">
        <f>VLOOKUP(B465, Currency!A:B, 2, FALSE)</f>
        <v>INR</v>
      </c>
      <c r="X465" t="str">
        <f t="shared" si="125"/>
        <v>Accepted</v>
      </c>
      <c r="Y465">
        <f>IFERROR(VLOOKUP(N465, Payment_Terms!A:B, 2, FALSE), "Payment term not found!")</f>
        <v>0</v>
      </c>
      <c r="Z465" t="str">
        <f>IFERROR(VLOOKUP(R465, Item_Category!A:B, 2, FALSE), "Uncategorized")</f>
        <v>Oil</v>
      </c>
      <c r="AA465" s="5">
        <f t="shared" si="129"/>
        <v>3.4999999999999996E-2</v>
      </c>
      <c r="AB465">
        <f t="shared" si="130"/>
        <v>3</v>
      </c>
      <c r="AC465" s="10">
        <f t="shared" si="131"/>
        <v>3</v>
      </c>
      <c r="AD465">
        <f t="shared" si="132"/>
        <v>4</v>
      </c>
      <c r="AE465" s="10">
        <f t="shared" si="133"/>
        <v>4</v>
      </c>
      <c r="AF465" s="5">
        <f t="shared" si="126"/>
        <v>1</v>
      </c>
      <c r="AG465" s="5">
        <f t="shared" si="127"/>
        <v>1</v>
      </c>
      <c r="AH465" s="5">
        <f t="shared" si="134"/>
        <v>0</v>
      </c>
      <c r="AI465">
        <f>IF(B465&lt;&gt;"", COUNTIFS($B$2:B465, B465), "")</f>
        <v>9</v>
      </c>
      <c r="AJ465">
        <f t="shared" si="135"/>
        <v>5</v>
      </c>
      <c r="AK465">
        <f t="shared" si="128"/>
        <v>5</v>
      </c>
      <c r="AL465">
        <f t="shared" si="136"/>
        <v>8</v>
      </c>
      <c r="AM465" t="str">
        <f t="shared" si="137"/>
        <v>August</v>
      </c>
      <c r="AN465">
        <f t="shared" si="138"/>
        <v>2023</v>
      </c>
      <c r="AO465" t="str">
        <f t="shared" si="139"/>
        <v>&gt;3</v>
      </c>
      <c r="AP465" t="str">
        <f t="shared" si="140"/>
        <v>&lt;=3</v>
      </c>
      <c r="AQ465" t="str">
        <f t="shared" si="141"/>
        <v>&gt;3</v>
      </c>
    </row>
    <row r="466" spans="1:43" x14ac:dyDescent="0.3">
      <c r="A466" t="s">
        <v>33</v>
      </c>
      <c r="B466" t="s">
        <v>347</v>
      </c>
      <c r="C466" t="s">
        <v>154</v>
      </c>
      <c r="D466">
        <v>4455</v>
      </c>
      <c r="E466">
        <v>23210677</v>
      </c>
      <c r="F466" t="s">
        <v>349</v>
      </c>
      <c r="G466" t="s">
        <v>350</v>
      </c>
      <c r="H466">
        <v>24</v>
      </c>
      <c r="I466">
        <v>56260</v>
      </c>
      <c r="J466">
        <v>1350240</v>
      </c>
      <c r="K466" s="7" t="str">
        <f>IFERROR(IF(B466&lt;&gt;"", TEXT(VLOOKUP(B466, 'Expected Date'!A:B, 2, FALSE) + DATE(RIGHT(C466,2),MID(C466,4,2),LEFT(C466,2)), "dd/mm/yy"), ""), "")</f>
        <v>21/09/23</v>
      </c>
      <c r="L466" t="s">
        <v>68</v>
      </c>
      <c r="M466" t="s">
        <v>48</v>
      </c>
      <c r="N466" t="s">
        <v>351</v>
      </c>
      <c r="O466" t="s">
        <v>194</v>
      </c>
      <c r="P466">
        <v>23291514</v>
      </c>
      <c r="Q466" t="s">
        <v>349</v>
      </c>
      <c r="R466" t="s">
        <v>350</v>
      </c>
      <c r="S466">
        <v>23.01</v>
      </c>
      <c r="T466">
        <v>56260</v>
      </c>
      <c r="U466">
        <v>1294542.6000000001</v>
      </c>
      <c r="V466" t="str">
        <f t="shared" si="124"/>
        <v>Dahej</v>
      </c>
      <c r="W466" t="str">
        <f>VLOOKUP(B466, Currency!A:B, 2, FALSE)</f>
        <v>INR</v>
      </c>
      <c r="X466" t="str">
        <f t="shared" si="125"/>
        <v>Accepted</v>
      </c>
      <c r="Y466">
        <f>IFERROR(VLOOKUP(N466, Payment_Terms!A:B, 2, FALSE), "Payment term not found!")</f>
        <v>0</v>
      </c>
      <c r="Z466" t="str">
        <f>IFERROR(VLOOKUP(R466, Item_Category!A:B, 2, FALSE), "Uncategorized")</f>
        <v>Oil</v>
      </c>
      <c r="AA466" s="5">
        <f t="shared" si="129"/>
        <v>4.1249999999999933E-2</v>
      </c>
      <c r="AB466">
        <f t="shared" si="130"/>
        <v>3</v>
      </c>
      <c r="AC466" s="10">
        <f t="shared" si="131"/>
        <v>5</v>
      </c>
      <c r="AD466">
        <f t="shared" si="132"/>
        <v>3</v>
      </c>
      <c r="AE466" s="10">
        <f t="shared" si="133"/>
        <v>6</v>
      </c>
      <c r="AF466" s="5">
        <f t="shared" si="126"/>
        <v>1</v>
      </c>
      <c r="AG466" s="5">
        <f t="shared" si="127"/>
        <v>1</v>
      </c>
      <c r="AH466" s="5">
        <f t="shared" si="134"/>
        <v>0</v>
      </c>
      <c r="AI466">
        <f>IF(B466&lt;&gt;"", COUNTIFS($B$2:B466, B466), "")</f>
        <v>10</v>
      </c>
      <c r="AJ466">
        <f t="shared" si="135"/>
        <v>5</v>
      </c>
      <c r="AK466">
        <f t="shared" si="128"/>
        <v>4</v>
      </c>
      <c r="AL466">
        <f t="shared" si="136"/>
        <v>9</v>
      </c>
      <c r="AM466" t="str">
        <f t="shared" si="137"/>
        <v>September</v>
      </c>
      <c r="AN466">
        <f t="shared" si="138"/>
        <v>2023</v>
      </c>
      <c r="AO466" t="str">
        <f t="shared" si="139"/>
        <v>&gt;3</v>
      </c>
      <c r="AP466" t="str">
        <f t="shared" si="140"/>
        <v>&lt;=3</v>
      </c>
      <c r="AQ466" t="str">
        <f t="shared" si="141"/>
        <v>&lt;=3</v>
      </c>
    </row>
    <row r="467" spans="1:43" x14ac:dyDescent="0.3">
      <c r="A467" t="s">
        <v>33</v>
      </c>
      <c r="B467" t="s">
        <v>395</v>
      </c>
      <c r="C467" t="s">
        <v>396</v>
      </c>
      <c r="D467">
        <v>1223</v>
      </c>
      <c r="E467">
        <v>23210016</v>
      </c>
      <c r="F467" t="s">
        <v>392</v>
      </c>
      <c r="G467" t="s">
        <v>393</v>
      </c>
      <c r="H467">
        <v>150</v>
      </c>
      <c r="I467">
        <v>10700</v>
      </c>
      <c r="J467">
        <v>1605000</v>
      </c>
      <c r="K467" s="7" t="str">
        <f>IFERROR(IF(B467&lt;&gt;"", TEXT(VLOOKUP(B467, 'Expected Date'!A:B, 2, FALSE) + DATE(RIGHT(C467,2),MID(C467,4,2),LEFT(C467,2)), "dd/mm/yy"), ""), "")</f>
        <v>12/04/23</v>
      </c>
      <c r="L467" t="s">
        <v>68</v>
      </c>
      <c r="M467" t="s">
        <v>48</v>
      </c>
      <c r="N467" t="s">
        <v>318</v>
      </c>
      <c r="O467" t="s">
        <v>506</v>
      </c>
      <c r="P467">
        <v>23290097</v>
      </c>
      <c r="Q467" t="s">
        <v>392</v>
      </c>
      <c r="R467" t="s">
        <v>393</v>
      </c>
      <c r="S467">
        <v>27.67</v>
      </c>
      <c r="T467">
        <v>10700</v>
      </c>
      <c r="U467">
        <v>296069</v>
      </c>
      <c r="V467" t="str">
        <f t="shared" si="124"/>
        <v>Dahej</v>
      </c>
      <c r="W467" t="str">
        <f>VLOOKUP(B467, Currency!A:B, 2, FALSE)</f>
        <v>INR</v>
      </c>
      <c r="X467" t="str">
        <f t="shared" si="125"/>
        <v>Accepted</v>
      </c>
      <c r="Y467">
        <f>IFERROR(VLOOKUP(N467, Payment_Terms!A:B, 2, FALSE), "Payment term not found!")</f>
        <v>30</v>
      </c>
      <c r="Z467" t="str">
        <f>IFERROR(VLOOKUP(R467, Item_Category!A:B, 2, FALSE), "Uncategorized")</f>
        <v>Coal materials</v>
      </c>
      <c r="AA467" s="5">
        <f t="shared" si="129"/>
        <v>0.41046666666666665</v>
      </c>
      <c r="AB467">
        <f t="shared" si="130"/>
        <v>1</v>
      </c>
      <c r="AC467" s="10">
        <f t="shared" si="131"/>
        <v>-3</v>
      </c>
      <c r="AD467">
        <f t="shared" si="132"/>
        <v>5</v>
      </c>
      <c r="AE467" s="10">
        <f t="shared" si="133"/>
        <v>2</v>
      </c>
      <c r="AF467" s="5">
        <f t="shared" si="126"/>
        <v>1</v>
      </c>
      <c r="AG467" s="5">
        <f t="shared" si="127"/>
        <v>1</v>
      </c>
      <c r="AH467" s="5">
        <f t="shared" si="134"/>
        <v>0</v>
      </c>
      <c r="AI467">
        <f>IF(B467&lt;&gt;"", COUNTIFS($B$2:B467, B467), "")</f>
        <v>16</v>
      </c>
      <c r="AJ467">
        <f t="shared" si="135"/>
        <v>5</v>
      </c>
      <c r="AK467">
        <f t="shared" si="128"/>
        <v>4</v>
      </c>
      <c r="AL467">
        <f t="shared" si="136"/>
        <v>4</v>
      </c>
      <c r="AM467" t="str">
        <f t="shared" si="137"/>
        <v>April</v>
      </c>
      <c r="AN467">
        <f t="shared" si="138"/>
        <v>2023</v>
      </c>
      <c r="AO467" t="str">
        <f t="shared" si="139"/>
        <v>&gt;3</v>
      </c>
      <c r="AP467" t="str">
        <f t="shared" si="140"/>
        <v>&lt;=3</v>
      </c>
      <c r="AQ467" t="str">
        <f t="shared" si="141"/>
        <v>&gt;3</v>
      </c>
    </row>
    <row r="468" spans="1:43" x14ac:dyDescent="0.3">
      <c r="A468" t="s">
        <v>111</v>
      </c>
      <c r="B468" t="s">
        <v>296</v>
      </c>
      <c r="C468" t="s">
        <v>374</v>
      </c>
      <c r="D468">
        <v>1251</v>
      </c>
      <c r="E468">
        <v>23210020</v>
      </c>
      <c r="F468" t="s">
        <v>445</v>
      </c>
      <c r="G468" t="s">
        <v>446</v>
      </c>
      <c r="H468">
        <v>12000</v>
      </c>
      <c r="I468">
        <v>205</v>
      </c>
      <c r="J468">
        <v>2460000</v>
      </c>
      <c r="K468" s="7" t="str">
        <f>IFERROR(IF(B468&lt;&gt;"", TEXT(VLOOKUP(B468, 'Expected Date'!A:B, 2, FALSE) + DATE(RIGHT(C468,2),MID(C468,4,2),LEFT(C468,2)), "dd/mm/yy"), ""), "")</f>
        <v>28/04/23</v>
      </c>
      <c r="L468" t="s">
        <v>38</v>
      </c>
      <c r="M468" t="s">
        <v>48</v>
      </c>
      <c r="N468" t="s">
        <v>381</v>
      </c>
      <c r="O468" t="s">
        <v>231</v>
      </c>
      <c r="P468">
        <v>23290470</v>
      </c>
      <c r="Q468" t="s">
        <v>445</v>
      </c>
      <c r="R468" t="s">
        <v>446</v>
      </c>
      <c r="S468">
        <v>2000</v>
      </c>
      <c r="T468">
        <v>205</v>
      </c>
      <c r="U468">
        <v>410000</v>
      </c>
      <c r="V468" t="str">
        <f t="shared" si="124"/>
        <v>Dahej</v>
      </c>
      <c r="W468" t="str">
        <f>VLOOKUP(B468, Currency!A:B, 2, FALSE)</f>
        <v>INR</v>
      </c>
      <c r="X468" t="str">
        <f t="shared" si="125"/>
        <v>Accepted</v>
      </c>
      <c r="Y468">
        <f>IFERROR(VLOOKUP(N468, Payment_Terms!A:B, 2, FALSE), "Payment term not found!")</f>
        <v>30</v>
      </c>
      <c r="Z468" t="str">
        <f>IFERROR(VLOOKUP(R468, Item_Category!A:B, 2, FALSE), "Uncategorized")</f>
        <v>SSG - Potato</v>
      </c>
      <c r="AA468" s="5">
        <f t="shared" si="129"/>
        <v>0</v>
      </c>
      <c r="AB468">
        <f t="shared" si="130"/>
        <v>5</v>
      </c>
      <c r="AC468" s="10">
        <f t="shared" si="131"/>
        <v>42</v>
      </c>
      <c r="AD468">
        <f t="shared" si="132"/>
        <v>1</v>
      </c>
      <c r="AE468" s="10">
        <f t="shared" si="133"/>
        <v>57</v>
      </c>
      <c r="AF468" s="5">
        <f t="shared" si="126"/>
        <v>1</v>
      </c>
      <c r="AG468" s="5">
        <f t="shared" si="127"/>
        <v>1</v>
      </c>
      <c r="AH468" s="5">
        <f t="shared" si="134"/>
        <v>0</v>
      </c>
      <c r="AI468">
        <f>IF(B468&lt;&gt;"", COUNTIFS($B$2:B468, B468), "")</f>
        <v>8</v>
      </c>
      <c r="AJ468">
        <f t="shared" si="135"/>
        <v>5</v>
      </c>
      <c r="AK468">
        <f t="shared" si="128"/>
        <v>4</v>
      </c>
      <c r="AL468">
        <f t="shared" si="136"/>
        <v>4</v>
      </c>
      <c r="AM468" t="str">
        <f t="shared" si="137"/>
        <v>April</v>
      </c>
      <c r="AN468">
        <f t="shared" si="138"/>
        <v>2023</v>
      </c>
      <c r="AO468" t="str">
        <f t="shared" si="139"/>
        <v>&gt;3</v>
      </c>
      <c r="AP468" t="str">
        <f t="shared" si="140"/>
        <v>&gt;3</v>
      </c>
      <c r="AQ468" t="str">
        <f t="shared" si="141"/>
        <v>&lt;=3</v>
      </c>
    </row>
    <row r="469" spans="1:43" x14ac:dyDescent="0.3">
      <c r="A469" t="s">
        <v>33</v>
      </c>
      <c r="B469" t="str">
        <f>B284</f>
        <v>Ami Enterprises</v>
      </c>
      <c r="C469" t="s">
        <v>416</v>
      </c>
      <c r="D469">
        <v>2119</v>
      </c>
      <c r="E469">
        <v>23210181</v>
      </c>
      <c r="F469" t="s">
        <v>502</v>
      </c>
      <c r="G469" t="s">
        <v>503</v>
      </c>
      <c r="H469">
        <v>502</v>
      </c>
      <c r="I469">
        <v>35</v>
      </c>
      <c r="J469">
        <v>17570</v>
      </c>
      <c r="K469" s="7" t="str">
        <f>IFERROR(IF(B469&lt;&gt;"", TEXT(VLOOKUP(B469, 'Expected Date'!A:B, 2, FALSE) + DATE(RIGHT(C469,2),MID(C469,4,2),LEFT(C469,2)), "dd/mm/yy"), ""), "")</f>
        <v>30/05/23</v>
      </c>
      <c r="L469" t="s">
        <v>38</v>
      </c>
      <c r="M469" t="s">
        <v>39</v>
      </c>
      <c r="N469" t="s">
        <v>342</v>
      </c>
      <c r="O469" t="s">
        <v>432</v>
      </c>
      <c r="P469">
        <v>23290367</v>
      </c>
      <c r="Q469" t="s">
        <v>502</v>
      </c>
      <c r="R469" t="s">
        <v>503</v>
      </c>
      <c r="S469">
        <v>502</v>
      </c>
      <c r="T469">
        <v>35</v>
      </c>
      <c r="U469">
        <v>17570</v>
      </c>
      <c r="V469" t="str">
        <f t="shared" si="124"/>
        <v>Dahej</v>
      </c>
      <c r="W469" t="str">
        <f>VLOOKUP(B469, Currency!A:B, 2, FALSE)</f>
        <v>INR</v>
      </c>
      <c r="X469" t="str">
        <f t="shared" si="125"/>
        <v>Accepted</v>
      </c>
      <c r="Y469">
        <f>IFERROR(VLOOKUP(N469, Payment_Terms!A:B, 2, FALSE), "Payment term not found!")</f>
        <v>30</v>
      </c>
      <c r="Z469" t="str">
        <f>IFERROR(VLOOKUP(R469, Item_Category!A:B, 2, FALSE), "Uncategorized")</f>
        <v>Bags</v>
      </c>
      <c r="AA469" s="5">
        <f t="shared" si="129"/>
        <v>0</v>
      </c>
      <c r="AB469">
        <f t="shared" si="130"/>
        <v>5</v>
      </c>
      <c r="AC469" s="10">
        <f t="shared" si="131"/>
        <v>-8</v>
      </c>
      <c r="AD469">
        <f t="shared" si="132"/>
        <v>5</v>
      </c>
      <c r="AE469" s="10">
        <f t="shared" si="133"/>
        <v>2</v>
      </c>
      <c r="AF469" s="5">
        <f t="shared" si="126"/>
        <v>1</v>
      </c>
      <c r="AG469" s="5">
        <f t="shared" si="127"/>
        <v>1</v>
      </c>
      <c r="AH469" s="5">
        <f t="shared" si="134"/>
        <v>0</v>
      </c>
      <c r="AI469">
        <f>IF(B469&lt;&gt;"", COUNTIFS($B$2:B469, B469), "")</f>
        <v>34</v>
      </c>
      <c r="AJ469">
        <f t="shared" si="135"/>
        <v>5</v>
      </c>
      <c r="AK469">
        <f t="shared" si="128"/>
        <v>5</v>
      </c>
      <c r="AL469">
        <f t="shared" si="136"/>
        <v>5</v>
      </c>
      <c r="AM469" t="str">
        <f t="shared" si="137"/>
        <v>May</v>
      </c>
      <c r="AN469">
        <f t="shared" si="138"/>
        <v>2023</v>
      </c>
      <c r="AO469" t="str">
        <f t="shared" si="139"/>
        <v>&gt;3</v>
      </c>
      <c r="AP469" t="str">
        <f t="shared" si="140"/>
        <v>&gt;3</v>
      </c>
      <c r="AQ469" t="str">
        <f t="shared" si="141"/>
        <v>&gt;3</v>
      </c>
    </row>
    <row r="470" spans="1:43" x14ac:dyDescent="0.3">
      <c r="A470" t="s">
        <v>33</v>
      </c>
      <c r="B470" t="s">
        <v>386</v>
      </c>
      <c r="C470" t="s">
        <v>108</v>
      </c>
      <c r="D470">
        <v>2144</v>
      </c>
      <c r="E470">
        <v>23210191</v>
      </c>
      <c r="F470" t="s">
        <v>437</v>
      </c>
      <c r="G470" t="s">
        <v>438</v>
      </c>
      <c r="H470">
        <v>8700</v>
      </c>
      <c r="I470">
        <v>9.0441000000000003</v>
      </c>
      <c r="J470">
        <v>78683.67</v>
      </c>
      <c r="K470" s="7" t="str">
        <f>IFERROR(IF(B470&lt;&gt;"", TEXT(VLOOKUP(B470, 'Expected Date'!A:B, 2, FALSE) + DATE(RIGHT(C470,2),MID(C470,4,2),LEFT(C470,2)), "dd/mm/yy"), ""), "")</f>
        <v>15/05/23</v>
      </c>
      <c r="L470" t="s">
        <v>38</v>
      </c>
      <c r="M470" t="s">
        <v>48</v>
      </c>
      <c r="N470" t="s">
        <v>342</v>
      </c>
      <c r="O470" t="s">
        <v>269</v>
      </c>
      <c r="P470">
        <v>23290372</v>
      </c>
      <c r="Q470" t="s">
        <v>437</v>
      </c>
      <c r="R470" t="s">
        <v>438</v>
      </c>
      <c r="S470">
        <v>8700</v>
      </c>
      <c r="T470">
        <v>9.0441000000000003</v>
      </c>
      <c r="U470">
        <v>78683.67</v>
      </c>
      <c r="V470" t="str">
        <f t="shared" si="124"/>
        <v>Dahej</v>
      </c>
      <c r="W470" t="str">
        <f>VLOOKUP(B470, Currency!A:B, 2, FALSE)</f>
        <v>INR</v>
      </c>
      <c r="X470" t="str">
        <f t="shared" si="125"/>
        <v>Accepted</v>
      </c>
      <c r="Y470">
        <f>IFERROR(VLOOKUP(N470, Payment_Terms!A:B, 2, FALSE), "Payment term not found!")</f>
        <v>30</v>
      </c>
      <c r="Z470" t="str">
        <f>IFERROR(VLOOKUP(R470, Item_Category!A:B, 2, FALSE), "Uncategorized")</f>
        <v>Liner</v>
      </c>
      <c r="AA470" s="5">
        <f t="shared" si="129"/>
        <v>0</v>
      </c>
      <c r="AB470">
        <f t="shared" si="130"/>
        <v>5</v>
      </c>
      <c r="AC470" s="10">
        <f t="shared" si="131"/>
        <v>0</v>
      </c>
      <c r="AD470">
        <f t="shared" si="132"/>
        <v>5</v>
      </c>
      <c r="AE470" s="10">
        <f t="shared" si="133"/>
        <v>5</v>
      </c>
      <c r="AF470" s="5">
        <f t="shared" si="126"/>
        <v>1</v>
      </c>
      <c r="AG470" s="5">
        <f t="shared" si="127"/>
        <v>1</v>
      </c>
      <c r="AH470" s="5">
        <f t="shared" si="134"/>
        <v>0</v>
      </c>
      <c r="AI470">
        <f>IF(B470&lt;&gt;"", COUNTIFS($B$2:B470, B470), "")</f>
        <v>13</v>
      </c>
      <c r="AJ470">
        <f t="shared" si="135"/>
        <v>5</v>
      </c>
      <c r="AK470">
        <f t="shared" si="128"/>
        <v>5</v>
      </c>
      <c r="AL470">
        <f t="shared" si="136"/>
        <v>5</v>
      </c>
      <c r="AM470" t="str">
        <f t="shared" si="137"/>
        <v>May</v>
      </c>
      <c r="AN470">
        <f t="shared" si="138"/>
        <v>2023</v>
      </c>
      <c r="AO470" t="str">
        <f t="shared" si="139"/>
        <v>&gt;3</v>
      </c>
      <c r="AP470" t="str">
        <f t="shared" si="140"/>
        <v>&gt;3</v>
      </c>
      <c r="AQ470" t="str">
        <f t="shared" si="141"/>
        <v>&gt;3</v>
      </c>
    </row>
    <row r="471" spans="1:43" x14ac:dyDescent="0.3">
      <c r="A471" t="s">
        <v>33</v>
      </c>
      <c r="B471" t="s">
        <v>382</v>
      </c>
      <c r="C471" t="s">
        <v>432</v>
      </c>
      <c r="D471">
        <v>2086</v>
      </c>
      <c r="E471">
        <v>23210177</v>
      </c>
      <c r="F471" t="s">
        <v>383</v>
      </c>
      <c r="G471" t="s">
        <v>384</v>
      </c>
      <c r="H471">
        <v>250</v>
      </c>
      <c r="I471">
        <v>96</v>
      </c>
      <c r="J471">
        <v>24000</v>
      </c>
      <c r="K471" s="7" t="str">
        <f>IFERROR(IF(B471&lt;&gt;"", TEXT(VLOOKUP(B471, 'Expected Date'!A:B, 2, FALSE) + DATE(RIGHT(C471,2),MID(C471,4,2),LEFT(C471,2)), "dd/mm/yy"), ""), "")</f>
        <v>01/06/23</v>
      </c>
      <c r="L471" t="s">
        <v>38</v>
      </c>
      <c r="M471" t="s">
        <v>48</v>
      </c>
      <c r="N471" t="s">
        <v>342</v>
      </c>
      <c r="O471" t="s">
        <v>137</v>
      </c>
      <c r="P471">
        <v>23290380</v>
      </c>
      <c r="Q471" t="s">
        <v>383</v>
      </c>
      <c r="R471" t="s">
        <v>384</v>
      </c>
      <c r="S471">
        <v>250</v>
      </c>
      <c r="T471">
        <v>96</v>
      </c>
      <c r="U471">
        <v>24000</v>
      </c>
      <c r="V471" t="str">
        <f t="shared" si="124"/>
        <v>Dahej</v>
      </c>
      <c r="W471" t="str">
        <f>VLOOKUP(B471, Currency!A:B, 2, FALSE)</f>
        <v>INR</v>
      </c>
      <c r="X471" t="str">
        <f t="shared" si="125"/>
        <v>Accepted</v>
      </c>
      <c r="Y471">
        <f>IFERROR(VLOOKUP(N471, Payment_Terms!A:B, 2, FALSE), "Payment term not found!")</f>
        <v>30</v>
      </c>
      <c r="Z471" t="str">
        <f>IFERROR(VLOOKUP(R471, Item_Category!A:B, 2, FALSE), "Uncategorized")</f>
        <v>Gas</v>
      </c>
      <c r="AA471" s="5">
        <f t="shared" si="129"/>
        <v>0</v>
      </c>
      <c r="AB471">
        <f t="shared" si="130"/>
        <v>5</v>
      </c>
      <c r="AC471" s="10">
        <f t="shared" si="131"/>
        <v>-6</v>
      </c>
      <c r="AD471">
        <f t="shared" si="132"/>
        <v>5</v>
      </c>
      <c r="AE471" s="10">
        <f t="shared" si="133"/>
        <v>4</v>
      </c>
      <c r="AF471" s="5">
        <f t="shared" si="126"/>
        <v>1</v>
      </c>
      <c r="AG471" s="5">
        <f t="shared" si="127"/>
        <v>1</v>
      </c>
      <c r="AH471" s="5">
        <f t="shared" si="134"/>
        <v>0</v>
      </c>
      <c r="AI471">
        <f>IF(B471&lt;&gt;"", COUNTIFS($B$2:B471, B471), "")</f>
        <v>13</v>
      </c>
      <c r="AJ471">
        <f t="shared" si="135"/>
        <v>5</v>
      </c>
      <c r="AK471">
        <f t="shared" si="128"/>
        <v>5</v>
      </c>
      <c r="AL471">
        <f t="shared" si="136"/>
        <v>5</v>
      </c>
      <c r="AM471" t="str">
        <f t="shared" si="137"/>
        <v>May</v>
      </c>
      <c r="AN471">
        <f t="shared" si="138"/>
        <v>2023</v>
      </c>
      <c r="AO471" t="str">
        <f t="shared" si="139"/>
        <v>&gt;3</v>
      </c>
      <c r="AP471" t="str">
        <f t="shared" si="140"/>
        <v>&gt;3</v>
      </c>
      <c r="AQ471" t="str">
        <f t="shared" si="141"/>
        <v>&gt;3</v>
      </c>
    </row>
    <row r="472" spans="1:43" x14ac:dyDescent="0.3">
      <c r="A472" t="str">
        <f>A304</f>
        <v>Woodpulp</v>
      </c>
      <c r="B472" t="s">
        <v>96</v>
      </c>
      <c r="C472" t="s">
        <v>97</v>
      </c>
      <c r="D472">
        <v>1233</v>
      </c>
      <c r="E472">
        <v>23220002</v>
      </c>
      <c r="F472" t="s">
        <v>443</v>
      </c>
      <c r="G472" t="s">
        <v>99</v>
      </c>
      <c r="H472">
        <v>52</v>
      </c>
      <c r="I472">
        <v>820</v>
      </c>
      <c r="J472">
        <v>3458104</v>
      </c>
      <c r="K472" s="7" t="str">
        <f>IFERROR(IF(B472&lt;&gt;"", TEXT(VLOOKUP(B472, 'Expected Date'!A:B, 2, FALSE) + DATE(RIGHT(C472,2),MID(C472,4,2),LEFT(C472,2)), "dd/mm/yy"), ""), "")</f>
        <v>10/06/23</v>
      </c>
      <c r="L472" t="s">
        <v>68</v>
      </c>
      <c r="M472" t="str">
        <f>M355</f>
        <v>MT</v>
      </c>
      <c r="N472" t="s">
        <v>102</v>
      </c>
      <c r="O472" t="s">
        <v>426</v>
      </c>
      <c r="P472">
        <v>23290740</v>
      </c>
      <c r="Q472" t="s">
        <v>443</v>
      </c>
      <c r="R472" t="s">
        <v>99</v>
      </c>
      <c r="S472">
        <v>50.033000000000001</v>
      </c>
      <c r="T472">
        <v>820</v>
      </c>
      <c r="U472">
        <v>3345756.74</v>
      </c>
      <c r="V472" t="str">
        <f t="shared" si="124"/>
        <v>Dahej</v>
      </c>
      <c r="W472" t="str">
        <f>VLOOKUP(B472, Currency!A:B, 2, FALSE)</f>
        <v>USD</v>
      </c>
      <c r="X472" t="str">
        <f t="shared" si="125"/>
        <v>Accepted</v>
      </c>
      <c r="Y472">
        <f>IFERROR(VLOOKUP(N472, Payment_Terms!A:B, 2, FALSE), "Payment term not found!")</f>
        <v>60</v>
      </c>
      <c r="Z472" t="str">
        <f>IFERROR(VLOOKUP(R472, Item_Category!A:B, 2, FALSE), "Uncategorized")</f>
        <v>Wood pulp</v>
      </c>
      <c r="AA472" s="5">
        <f t="shared" si="129"/>
        <v>3.782692307692305E-2</v>
      </c>
      <c r="AB472">
        <f t="shared" si="130"/>
        <v>3</v>
      </c>
      <c r="AC472" s="10">
        <f t="shared" si="131"/>
        <v>28</v>
      </c>
      <c r="AD472">
        <f t="shared" si="132"/>
        <v>1</v>
      </c>
      <c r="AE472" s="10">
        <f t="shared" si="133"/>
        <v>88</v>
      </c>
      <c r="AF472" s="5">
        <f t="shared" si="126"/>
        <v>1</v>
      </c>
      <c r="AG472" s="5">
        <f t="shared" si="127"/>
        <v>1</v>
      </c>
      <c r="AH472" s="5">
        <f t="shared" si="134"/>
        <v>0</v>
      </c>
      <c r="AI472">
        <f>IF(B472&lt;&gt;"", COUNTIFS($B$2:B472, B472), "")</f>
        <v>11</v>
      </c>
      <c r="AJ472">
        <f t="shared" si="135"/>
        <v>5</v>
      </c>
      <c r="AK472">
        <f t="shared" si="128"/>
        <v>4</v>
      </c>
      <c r="AL472">
        <f t="shared" si="136"/>
        <v>4</v>
      </c>
      <c r="AM472" t="str">
        <f t="shared" si="137"/>
        <v>April</v>
      </c>
      <c r="AN472">
        <f t="shared" si="138"/>
        <v>2023</v>
      </c>
      <c r="AO472" t="str">
        <f t="shared" si="139"/>
        <v>&gt;3</v>
      </c>
      <c r="AP472" t="str">
        <f t="shared" si="140"/>
        <v>&lt;=3</v>
      </c>
      <c r="AQ472" t="str">
        <f t="shared" si="141"/>
        <v>&lt;=3</v>
      </c>
    </row>
    <row r="473" spans="1:43" x14ac:dyDescent="0.3">
      <c r="A473" t="s">
        <v>111</v>
      </c>
      <c r="B473" t="s">
        <v>112</v>
      </c>
      <c r="C473" t="s">
        <v>286</v>
      </c>
      <c r="D473">
        <v>4130</v>
      </c>
      <c r="E473">
        <v>23220057</v>
      </c>
      <c r="F473" t="s">
        <v>507</v>
      </c>
      <c r="G473" t="s">
        <v>508</v>
      </c>
      <c r="H473">
        <v>4000</v>
      </c>
      <c r="I473">
        <v>25</v>
      </c>
      <c r="J473">
        <v>100000</v>
      </c>
      <c r="K473" s="7" t="str">
        <f>IFERROR(IF(B473&lt;&gt;"", TEXT(VLOOKUP(B473, 'Expected Date'!A:B, 2, FALSE) + DATE(RIGHT(C473,2),MID(C473,4,2),LEFT(C473,2)), "dd/mm/yy"), ""), "")</f>
        <v>15/09/23</v>
      </c>
      <c r="L473" t="s">
        <v>38</v>
      </c>
      <c r="M473" t="s">
        <v>48</v>
      </c>
      <c r="N473" t="s">
        <v>509</v>
      </c>
      <c r="O473" t="s">
        <v>202</v>
      </c>
      <c r="P473">
        <v>23291277</v>
      </c>
      <c r="Q473" t="s">
        <v>507</v>
      </c>
      <c r="R473" t="s">
        <v>508</v>
      </c>
      <c r="S473">
        <v>4000</v>
      </c>
      <c r="T473">
        <v>25</v>
      </c>
      <c r="U473">
        <v>100000</v>
      </c>
      <c r="V473" t="str">
        <f t="shared" si="124"/>
        <v>Dahej</v>
      </c>
      <c r="W473" t="str">
        <f>VLOOKUP(B473, Currency!A:B, 2, FALSE)</f>
        <v>INR</v>
      </c>
      <c r="X473" t="s">
        <v>481</v>
      </c>
      <c r="Y473">
        <f>IFERROR(VLOOKUP(N473, Payment_Terms!A:B, 2, FALSE), "Payment term not found!")</f>
        <v>30</v>
      </c>
      <c r="Z473" t="str">
        <f>IFERROR(VLOOKUP(R473, Item_Category!A:B, 2, FALSE), "Uncategorized")</f>
        <v>Talc</v>
      </c>
      <c r="AA473" s="5">
        <f t="shared" si="129"/>
        <v>0</v>
      </c>
      <c r="AB473">
        <f t="shared" si="130"/>
        <v>5</v>
      </c>
      <c r="AC473" s="10">
        <f t="shared" si="131"/>
        <v>-37</v>
      </c>
      <c r="AD473">
        <f t="shared" si="132"/>
        <v>5</v>
      </c>
      <c r="AE473" s="10">
        <f t="shared" si="133"/>
        <v>22</v>
      </c>
      <c r="AF473" s="5">
        <f t="shared" si="126"/>
        <v>0</v>
      </c>
      <c r="AG473" s="5">
        <f t="shared" si="127"/>
        <v>0.56000000000000005</v>
      </c>
      <c r="AH473" s="5">
        <f t="shared" si="134"/>
        <v>0.44</v>
      </c>
      <c r="AI473">
        <f>IF(B473&lt;&gt;"", COUNTIFS($B$2:B473, B473), "")</f>
        <v>2</v>
      </c>
      <c r="AJ473">
        <f t="shared" si="135"/>
        <v>1</v>
      </c>
      <c r="AK473">
        <f t="shared" si="128"/>
        <v>4</v>
      </c>
      <c r="AL473">
        <f t="shared" si="136"/>
        <v>8</v>
      </c>
      <c r="AM473" t="str">
        <f t="shared" si="137"/>
        <v>August</v>
      </c>
      <c r="AN473">
        <f t="shared" si="138"/>
        <v>2023</v>
      </c>
      <c r="AO473" t="str">
        <f t="shared" si="139"/>
        <v>&lt;=3</v>
      </c>
      <c r="AP473" t="str">
        <f t="shared" si="140"/>
        <v>&gt;3</v>
      </c>
      <c r="AQ473" t="str">
        <f t="shared" si="141"/>
        <v>&gt;3</v>
      </c>
    </row>
    <row r="474" spans="1:43" x14ac:dyDescent="0.3">
      <c r="A474" t="str">
        <f>A447</f>
        <v>Woodpulp</v>
      </c>
      <c r="B474" t="s">
        <v>140</v>
      </c>
      <c r="C474" t="s">
        <v>442</v>
      </c>
      <c r="D474">
        <v>1497</v>
      </c>
      <c r="E474">
        <v>23220010</v>
      </c>
      <c r="F474" t="s">
        <v>359</v>
      </c>
      <c r="G474" t="s">
        <v>360</v>
      </c>
      <c r="H474">
        <v>50</v>
      </c>
      <c r="I474">
        <v>830</v>
      </c>
      <c r="J474">
        <v>3378100</v>
      </c>
      <c r="K474" s="7" t="str">
        <f>IFERROR(IF(B474&lt;&gt;"", TEXT(VLOOKUP(B474, 'Expected Date'!A:B, 2, FALSE) + DATE(RIGHT(C474,2),MID(C474,4,2),LEFT(C474,2)), "dd/mm/yy"), ""), "")</f>
        <v>09/06/23</v>
      </c>
      <c r="L474" t="s">
        <v>68</v>
      </c>
      <c r="M474" t="str">
        <f>M355</f>
        <v>MT</v>
      </c>
      <c r="N474" t="s">
        <v>144</v>
      </c>
      <c r="O474" t="s">
        <v>428</v>
      </c>
      <c r="P474">
        <v>23290114</v>
      </c>
      <c r="Q474" t="s">
        <v>359</v>
      </c>
      <c r="R474" t="s">
        <v>360</v>
      </c>
      <c r="S474">
        <v>49.5</v>
      </c>
      <c r="T474">
        <v>830</v>
      </c>
      <c r="U474">
        <v>3366915.75</v>
      </c>
      <c r="V474" t="str">
        <f t="shared" si="124"/>
        <v>Dahej</v>
      </c>
      <c r="W474" t="str">
        <f>VLOOKUP(B474, Currency!A:B, 2, FALSE)</f>
        <v>USD</v>
      </c>
      <c r="X474" t="str">
        <f>X472</f>
        <v>Accepted</v>
      </c>
      <c r="Y474">
        <f>IFERROR(VLOOKUP(N474, Payment_Terms!A:B, 2, FALSE), "Payment term not found!")</f>
        <v>30</v>
      </c>
      <c r="Z474" t="str">
        <f>IFERROR(VLOOKUP(R474, Item_Category!A:B, 2, FALSE), "Uncategorized")</f>
        <v>Wood pulp</v>
      </c>
      <c r="AA474" s="5">
        <f t="shared" si="129"/>
        <v>0.01</v>
      </c>
      <c r="AB474">
        <f t="shared" si="130"/>
        <v>4</v>
      </c>
      <c r="AC474" s="10">
        <f t="shared" si="131"/>
        <v>-67</v>
      </c>
      <c r="AD474">
        <f t="shared" si="132"/>
        <v>5</v>
      </c>
      <c r="AE474" s="10">
        <f t="shared" si="133"/>
        <v>22</v>
      </c>
      <c r="AF474" s="5">
        <f t="shared" si="126"/>
        <v>1</v>
      </c>
      <c r="AG474" s="5">
        <f t="shared" si="127"/>
        <v>1</v>
      </c>
      <c r="AH474" s="5">
        <f t="shared" si="134"/>
        <v>0</v>
      </c>
      <c r="AI474">
        <f>IF(B474&lt;&gt;"", COUNTIFS($B$2:B474, B474), "")</f>
        <v>21</v>
      </c>
      <c r="AJ474">
        <f t="shared" si="135"/>
        <v>5</v>
      </c>
      <c r="AK474">
        <f t="shared" si="128"/>
        <v>5</v>
      </c>
      <c r="AL474">
        <f t="shared" si="136"/>
        <v>4</v>
      </c>
      <c r="AM474" t="str">
        <f t="shared" si="137"/>
        <v>April</v>
      </c>
      <c r="AN474">
        <f t="shared" si="138"/>
        <v>2023</v>
      </c>
      <c r="AO474" t="str">
        <f t="shared" si="139"/>
        <v>&gt;3</v>
      </c>
      <c r="AP474" t="str">
        <f t="shared" si="140"/>
        <v>&gt;3</v>
      </c>
      <c r="AQ474" t="str">
        <f t="shared" si="141"/>
        <v>&gt;3</v>
      </c>
    </row>
    <row r="475" spans="1:43" x14ac:dyDescent="0.3">
      <c r="A475" t="s">
        <v>33</v>
      </c>
      <c r="B475" t="s">
        <v>395</v>
      </c>
      <c r="C475" t="s">
        <v>120</v>
      </c>
      <c r="D475">
        <v>3445</v>
      </c>
      <c r="E475">
        <v>23210471</v>
      </c>
      <c r="F475" t="s">
        <v>392</v>
      </c>
      <c r="G475" t="s">
        <v>393</v>
      </c>
      <c r="H475">
        <v>200</v>
      </c>
      <c r="I475">
        <v>10500</v>
      </c>
      <c r="J475">
        <v>2100000</v>
      </c>
      <c r="K475" s="7" t="str">
        <f>IFERROR(IF(B475&lt;&gt;"", TEXT(VLOOKUP(B475, 'Expected Date'!A:B, 2, FALSE) + DATE(RIGHT(C475,2),MID(C475,4,2),LEFT(C475,2)), "dd/mm/yy"), ""), "")</f>
        <v>25/07/23</v>
      </c>
      <c r="L475" t="s">
        <v>68</v>
      </c>
      <c r="M475" t="s">
        <v>48</v>
      </c>
      <c r="N475" t="s">
        <v>370</v>
      </c>
      <c r="O475" t="s">
        <v>57</v>
      </c>
      <c r="P475">
        <v>23291025</v>
      </c>
      <c r="Q475" t="s">
        <v>392</v>
      </c>
      <c r="R475" t="s">
        <v>393</v>
      </c>
      <c r="S475">
        <v>28.66</v>
      </c>
      <c r="T475">
        <v>10500</v>
      </c>
      <c r="U475">
        <v>300930</v>
      </c>
      <c r="V475" t="str">
        <f t="shared" si="124"/>
        <v>Dahej</v>
      </c>
      <c r="W475" t="str">
        <f>VLOOKUP(B475, Currency!A:B, 2, FALSE)</f>
        <v>INR</v>
      </c>
      <c r="X475" t="str">
        <f>X474</f>
        <v>Accepted</v>
      </c>
      <c r="Y475">
        <f>IFERROR(VLOOKUP(N475, Payment_Terms!A:B, 2, FALSE), "Payment term not found!")</f>
        <v>15</v>
      </c>
      <c r="Z475" t="str">
        <f>IFERROR(VLOOKUP(R475, Item_Category!A:B, 2, FALSE), "Uncategorized")</f>
        <v>Coal materials</v>
      </c>
      <c r="AA475" s="5">
        <f t="shared" si="129"/>
        <v>4.2950000000000016E-2</v>
      </c>
      <c r="AB475">
        <f t="shared" si="130"/>
        <v>3</v>
      </c>
      <c r="AC475" s="10">
        <f t="shared" si="131"/>
        <v>9</v>
      </c>
      <c r="AD475">
        <f t="shared" si="132"/>
        <v>2</v>
      </c>
      <c r="AE475" s="10">
        <f t="shared" si="133"/>
        <v>14</v>
      </c>
      <c r="AF475" s="5">
        <f t="shared" si="126"/>
        <v>1</v>
      </c>
      <c r="AG475" s="5">
        <f t="shared" si="127"/>
        <v>1</v>
      </c>
      <c r="AH475" s="5">
        <f t="shared" si="134"/>
        <v>0</v>
      </c>
      <c r="AI475">
        <f>IF(B475&lt;&gt;"", COUNTIFS($B$2:B475, B475), "")</f>
        <v>17</v>
      </c>
      <c r="AJ475">
        <f t="shared" si="135"/>
        <v>5</v>
      </c>
      <c r="AK475">
        <f t="shared" si="128"/>
        <v>4</v>
      </c>
      <c r="AL475">
        <f t="shared" si="136"/>
        <v>7</v>
      </c>
      <c r="AM475" t="str">
        <f t="shared" si="137"/>
        <v>July</v>
      </c>
      <c r="AN475">
        <f t="shared" si="138"/>
        <v>2023</v>
      </c>
      <c r="AO475" t="str">
        <f t="shared" si="139"/>
        <v>&gt;3</v>
      </c>
      <c r="AP475" t="str">
        <f t="shared" si="140"/>
        <v>&lt;=3</v>
      </c>
      <c r="AQ475" t="str">
        <f t="shared" si="141"/>
        <v>&lt;=3</v>
      </c>
    </row>
    <row r="476" spans="1:43" x14ac:dyDescent="0.3">
      <c r="A476" t="s">
        <v>33</v>
      </c>
      <c r="B476" t="s">
        <v>395</v>
      </c>
      <c r="C476" t="s">
        <v>120</v>
      </c>
      <c r="D476">
        <v>3445</v>
      </c>
      <c r="E476">
        <v>23210471</v>
      </c>
      <c r="F476" t="s">
        <v>392</v>
      </c>
      <c r="G476" t="s">
        <v>393</v>
      </c>
      <c r="H476">
        <v>200</v>
      </c>
      <c r="I476">
        <v>10500</v>
      </c>
      <c r="J476">
        <v>2100000</v>
      </c>
      <c r="K476" s="7" t="str">
        <f>IFERROR(IF(B476&lt;&gt;"", TEXT(VLOOKUP(B476, 'Expected Date'!A:B, 2, FALSE) + DATE(RIGHT(C476,2),MID(C476,4,2),LEFT(C476,2)), "dd/mm/yy"), ""), "")</f>
        <v>25/07/23</v>
      </c>
      <c r="L476" t="s">
        <v>68</v>
      </c>
      <c r="M476" t="s">
        <v>48</v>
      </c>
      <c r="N476" t="s">
        <v>370</v>
      </c>
      <c r="O476" t="s">
        <v>127</v>
      </c>
      <c r="P476">
        <v>23291031</v>
      </c>
      <c r="Q476" t="s">
        <v>392</v>
      </c>
      <c r="R476" t="s">
        <v>393</v>
      </c>
      <c r="S476">
        <v>28.91</v>
      </c>
      <c r="T476">
        <v>10500</v>
      </c>
      <c r="U476">
        <v>303555</v>
      </c>
      <c r="V476" t="str">
        <f t="shared" si="124"/>
        <v>Dahej</v>
      </c>
      <c r="W476" t="str">
        <f>VLOOKUP(B476, Currency!A:B, 2, FALSE)</f>
        <v>INR</v>
      </c>
      <c r="X476" t="str">
        <f t="shared" ref="X476:X539" si="142">X475</f>
        <v>Accepted</v>
      </c>
      <c r="Y476">
        <f>IFERROR(VLOOKUP(N476, Payment_Terms!A:B, 2, FALSE), "Payment term not found!")</f>
        <v>15</v>
      </c>
      <c r="Z476" t="str">
        <f>IFERROR(VLOOKUP(R476, Item_Category!A:B, 2, FALSE), "Uncategorized")</f>
        <v>Coal materials</v>
      </c>
      <c r="AA476" s="5">
        <f t="shared" si="129"/>
        <v>4.2950000000000016E-2</v>
      </c>
      <c r="AB476">
        <f t="shared" si="130"/>
        <v>3</v>
      </c>
      <c r="AC476" s="10">
        <f t="shared" si="131"/>
        <v>8</v>
      </c>
      <c r="AD476">
        <f t="shared" si="132"/>
        <v>2</v>
      </c>
      <c r="AE476" s="10">
        <f t="shared" si="133"/>
        <v>13</v>
      </c>
      <c r="AF476" s="5">
        <f t="shared" si="126"/>
        <v>1</v>
      </c>
      <c r="AG476" s="5">
        <f t="shared" si="127"/>
        <v>1</v>
      </c>
      <c r="AH476" s="5">
        <f t="shared" si="134"/>
        <v>0</v>
      </c>
      <c r="AI476">
        <f>IF(B476&lt;&gt;"", COUNTIFS($B$2:B476, B476), "")</f>
        <v>18</v>
      </c>
      <c r="AJ476">
        <f t="shared" si="135"/>
        <v>5</v>
      </c>
      <c r="AK476">
        <f t="shared" si="128"/>
        <v>4</v>
      </c>
      <c r="AL476">
        <f t="shared" si="136"/>
        <v>7</v>
      </c>
      <c r="AM476" t="str">
        <f t="shared" si="137"/>
        <v>July</v>
      </c>
      <c r="AN476">
        <f t="shared" si="138"/>
        <v>2023</v>
      </c>
      <c r="AO476" t="str">
        <f t="shared" si="139"/>
        <v>&gt;3</v>
      </c>
      <c r="AP476" t="str">
        <f t="shared" si="140"/>
        <v>&lt;=3</v>
      </c>
      <c r="AQ476" t="str">
        <f t="shared" si="141"/>
        <v>&lt;=3</v>
      </c>
    </row>
    <row r="477" spans="1:43" x14ac:dyDescent="0.3">
      <c r="A477" t="s">
        <v>33</v>
      </c>
      <c r="B477" t="s">
        <v>395</v>
      </c>
      <c r="C477" t="s">
        <v>427</v>
      </c>
      <c r="D477">
        <v>1224</v>
      </c>
      <c r="E477">
        <v>23210017</v>
      </c>
      <c r="F477" t="s">
        <v>368</v>
      </c>
      <c r="G477" t="s">
        <v>369</v>
      </c>
      <c r="H477">
        <v>150000</v>
      </c>
      <c r="I477">
        <v>8.125</v>
      </c>
      <c r="J477">
        <v>1218750</v>
      </c>
      <c r="K477" s="7" t="str">
        <f>IFERROR(IF(B477&lt;&gt;"", TEXT(VLOOKUP(B477, 'Expected Date'!A:B, 2, FALSE) + DATE(RIGHT(C477,2),MID(C477,4,2),LEFT(C477,2)), "dd/mm/yy"), ""), "")</f>
        <v>06/04/23</v>
      </c>
      <c r="L477" t="s">
        <v>68</v>
      </c>
      <c r="M477" t="s">
        <v>48</v>
      </c>
      <c r="N477" t="s">
        <v>342</v>
      </c>
      <c r="O477" t="s">
        <v>428</v>
      </c>
      <c r="P477">
        <v>23290084</v>
      </c>
      <c r="Q477" t="s">
        <v>368</v>
      </c>
      <c r="R477" t="s">
        <v>369</v>
      </c>
      <c r="S477">
        <v>37830</v>
      </c>
      <c r="T477">
        <v>8.125</v>
      </c>
      <c r="U477">
        <v>307368.75</v>
      </c>
      <c r="V477" t="str">
        <f t="shared" si="124"/>
        <v>Dahej</v>
      </c>
      <c r="W477" t="str">
        <f>VLOOKUP(B477, Currency!A:B, 2, FALSE)</f>
        <v>INR</v>
      </c>
      <c r="X477" t="str">
        <f t="shared" si="142"/>
        <v>Accepted</v>
      </c>
      <c r="Y477">
        <f>IFERROR(VLOOKUP(N477, Payment_Terms!A:B, 2, FALSE), "Payment term not found!")</f>
        <v>30</v>
      </c>
      <c r="Z477" t="str">
        <f>IFERROR(VLOOKUP(R477, Item_Category!A:B, 2, FALSE), "Uncategorized")</f>
        <v>Coal materials</v>
      </c>
      <c r="AA477" s="5">
        <f t="shared" si="129"/>
        <v>0.49559999999999998</v>
      </c>
      <c r="AB477">
        <f t="shared" si="130"/>
        <v>1</v>
      </c>
      <c r="AC477" s="10">
        <f t="shared" si="131"/>
        <v>-3</v>
      </c>
      <c r="AD477">
        <f t="shared" si="132"/>
        <v>5</v>
      </c>
      <c r="AE477" s="10">
        <f t="shared" si="133"/>
        <v>2</v>
      </c>
      <c r="AF477" s="5">
        <f t="shared" si="126"/>
        <v>1</v>
      </c>
      <c r="AG477" s="5">
        <f t="shared" si="127"/>
        <v>1</v>
      </c>
      <c r="AH477" s="5">
        <f t="shared" si="134"/>
        <v>0</v>
      </c>
      <c r="AI477">
        <f>IF(B477&lt;&gt;"", COUNTIFS($B$2:B477, B477), "")</f>
        <v>19</v>
      </c>
      <c r="AJ477">
        <f t="shared" si="135"/>
        <v>5</v>
      </c>
      <c r="AK477">
        <f t="shared" si="128"/>
        <v>4</v>
      </c>
      <c r="AL477">
        <f t="shared" si="136"/>
        <v>4</v>
      </c>
      <c r="AM477" t="str">
        <f t="shared" si="137"/>
        <v>April</v>
      </c>
      <c r="AN477">
        <f t="shared" si="138"/>
        <v>2023</v>
      </c>
      <c r="AO477" t="str">
        <f t="shared" si="139"/>
        <v>&gt;3</v>
      </c>
      <c r="AP477" t="str">
        <f t="shared" si="140"/>
        <v>&lt;=3</v>
      </c>
      <c r="AQ477" t="str">
        <f t="shared" si="141"/>
        <v>&gt;3</v>
      </c>
    </row>
    <row r="478" spans="1:43" x14ac:dyDescent="0.3">
      <c r="A478" t="s">
        <v>33</v>
      </c>
      <c r="B478" t="s">
        <v>371</v>
      </c>
      <c r="C478" t="s">
        <v>416</v>
      </c>
      <c r="D478">
        <v>2120</v>
      </c>
      <c r="E478">
        <v>23210182</v>
      </c>
      <c r="F478" t="s">
        <v>372</v>
      </c>
      <c r="G478" t="s">
        <v>373</v>
      </c>
      <c r="H478">
        <v>50</v>
      </c>
      <c r="I478">
        <v>150</v>
      </c>
      <c r="J478">
        <v>7500</v>
      </c>
      <c r="K478" s="7" t="str">
        <f>IFERROR(IF(B478&lt;&gt;"", TEXT(VLOOKUP(B478, 'Expected Date'!A:B, 2, FALSE) + DATE(RIGHT(C478,2),MID(C478,4,2),LEFT(C478,2)), "dd/mm/yy"), ""), "")</f>
        <v>25/05/23</v>
      </c>
      <c r="L478" t="s">
        <v>68</v>
      </c>
      <c r="M478" t="s">
        <v>48</v>
      </c>
      <c r="N478" t="s">
        <v>342</v>
      </c>
      <c r="O478" t="s">
        <v>416</v>
      </c>
      <c r="P478">
        <v>23290366</v>
      </c>
      <c r="Q478" t="s">
        <v>372</v>
      </c>
      <c r="R478" t="s">
        <v>373</v>
      </c>
      <c r="S478">
        <v>10</v>
      </c>
      <c r="T478">
        <v>150</v>
      </c>
      <c r="U478">
        <v>1500</v>
      </c>
      <c r="V478" t="str">
        <f t="shared" ref="V478:V541" si="143">V477</f>
        <v>Dahej</v>
      </c>
      <c r="W478" t="str">
        <f>VLOOKUP(B478, Currency!A:B, 2, FALSE)</f>
        <v>INR</v>
      </c>
      <c r="X478" t="str">
        <f t="shared" si="142"/>
        <v>Accepted</v>
      </c>
      <c r="Y478">
        <f>IFERROR(VLOOKUP(N478, Payment_Terms!A:B, 2, FALSE), "Payment term not found!")</f>
        <v>30</v>
      </c>
      <c r="Z478" t="str">
        <f>IFERROR(VLOOKUP(R478, Item_Category!A:B, 2, FALSE), "Uncategorized")</f>
        <v>HCL</v>
      </c>
      <c r="AA478" s="5">
        <f t="shared" si="129"/>
        <v>6.3999999999998633E-3</v>
      </c>
      <c r="AB478">
        <f t="shared" si="130"/>
        <v>4</v>
      </c>
      <c r="AC478" s="10">
        <f t="shared" si="131"/>
        <v>-5</v>
      </c>
      <c r="AD478">
        <f t="shared" si="132"/>
        <v>5</v>
      </c>
      <c r="AE478" s="10">
        <f t="shared" si="133"/>
        <v>0</v>
      </c>
      <c r="AF478" s="5">
        <f t="shared" si="126"/>
        <v>1</v>
      </c>
      <c r="AG478" s="5">
        <f t="shared" si="127"/>
        <v>1</v>
      </c>
      <c r="AH478" s="5">
        <f t="shared" si="134"/>
        <v>0</v>
      </c>
      <c r="AI478">
        <f>IF(B478&lt;&gt;"", COUNTIFS($B$2:B478, B478), "")</f>
        <v>9</v>
      </c>
      <c r="AJ478">
        <f t="shared" si="135"/>
        <v>5</v>
      </c>
      <c r="AK478">
        <f t="shared" si="128"/>
        <v>5</v>
      </c>
      <c r="AL478">
        <f t="shared" si="136"/>
        <v>5</v>
      </c>
      <c r="AM478" t="str">
        <f t="shared" si="137"/>
        <v>May</v>
      </c>
      <c r="AN478">
        <f t="shared" si="138"/>
        <v>2023</v>
      </c>
      <c r="AO478" t="str">
        <f t="shared" si="139"/>
        <v>&gt;3</v>
      </c>
      <c r="AP478" t="str">
        <f t="shared" si="140"/>
        <v>&gt;3</v>
      </c>
      <c r="AQ478" t="str">
        <f t="shared" si="141"/>
        <v>&gt;3</v>
      </c>
    </row>
    <row r="479" spans="1:43" x14ac:dyDescent="0.3">
      <c r="A479" t="s">
        <v>33</v>
      </c>
      <c r="B479" t="s">
        <v>371</v>
      </c>
      <c r="C479" t="s">
        <v>416</v>
      </c>
      <c r="D479">
        <v>2120</v>
      </c>
      <c r="E479">
        <v>23210182</v>
      </c>
      <c r="F479" t="s">
        <v>372</v>
      </c>
      <c r="G479" t="s">
        <v>373</v>
      </c>
      <c r="H479">
        <v>50</v>
      </c>
      <c r="I479">
        <v>150</v>
      </c>
      <c r="J479">
        <v>7500</v>
      </c>
      <c r="K479" s="7" t="str">
        <f>IFERROR(IF(B479&lt;&gt;"", TEXT(VLOOKUP(B479, 'Expected Date'!A:B, 2, FALSE) + DATE(RIGHT(C479,2),MID(C479,4,2),LEFT(C479,2)), "dd/mm/yy"), ""), "")</f>
        <v>25/05/23</v>
      </c>
      <c r="L479" t="s">
        <v>68</v>
      </c>
      <c r="M479" t="s">
        <v>48</v>
      </c>
      <c r="N479" t="s">
        <v>342</v>
      </c>
      <c r="O479" t="s">
        <v>324</v>
      </c>
      <c r="P479">
        <v>23290544</v>
      </c>
      <c r="Q479" t="s">
        <v>372</v>
      </c>
      <c r="R479" t="s">
        <v>373</v>
      </c>
      <c r="S479">
        <v>9.76</v>
      </c>
      <c r="T479">
        <v>150</v>
      </c>
      <c r="U479">
        <v>1464</v>
      </c>
      <c r="V479" t="str">
        <f t="shared" si="143"/>
        <v>Dahej</v>
      </c>
      <c r="W479" t="str">
        <f>VLOOKUP(B479, Currency!A:B, 2, FALSE)</f>
        <v>INR</v>
      </c>
      <c r="X479" t="str">
        <f t="shared" si="142"/>
        <v>Accepted</v>
      </c>
      <c r="Y479">
        <f>IFERROR(VLOOKUP(N479, Payment_Terms!A:B, 2, FALSE), "Payment term not found!")</f>
        <v>30</v>
      </c>
      <c r="Z479" t="str">
        <f>IFERROR(VLOOKUP(R479, Item_Category!A:B, 2, FALSE), "Uncategorized")</f>
        <v>HCL</v>
      </c>
      <c r="AA479" s="5">
        <f t="shared" si="129"/>
        <v>6.3999999999998633E-3</v>
      </c>
      <c r="AB479">
        <f t="shared" si="130"/>
        <v>4</v>
      </c>
      <c r="AC479" s="10">
        <f t="shared" si="131"/>
        <v>26</v>
      </c>
      <c r="AD479">
        <f t="shared" si="132"/>
        <v>1</v>
      </c>
      <c r="AE479" s="10">
        <f t="shared" si="133"/>
        <v>31</v>
      </c>
      <c r="AF479" s="5">
        <f t="shared" si="126"/>
        <v>1</v>
      </c>
      <c r="AG479" s="5">
        <f t="shared" si="127"/>
        <v>1</v>
      </c>
      <c r="AH479" s="5">
        <f t="shared" si="134"/>
        <v>0</v>
      </c>
      <c r="AI479">
        <f>IF(B479&lt;&gt;"", COUNTIFS($B$2:B479, B479), "")</f>
        <v>10</v>
      </c>
      <c r="AJ479">
        <f t="shared" si="135"/>
        <v>5</v>
      </c>
      <c r="AK479">
        <f t="shared" si="128"/>
        <v>4</v>
      </c>
      <c r="AL479">
        <f t="shared" si="136"/>
        <v>5</v>
      </c>
      <c r="AM479" t="str">
        <f t="shared" si="137"/>
        <v>May</v>
      </c>
      <c r="AN479">
        <f t="shared" si="138"/>
        <v>2023</v>
      </c>
      <c r="AO479" t="str">
        <f t="shared" si="139"/>
        <v>&gt;3</v>
      </c>
      <c r="AP479" t="str">
        <f t="shared" si="140"/>
        <v>&gt;3</v>
      </c>
      <c r="AQ479" t="str">
        <f t="shared" si="141"/>
        <v>&lt;=3</v>
      </c>
    </row>
    <row r="480" spans="1:43" x14ac:dyDescent="0.3">
      <c r="A480" t="s">
        <v>33</v>
      </c>
      <c r="B480" t="str">
        <f>B284</f>
        <v>Ami Enterprises</v>
      </c>
      <c r="C480" t="s">
        <v>408</v>
      </c>
      <c r="D480">
        <v>3625</v>
      </c>
      <c r="E480">
        <v>23210521</v>
      </c>
      <c r="F480" t="s">
        <v>471</v>
      </c>
      <c r="G480" t="s">
        <v>472</v>
      </c>
      <c r="H480">
        <v>1100</v>
      </c>
      <c r="I480">
        <v>33.5</v>
      </c>
      <c r="J480">
        <v>36850</v>
      </c>
      <c r="K480" s="7" t="str">
        <f>IFERROR(IF(B480&lt;&gt;"", TEXT(VLOOKUP(B480, 'Expected Date'!A:B, 2, FALSE) + DATE(RIGHT(C480,2),MID(C480,4,2),LEFT(C480,2)), "dd/mm/yy"), ""), "")</f>
        <v>18/08/23</v>
      </c>
      <c r="L480" t="s">
        <v>68</v>
      </c>
      <c r="M480" t="s">
        <v>39</v>
      </c>
      <c r="N480" t="s">
        <v>342</v>
      </c>
      <c r="O480" t="s">
        <v>121</v>
      </c>
      <c r="P480">
        <v>23291091</v>
      </c>
      <c r="Q480" t="s">
        <v>471</v>
      </c>
      <c r="R480" t="s">
        <v>472</v>
      </c>
      <c r="S480">
        <v>1001</v>
      </c>
      <c r="T480">
        <v>33.5</v>
      </c>
      <c r="U480">
        <v>33533.5</v>
      </c>
      <c r="V480" t="str">
        <f t="shared" si="143"/>
        <v>Dahej</v>
      </c>
      <c r="W480" t="str">
        <f>VLOOKUP(B480, Currency!A:B, 2, FALSE)</f>
        <v>INR</v>
      </c>
      <c r="X480" t="str">
        <f t="shared" si="142"/>
        <v>Accepted</v>
      </c>
      <c r="Y480">
        <f>IFERROR(VLOOKUP(N480, Payment_Terms!A:B, 2, FALSE), "Payment term not found!")</f>
        <v>30</v>
      </c>
      <c r="Z480" t="str">
        <f>IFERROR(VLOOKUP(R480, Item_Category!A:B, 2, FALSE), "Uncategorized")</f>
        <v>Bags</v>
      </c>
      <c r="AA480" s="5">
        <f t="shared" si="129"/>
        <v>0.09</v>
      </c>
      <c r="AB480">
        <f t="shared" si="130"/>
        <v>2</v>
      </c>
      <c r="AC480" s="10">
        <f t="shared" si="131"/>
        <v>-8</v>
      </c>
      <c r="AD480">
        <f t="shared" si="132"/>
        <v>5</v>
      </c>
      <c r="AE480" s="10">
        <f t="shared" si="133"/>
        <v>2</v>
      </c>
      <c r="AF480" s="5">
        <f t="shared" si="126"/>
        <v>1</v>
      </c>
      <c r="AG480" s="5">
        <f t="shared" si="127"/>
        <v>1</v>
      </c>
      <c r="AH480" s="5">
        <f t="shared" si="134"/>
        <v>0</v>
      </c>
      <c r="AI480">
        <f>IF(B480&lt;&gt;"", COUNTIFS($B$2:B480, B480), "")</f>
        <v>35</v>
      </c>
      <c r="AJ480">
        <f t="shared" si="135"/>
        <v>5</v>
      </c>
      <c r="AK480">
        <f t="shared" si="128"/>
        <v>5</v>
      </c>
      <c r="AL480">
        <f t="shared" si="136"/>
        <v>8</v>
      </c>
      <c r="AM480" t="str">
        <f t="shared" si="137"/>
        <v>August</v>
      </c>
      <c r="AN480">
        <f t="shared" si="138"/>
        <v>2023</v>
      </c>
      <c r="AO480" t="str">
        <f t="shared" si="139"/>
        <v>&gt;3</v>
      </c>
      <c r="AP480" t="str">
        <f t="shared" si="140"/>
        <v>&lt;=3</v>
      </c>
      <c r="AQ480" t="str">
        <f t="shared" si="141"/>
        <v>&gt;3</v>
      </c>
    </row>
    <row r="481" spans="1:43" x14ac:dyDescent="0.3">
      <c r="A481" t="s">
        <v>33</v>
      </c>
      <c r="B481" t="s">
        <v>429</v>
      </c>
      <c r="C481" t="s">
        <v>198</v>
      </c>
      <c r="D481">
        <v>3458</v>
      </c>
      <c r="E481">
        <v>23210474</v>
      </c>
      <c r="F481" t="s">
        <v>430</v>
      </c>
      <c r="G481" t="s">
        <v>431</v>
      </c>
      <c r="H481">
        <v>10000</v>
      </c>
      <c r="I481">
        <v>8.1999999999999993</v>
      </c>
      <c r="J481">
        <v>82000</v>
      </c>
      <c r="K481" s="7" t="str">
        <f>IFERROR(IF(B481&lt;&gt;"", TEXT(VLOOKUP(B481, 'Expected Date'!A:B, 2, FALSE) + DATE(RIGHT(C481,2),MID(C481,4,2),LEFT(C481,2)), "dd/mm/yy"), ""), "")</f>
        <v>05/08/23</v>
      </c>
      <c r="L481" t="s">
        <v>38</v>
      </c>
      <c r="M481" t="s">
        <v>48</v>
      </c>
      <c r="N481" t="s">
        <v>299</v>
      </c>
      <c r="O481" t="s">
        <v>286</v>
      </c>
      <c r="P481">
        <v>23291305</v>
      </c>
      <c r="Q481" t="s">
        <v>430</v>
      </c>
      <c r="R481" t="s">
        <v>431</v>
      </c>
      <c r="S481">
        <v>2685</v>
      </c>
      <c r="T481">
        <v>8.1999999999999993</v>
      </c>
      <c r="U481">
        <v>22017</v>
      </c>
      <c r="V481" t="str">
        <f t="shared" si="143"/>
        <v>Dahej</v>
      </c>
      <c r="W481" t="str">
        <f>VLOOKUP(B481, Currency!A:B, 2, FALSE)</f>
        <v>INR</v>
      </c>
      <c r="X481" t="str">
        <f t="shared" si="142"/>
        <v>Accepted</v>
      </c>
      <c r="Y481">
        <f>IFERROR(VLOOKUP(N481, Payment_Terms!A:B, 2, FALSE), "Payment term not found!")</f>
        <v>60</v>
      </c>
      <c r="Z481" t="str">
        <f>IFERROR(VLOOKUP(R481, Item_Category!A:B, 2, FALSE), "Uncategorized")</f>
        <v>Lime</v>
      </c>
      <c r="AA481" s="5">
        <f t="shared" si="129"/>
        <v>0</v>
      </c>
      <c r="AB481">
        <f t="shared" si="130"/>
        <v>5</v>
      </c>
      <c r="AC481" s="10">
        <f t="shared" si="131"/>
        <v>26</v>
      </c>
      <c r="AD481">
        <f t="shared" si="132"/>
        <v>1</v>
      </c>
      <c r="AE481" s="10">
        <f t="shared" si="133"/>
        <v>31</v>
      </c>
      <c r="AF481" s="5">
        <f t="shared" si="126"/>
        <v>1</v>
      </c>
      <c r="AG481" s="5">
        <f t="shared" si="127"/>
        <v>1</v>
      </c>
      <c r="AH481" s="5">
        <f t="shared" si="134"/>
        <v>0</v>
      </c>
      <c r="AI481">
        <f>IF(B481&lt;&gt;"", COUNTIFS($B$2:B481, B481), "")</f>
        <v>5</v>
      </c>
      <c r="AJ481">
        <f t="shared" si="135"/>
        <v>5</v>
      </c>
      <c r="AK481">
        <f t="shared" si="128"/>
        <v>4</v>
      </c>
      <c r="AL481">
        <f t="shared" si="136"/>
        <v>7</v>
      </c>
      <c r="AM481" t="str">
        <f t="shared" si="137"/>
        <v>July</v>
      </c>
      <c r="AN481">
        <f t="shared" si="138"/>
        <v>2023</v>
      </c>
      <c r="AO481" t="str">
        <f t="shared" si="139"/>
        <v>&gt;3</v>
      </c>
      <c r="AP481" t="str">
        <f t="shared" si="140"/>
        <v>&gt;3</v>
      </c>
      <c r="AQ481" t="str">
        <f t="shared" si="141"/>
        <v>&lt;=3</v>
      </c>
    </row>
    <row r="482" spans="1:43" x14ac:dyDescent="0.3">
      <c r="A482" t="s">
        <v>33</v>
      </c>
      <c r="B482" t="s">
        <v>386</v>
      </c>
      <c r="C482" t="s">
        <v>154</v>
      </c>
      <c r="D482">
        <v>4576</v>
      </c>
      <c r="E482">
        <v>23210691</v>
      </c>
      <c r="F482" t="s">
        <v>510</v>
      </c>
      <c r="G482" t="s">
        <v>511</v>
      </c>
      <c r="H482">
        <v>40</v>
      </c>
      <c r="I482">
        <v>450</v>
      </c>
      <c r="J482">
        <v>18000</v>
      </c>
      <c r="K482" s="7" t="str">
        <f>IFERROR(IF(B482&lt;&gt;"", TEXT(VLOOKUP(B482, 'Expected Date'!A:B, 2, FALSE) + DATE(RIGHT(C482,2),MID(C482,4,2),LEFT(C482,2)), "dd/mm/yy"), ""), "")</f>
        <v>25/09/23</v>
      </c>
      <c r="L482" t="s">
        <v>38</v>
      </c>
      <c r="M482" t="s">
        <v>48</v>
      </c>
      <c r="N482" t="s">
        <v>342</v>
      </c>
      <c r="O482" t="s">
        <v>512</v>
      </c>
      <c r="P482">
        <v>23291516</v>
      </c>
      <c r="Q482" t="s">
        <v>510</v>
      </c>
      <c r="R482" t="s">
        <v>511</v>
      </c>
      <c r="S482">
        <v>40</v>
      </c>
      <c r="T482">
        <v>450</v>
      </c>
      <c r="U482">
        <v>18000</v>
      </c>
      <c r="V482" t="str">
        <f t="shared" si="143"/>
        <v>Dahej</v>
      </c>
      <c r="W482" t="str">
        <f>VLOOKUP(B482, Currency!A:B, 2, FALSE)</f>
        <v>INR</v>
      </c>
      <c r="X482" t="str">
        <f t="shared" si="142"/>
        <v>Accepted</v>
      </c>
      <c r="Y482">
        <f>IFERROR(VLOOKUP(N482, Payment_Terms!A:B, 2, FALSE), "Payment term not found!")</f>
        <v>30</v>
      </c>
      <c r="Z482" t="str">
        <f>IFERROR(VLOOKUP(R482, Item_Category!A:B, 2, FALSE), "Uncategorized")</f>
        <v>Ply sheets</v>
      </c>
      <c r="AA482" s="5">
        <f t="shared" si="129"/>
        <v>0</v>
      </c>
      <c r="AB482">
        <f t="shared" si="130"/>
        <v>5</v>
      </c>
      <c r="AC482" s="10">
        <f t="shared" si="131"/>
        <v>-1</v>
      </c>
      <c r="AD482">
        <f t="shared" si="132"/>
        <v>5</v>
      </c>
      <c r="AE482" s="10">
        <f t="shared" si="133"/>
        <v>4</v>
      </c>
      <c r="AF482" s="5">
        <f t="shared" si="126"/>
        <v>1</v>
      </c>
      <c r="AG482" s="5">
        <f t="shared" si="127"/>
        <v>1</v>
      </c>
      <c r="AH482" s="5">
        <f t="shared" si="134"/>
        <v>0</v>
      </c>
      <c r="AI482">
        <f>IF(B482&lt;&gt;"", COUNTIFS($B$2:B482, B482), "")</f>
        <v>14</v>
      </c>
      <c r="AJ482">
        <f t="shared" si="135"/>
        <v>5</v>
      </c>
      <c r="AK482">
        <f t="shared" si="128"/>
        <v>5</v>
      </c>
      <c r="AL482">
        <f t="shared" si="136"/>
        <v>9</v>
      </c>
      <c r="AM482" t="str">
        <f t="shared" si="137"/>
        <v>September</v>
      </c>
      <c r="AN482">
        <f t="shared" si="138"/>
        <v>2023</v>
      </c>
      <c r="AO482" t="str">
        <f t="shared" si="139"/>
        <v>&gt;3</v>
      </c>
      <c r="AP482" t="str">
        <f t="shared" si="140"/>
        <v>&gt;3</v>
      </c>
      <c r="AQ482" t="str">
        <f t="shared" si="141"/>
        <v>&gt;3</v>
      </c>
    </row>
    <row r="483" spans="1:43" x14ac:dyDescent="0.3">
      <c r="A483" t="s">
        <v>33</v>
      </c>
      <c r="B483" t="s">
        <v>366</v>
      </c>
      <c r="C483" t="s">
        <v>65</v>
      </c>
      <c r="D483">
        <v>1459</v>
      </c>
      <c r="E483">
        <v>23210065</v>
      </c>
      <c r="F483" t="s">
        <v>392</v>
      </c>
      <c r="G483" t="s">
        <v>393</v>
      </c>
      <c r="H483">
        <v>60</v>
      </c>
      <c r="I483">
        <v>11000</v>
      </c>
      <c r="J483">
        <v>660000</v>
      </c>
      <c r="K483" s="7" t="str">
        <f>IFERROR(IF(B483&lt;&gt;"", TEXT(VLOOKUP(B483, 'Expected Date'!A:B, 2, FALSE) + DATE(RIGHT(C483,2),MID(C483,4,2),LEFT(C483,2)), "dd/mm/yy"), ""), "")</f>
        <v>21/04/23</v>
      </c>
      <c r="L483" t="s">
        <v>38</v>
      </c>
      <c r="M483" t="s">
        <v>48</v>
      </c>
      <c r="N483" t="s">
        <v>370</v>
      </c>
      <c r="O483" t="s">
        <v>439</v>
      </c>
      <c r="P483">
        <v>23290101</v>
      </c>
      <c r="Q483" t="s">
        <v>392</v>
      </c>
      <c r="R483" t="s">
        <v>393</v>
      </c>
      <c r="S483">
        <v>30.14</v>
      </c>
      <c r="T483">
        <v>11000</v>
      </c>
      <c r="U483">
        <v>331540</v>
      </c>
      <c r="V483" t="str">
        <f t="shared" si="143"/>
        <v>Dahej</v>
      </c>
      <c r="W483" t="str">
        <f>VLOOKUP(B483, Currency!A:B, 2, FALSE)</f>
        <v>INR</v>
      </c>
      <c r="X483" t="str">
        <f t="shared" si="142"/>
        <v>Accepted</v>
      </c>
      <c r="Y483">
        <f>IFERROR(VLOOKUP(N483, Payment_Terms!A:B, 2, FALSE), "Payment term not found!")</f>
        <v>15</v>
      </c>
      <c r="Z483" t="str">
        <f>IFERROR(VLOOKUP(R483, Item_Category!A:B, 2, FALSE), "Uncategorized")</f>
        <v>Coal materials</v>
      </c>
      <c r="AA483" s="5">
        <f t="shared" si="129"/>
        <v>0</v>
      </c>
      <c r="AB483">
        <f t="shared" si="130"/>
        <v>5</v>
      </c>
      <c r="AC483" s="10">
        <f t="shared" si="131"/>
        <v>-1</v>
      </c>
      <c r="AD483">
        <f t="shared" si="132"/>
        <v>5</v>
      </c>
      <c r="AE483" s="10">
        <f t="shared" si="133"/>
        <v>1</v>
      </c>
      <c r="AF483" s="5">
        <f t="shared" si="126"/>
        <v>1</v>
      </c>
      <c r="AG483" s="5">
        <f t="shared" si="127"/>
        <v>1</v>
      </c>
      <c r="AH483" s="5">
        <f t="shared" si="134"/>
        <v>0</v>
      </c>
      <c r="AI483">
        <f>IF(B483&lt;&gt;"", COUNTIFS($B$2:B483, B483), "")</f>
        <v>36</v>
      </c>
      <c r="AJ483">
        <f t="shared" si="135"/>
        <v>5</v>
      </c>
      <c r="AK483">
        <f t="shared" si="128"/>
        <v>5</v>
      </c>
      <c r="AL483">
        <f t="shared" si="136"/>
        <v>4</v>
      </c>
      <c r="AM483" t="str">
        <f t="shared" si="137"/>
        <v>April</v>
      </c>
      <c r="AN483">
        <f t="shared" si="138"/>
        <v>2023</v>
      </c>
      <c r="AO483" t="str">
        <f t="shared" si="139"/>
        <v>&gt;3</v>
      </c>
      <c r="AP483" t="str">
        <f t="shared" si="140"/>
        <v>&gt;3</v>
      </c>
      <c r="AQ483" t="str">
        <f t="shared" si="141"/>
        <v>&gt;3</v>
      </c>
    </row>
    <row r="484" spans="1:43" x14ac:dyDescent="0.3">
      <c r="A484" t="s">
        <v>33</v>
      </c>
      <c r="B484" t="s">
        <v>366</v>
      </c>
      <c r="C484" t="s">
        <v>65</v>
      </c>
      <c r="D484">
        <v>1459</v>
      </c>
      <c r="E484">
        <v>23210065</v>
      </c>
      <c r="F484" t="s">
        <v>392</v>
      </c>
      <c r="G484" t="s">
        <v>393</v>
      </c>
      <c r="H484">
        <v>60</v>
      </c>
      <c r="I484">
        <v>11000</v>
      </c>
      <c r="J484">
        <v>660000</v>
      </c>
      <c r="K484" s="7" t="str">
        <f>IFERROR(IF(B484&lt;&gt;"", TEXT(VLOOKUP(B484, 'Expected Date'!A:B, 2, FALSE) + DATE(RIGHT(C484,2),MID(C484,4,2),LEFT(C484,2)), "dd/mm/yy"), ""), "")</f>
        <v>21/04/23</v>
      </c>
      <c r="L484" t="s">
        <v>38</v>
      </c>
      <c r="M484" t="s">
        <v>48</v>
      </c>
      <c r="N484" t="s">
        <v>370</v>
      </c>
      <c r="O484" t="s">
        <v>419</v>
      </c>
      <c r="P484">
        <v>23290102</v>
      </c>
      <c r="Q484" t="s">
        <v>392</v>
      </c>
      <c r="R484" t="s">
        <v>393</v>
      </c>
      <c r="S484">
        <v>26.175000000000001</v>
      </c>
      <c r="T484">
        <v>11000</v>
      </c>
      <c r="U484">
        <v>287925</v>
      </c>
      <c r="V484" t="str">
        <f t="shared" si="143"/>
        <v>Dahej</v>
      </c>
      <c r="W484" t="str">
        <f>VLOOKUP(B484, Currency!A:B, 2, FALSE)</f>
        <v>INR</v>
      </c>
      <c r="X484" t="str">
        <f t="shared" si="142"/>
        <v>Accepted</v>
      </c>
      <c r="Y484">
        <f>IFERROR(VLOOKUP(N484, Payment_Terms!A:B, 2, FALSE), "Payment term not found!")</f>
        <v>15</v>
      </c>
      <c r="Z484" t="str">
        <f>IFERROR(VLOOKUP(R484, Item_Category!A:B, 2, FALSE), "Uncategorized")</f>
        <v>Coal materials</v>
      </c>
      <c r="AA484" s="5">
        <f t="shared" si="129"/>
        <v>0</v>
      </c>
      <c r="AB484">
        <f t="shared" si="130"/>
        <v>5</v>
      </c>
      <c r="AC484" s="10">
        <f t="shared" si="131"/>
        <v>1</v>
      </c>
      <c r="AD484">
        <f t="shared" si="132"/>
        <v>5</v>
      </c>
      <c r="AE484" s="10">
        <f t="shared" si="133"/>
        <v>3</v>
      </c>
      <c r="AF484" s="5">
        <f t="shared" si="126"/>
        <v>1</v>
      </c>
      <c r="AG484" s="5">
        <f t="shared" si="127"/>
        <v>1</v>
      </c>
      <c r="AH484" s="5">
        <f t="shared" si="134"/>
        <v>0</v>
      </c>
      <c r="AI484">
        <f>IF(B484&lt;&gt;"", COUNTIFS($B$2:B484, B484), "")</f>
        <v>37</v>
      </c>
      <c r="AJ484">
        <f t="shared" si="135"/>
        <v>5</v>
      </c>
      <c r="AK484">
        <f t="shared" si="128"/>
        <v>5</v>
      </c>
      <c r="AL484">
        <f t="shared" si="136"/>
        <v>4</v>
      </c>
      <c r="AM484" t="str">
        <f t="shared" si="137"/>
        <v>April</v>
      </c>
      <c r="AN484">
        <f t="shared" si="138"/>
        <v>2023</v>
      </c>
      <c r="AO484" t="str">
        <f t="shared" si="139"/>
        <v>&gt;3</v>
      </c>
      <c r="AP484" t="str">
        <f t="shared" si="140"/>
        <v>&gt;3</v>
      </c>
      <c r="AQ484" t="str">
        <f t="shared" si="141"/>
        <v>&gt;3</v>
      </c>
    </row>
    <row r="485" spans="1:43" x14ac:dyDescent="0.3">
      <c r="A485" t="s">
        <v>33</v>
      </c>
      <c r="B485" t="s">
        <v>366</v>
      </c>
      <c r="C485" t="s">
        <v>65</v>
      </c>
      <c r="D485">
        <v>1459</v>
      </c>
      <c r="E485">
        <v>23210065</v>
      </c>
      <c r="F485" t="s">
        <v>392</v>
      </c>
      <c r="G485" t="s">
        <v>393</v>
      </c>
      <c r="H485">
        <v>60</v>
      </c>
      <c r="I485">
        <v>11000</v>
      </c>
      <c r="J485">
        <v>660000</v>
      </c>
      <c r="K485" s="7" t="str">
        <f>IFERROR(IF(B485&lt;&gt;"", TEXT(VLOOKUP(B485, 'Expected Date'!A:B, 2, FALSE) + DATE(RIGHT(C485,2),MID(C485,4,2),LEFT(C485,2)), "dd/mm/yy"), ""), "")</f>
        <v>21/04/23</v>
      </c>
      <c r="L485" t="s">
        <v>38</v>
      </c>
      <c r="M485" t="s">
        <v>48</v>
      </c>
      <c r="N485" t="s">
        <v>370</v>
      </c>
      <c r="O485" t="s">
        <v>210</v>
      </c>
      <c r="P485">
        <v>23290249</v>
      </c>
      <c r="Q485" t="s">
        <v>392</v>
      </c>
      <c r="R485" t="s">
        <v>393</v>
      </c>
      <c r="S485">
        <v>3.6850000000000001</v>
      </c>
      <c r="T485">
        <v>11000</v>
      </c>
      <c r="U485">
        <v>40535</v>
      </c>
      <c r="V485" t="str">
        <f t="shared" si="143"/>
        <v>Dahej</v>
      </c>
      <c r="W485" t="str">
        <f>VLOOKUP(B485, Currency!A:B, 2, FALSE)</f>
        <v>INR</v>
      </c>
      <c r="X485" t="str">
        <f t="shared" si="142"/>
        <v>Accepted</v>
      </c>
      <c r="Y485">
        <f>IFERROR(VLOOKUP(N485, Payment_Terms!A:B, 2, FALSE), "Payment term not found!")</f>
        <v>15</v>
      </c>
      <c r="Z485" t="str">
        <f>IFERROR(VLOOKUP(R485, Item_Category!A:B, 2, FALSE), "Uncategorized")</f>
        <v>Coal materials</v>
      </c>
      <c r="AA485" s="5">
        <f t="shared" si="129"/>
        <v>0</v>
      </c>
      <c r="AB485">
        <f t="shared" si="130"/>
        <v>5</v>
      </c>
      <c r="AC485" s="10">
        <f t="shared" si="131"/>
        <v>22</v>
      </c>
      <c r="AD485">
        <f t="shared" si="132"/>
        <v>1</v>
      </c>
      <c r="AE485" s="10">
        <f t="shared" si="133"/>
        <v>24</v>
      </c>
      <c r="AF485" s="5">
        <f t="shared" si="126"/>
        <v>1</v>
      </c>
      <c r="AG485" s="5">
        <f t="shared" si="127"/>
        <v>1</v>
      </c>
      <c r="AH485" s="5">
        <f t="shared" si="134"/>
        <v>0</v>
      </c>
      <c r="AI485">
        <f>IF(B485&lt;&gt;"", COUNTIFS($B$2:B485, B485), "")</f>
        <v>38</v>
      </c>
      <c r="AJ485">
        <f t="shared" si="135"/>
        <v>5</v>
      </c>
      <c r="AK485">
        <f t="shared" si="128"/>
        <v>4</v>
      </c>
      <c r="AL485">
        <f t="shared" si="136"/>
        <v>4</v>
      </c>
      <c r="AM485" t="str">
        <f t="shared" si="137"/>
        <v>April</v>
      </c>
      <c r="AN485">
        <f t="shared" si="138"/>
        <v>2023</v>
      </c>
      <c r="AO485" t="str">
        <f t="shared" si="139"/>
        <v>&gt;3</v>
      </c>
      <c r="AP485" t="str">
        <f t="shared" si="140"/>
        <v>&gt;3</v>
      </c>
      <c r="AQ485" t="str">
        <f t="shared" si="141"/>
        <v>&lt;=3</v>
      </c>
    </row>
    <row r="486" spans="1:43" x14ac:dyDescent="0.3">
      <c r="A486" t="s">
        <v>33</v>
      </c>
      <c r="B486" t="s">
        <v>513</v>
      </c>
      <c r="C486" t="s">
        <v>141</v>
      </c>
      <c r="D486">
        <v>1706</v>
      </c>
      <c r="E486">
        <v>23210132</v>
      </c>
      <c r="F486" t="s">
        <v>514</v>
      </c>
      <c r="G486" t="s">
        <v>515</v>
      </c>
      <c r="H486">
        <v>10000</v>
      </c>
      <c r="I486">
        <v>20</v>
      </c>
      <c r="J486">
        <v>200000</v>
      </c>
      <c r="K486" s="7" t="str">
        <f>IFERROR(IF(B486&lt;&gt;"", TEXT(VLOOKUP(B486, 'Expected Date'!A:B, 2, FALSE) + DATE(RIGHT(C486,2),MID(C486,4,2),LEFT(C486,2)), "dd/mm/yy"), ""), "")</f>
        <v>10/05/23</v>
      </c>
      <c r="L486" t="s">
        <v>38</v>
      </c>
      <c r="M486" t="s">
        <v>48</v>
      </c>
      <c r="N486" t="s">
        <v>342</v>
      </c>
      <c r="O486" t="s">
        <v>211</v>
      </c>
      <c r="P486">
        <v>23290253</v>
      </c>
      <c r="Q486" t="s">
        <v>514</v>
      </c>
      <c r="R486" t="s">
        <v>515</v>
      </c>
      <c r="S486">
        <v>10200</v>
      </c>
      <c r="T486">
        <v>20</v>
      </c>
      <c r="U486">
        <v>204000</v>
      </c>
      <c r="V486" t="str">
        <f t="shared" si="143"/>
        <v>Dahej</v>
      </c>
      <c r="W486" t="str">
        <f>VLOOKUP(B486, Currency!A:B, 2, FALSE)</f>
        <v>INR</v>
      </c>
      <c r="X486" t="str">
        <f t="shared" si="142"/>
        <v>Accepted</v>
      </c>
      <c r="Y486">
        <f>IFERROR(VLOOKUP(N486, Payment_Terms!A:B, 2, FALSE), "Payment term not found!")</f>
        <v>30</v>
      </c>
      <c r="Z486" t="str">
        <f>IFERROR(VLOOKUP(R486, Item_Category!A:B, 2, FALSE), "Uncategorized")</f>
        <v xml:space="preserve">Caustic Soda </v>
      </c>
      <c r="AA486" s="5">
        <f t="shared" si="129"/>
        <v>0</v>
      </c>
      <c r="AB486">
        <f t="shared" si="130"/>
        <v>5</v>
      </c>
      <c r="AC486" s="10">
        <f t="shared" si="131"/>
        <v>4</v>
      </c>
      <c r="AD486">
        <f t="shared" si="132"/>
        <v>4</v>
      </c>
      <c r="AE486" s="10">
        <f t="shared" si="133"/>
        <v>6</v>
      </c>
      <c r="AF486" s="5">
        <f t="shared" si="126"/>
        <v>1</v>
      </c>
      <c r="AG486" s="5">
        <f t="shared" si="127"/>
        <v>1</v>
      </c>
      <c r="AH486" s="5">
        <f t="shared" si="134"/>
        <v>0</v>
      </c>
      <c r="AI486">
        <f>IF(B486&lt;&gt;"", COUNTIFS($B$2:B486, B486), "")</f>
        <v>1</v>
      </c>
      <c r="AJ486">
        <f t="shared" si="135"/>
        <v>5</v>
      </c>
      <c r="AK486">
        <f t="shared" si="128"/>
        <v>5</v>
      </c>
      <c r="AL486">
        <f t="shared" si="136"/>
        <v>5</v>
      </c>
      <c r="AM486" t="str">
        <f t="shared" si="137"/>
        <v>May</v>
      </c>
      <c r="AN486">
        <f t="shared" si="138"/>
        <v>2023</v>
      </c>
      <c r="AO486" t="str">
        <f t="shared" si="139"/>
        <v>&gt;3</v>
      </c>
      <c r="AP486" t="str">
        <f t="shared" si="140"/>
        <v>&gt;3</v>
      </c>
      <c r="AQ486" t="str">
        <f t="shared" si="141"/>
        <v>&gt;3</v>
      </c>
    </row>
    <row r="487" spans="1:43" x14ac:dyDescent="0.3">
      <c r="A487" t="s">
        <v>33</v>
      </c>
      <c r="B487" t="s">
        <v>385</v>
      </c>
      <c r="C487" t="s">
        <v>70</v>
      </c>
      <c r="D487">
        <v>1522</v>
      </c>
      <c r="E487">
        <v>23210078</v>
      </c>
      <c r="F487" t="s">
        <v>372</v>
      </c>
      <c r="G487" t="s">
        <v>373</v>
      </c>
      <c r="H487">
        <v>50</v>
      </c>
      <c r="I487">
        <v>250</v>
      </c>
      <c r="J487">
        <v>12500</v>
      </c>
      <c r="K487" s="7" t="str">
        <f>IFERROR(IF(B487&lt;&gt;"", TEXT(VLOOKUP(B487, 'Expected Date'!A:B, 2, FALSE) + DATE(RIGHT(C487,2),MID(C487,4,2),LEFT(C487,2)), "dd/mm/yy"), ""), "")</f>
        <v>04/05/23</v>
      </c>
      <c r="L487" t="s">
        <v>68</v>
      </c>
      <c r="M487" t="s">
        <v>48</v>
      </c>
      <c r="N487" t="s">
        <v>342</v>
      </c>
      <c r="O487" t="s">
        <v>50</v>
      </c>
      <c r="P487">
        <v>23290741</v>
      </c>
      <c r="Q487" t="s">
        <v>372</v>
      </c>
      <c r="R487" t="s">
        <v>373</v>
      </c>
      <c r="S487">
        <v>8.31</v>
      </c>
      <c r="T487">
        <v>250</v>
      </c>
      <c r="U487">
        <v>2077.5</v>
      </c>
      <c r="V487" t="str">
        <f t="shared" si="143"/>
        <v>Dahej</v>
      </c>
      <c r="W487" t="str">
        <f>VLOOKUP(B487, Currency!A:B, 2, FALSE)</f>
        <v>INR</v>
      </c>
      <c r="X487" t="str">
        <f t="shared" si="142"/>
        <v>Accepted</v>
      </c>
      <c r="Y487">
        <f>IFERROR(VLOOKUP(N487, Payment_Terms!A:B, 2, FALSE), "Payment term not found!")</f>
        <v>30</v>
      </c>
      <c r="Z487" t="str">
        <f>IFERROR(VLOOKUP(R487, Item_Category!A:B, 2, FALSE), "Uncategorized")</f>
        <v>HCL</v>
      </c>
      <c r="AA487" s="5">
        <f t="shared" si="129"/>
        <v>0.43</v>
      </c>
      <c r="AB487">
        <f t="shared" si="130"/>
        <v>1</v>
      </c>
      <c r="AC487" s="10">
        <f t="shared" si="131"/>
        <v>68</v>
      </c>
      <c r="AD487">
        <f t="shared" si="132"/>
        <v>1</v>
      </c>
      <c r="AE487" s="10">
        <f t="shared" si="133"/>
        <v>78</v>
      </c>
      <c r="AF487" s="5">
        <f t="shared" si="126"/>
        <v>1</v>
      </c>
      <c r="AG487" s="5">
        <f t="shared" si="127"/>
        <v>1</v>
      </c>
      <c r="AH487" s="5">
        <f t="shared" si="134"/>
        <v>0</v>
      </c>
      <c r="AI487">
        <f>IF(B487&lt;&gt;"", COUNTIFS($B$2:B487, B487), "")</f>
        <v>3</v>
      </c>
      <c r="AJ487">
        <f t="shared" si="135"/>
        <v>5</v>
      </c>
      <c r="AK487">
        <f t="shared" si="128"/>
        <v>3</v>
      </c>
      <c r="AL487">
        <f t="shared" si="136"/>
        <v>4</v>
      </c>
      <c r="AM487" t="str">
        <f t="shared" si="137"/>
        <v>April</v>
      </c>
      <c r="AN487">
        <f t="shared" si="138"/>
        <v>2023</v>
      </c>
      <c r="AO487" t="str">
        <f t="shared" si="139"/>
        <v>&gt;3</v>
      </c>
      <c r="AP487" t="str">
        <f t="shared" si="140"/>
        <v>&lt;=3</v>
      </c>
      <c r="AQ487" t="str">
        <f t="shared" si="141"/>
        <v>&lt;=3</v>
      </c>
    </row>
    <row r="488" spans="1:43" x14ac:dyDescent="0.3">
      <c r="A488" t="str">
        <f>A304</f>
        <v>Woodpulp</v>
      </c>
      <c r="B488" t="s">
        <v>96</v>
      </c>
      <c r="C488" t="s">
        <v>97</v>
      </c>
      <c r="D488">
        <v>1235</v>
      </c>
      <c r="E488">
        <v>23220004</v>
      </c>
      <c r="F488" t="s">
        <v>443</v>
      </c>
      <c r="G488" t="s">
        <v>99</v>
      </c>
      <c r="H488">
        <v>52</v>
      </c>
      <c r="I488">
        <v>820</v>
      </c>
      <c r="J488">
        <v>3458104</v>
      </c>
      <c r="K488" s="7" t="str">
        <f>IFERROR(IF(B488&lt;&gt;"", TEXT(VLOOKUP(B488, 'Expected Date'!A:B, 2, FALSE) + DATE(RIGHT(C488,2),MID(C488,4,2),LEFT(C488,2)), "dd/mm/yy"), ""), "")</f>
        <v>10/06/23</v>
      </c>
      <c r="L488" t="s">
        <v>38</v>
      </c>
      <c r="M488" t="str">
        <f>M355</f>
        <v>MT</v>
      </c>
      <c r="N488" t="s">
        <v>102</v>
      </c>
      <c r="O488" t="s">
        <v>493</v>
      </c>
      <c r="P488">
        <v>23291309</v>
      </c>
      <c r="Q488" t="s">
        <v>443</v>
      </c>
      <c r="R488" t="s">
        <v>99</v>
      </c>
      <c r="S488">
        <v>52.685000000000002</v>
      </c>
      <c r="T488">
        <v>820</v>
      </c>
      <c r="U488">
        <v>3551179.74</v>
      </c>
      <c r="V488" t="str">
        <f t="shared" si="143"/>
        <v>Dahej</v>
      </c>
      <c r="W488" t="str">
        <f>VLOOKUP(B488, Currency!A:B, 2, FALSE)</f>
        <v>USD</v>
      </c>
      <c r="X488" t="str">
        <f t="shared" si="142"/>
        <v>Accepted</v>
      </c>
      <c r="Y488">
        <f>IFERROR(VLOOKUP(N488, Payment_Terms!A:B, 2, FALSE), "Payment term not found!")</f>
        <v>60</v>
      </c>
      <c r="Z488" t="str">
        <f>IFERROR(VLOOKUP(R488, Item_Category!A:B, 2, FALSE), "Uncategorized")</f>
        <v>Wood pulp</v>
      </c>
      <c r="AA488" s="5">
        <f t="shared" si="129"/>
        <v>0</v>
      </c>
      <c r="AB488">
        <f t="shared" si="130"/>
        <v>5</v>
      </c>
      <c r="AC488" s="10">
        <f t="shared" si="131"/>
        <v>85</v>
      </c>
      <c r="AD488">
        <f t="shared" si="132"/>
        <v>1</v>
      </c>
      <c r="AE488" s="10">
        <f t="shared" si="133"/>
        <v>145</v>
      </c>
      <c r="AF488" s="5">
        <f t="shared" si="126"/>
        <v>1</v>
      </c>
      <c r="AG488" s="5">
        <f t="shared" si="127"/>
        <v>1</v>
      </c>
      <c r="AH488" s="5">
        <f t="shared" si="134"/>
        <v>0</v>
      </c>
      <c r="AI488">
        <f>IF(B488&lt;&gt;"", COUNTIFS($B$2:B488, B488), "")</f>
        <v>12</v>
      </c>
      <c r="AJ488">
        <f t="shared" si="135"/>
        <v>5</v>
      </c>
      <c r="AK488">
        <f t="shared" si="128"/>
        <v>4</v>
      </c>
      <c r="AL488">
        <f t="shared" si="136"/>
        <v>4</v>
      </c>
      <c r="AM488" t="str">
        <f t="shared" si="137"/>
        <v>April</v>
      </c>
      <c r="AN488">
        <f t="shared" si="138"/>
        <v>2023</v>
      </c>
      <c r="AO488" t="str">
        <f t="shared" si="139"/>
        <v>&gt;3</v>
      </c>
      <c r="AP488" t="str">
        <f t="shared" si="140"/>
        <v>&gt;3</v>
      </c>
      <c r="AQ488" t="str">
        <f t="shared" si="141"/>
        <v>&lt;=3</v>
      </c>
    </row>
    <row r="489" spans="1:43" x14ac:dyDescent="0.3">
      <c r="A489" t="str">
        <f>A474</f>
        <v>Woodpulp</v>
      </c>
      <c r="B489" t="s">
        <v>140</v>
      </c>
      <c r="C489" t="s">
        <v>198</v>
      </c>
      <c r="D489">
        <v>3454</v>
      </c>
      <c r="E489">
        <v>23220053</v>
      </c>
      <c r="F489" t="s">
        <v>359</v>
      </c>
      <c r="G489" t="s">
        <v>360</v>
      </c>
      <c r="H489">
        <v>100</v>
      </c>
      <c r="I489">
        <v>830</v>
      </c>
      <c r="J489">
        <v>6739600</v>
      </c>
      <c r="K489" s="7" t="str">
        <f>IFERROR(IF(B489&lt;&gt;"", TEXT(VLOOKUP(B489, 'Expected Date'!A:B, 2, FALSE) + DATE(RIGHT(C489,2),MID(C489,4,2),LEFT(C489,2)), "dd/mm/yy"), ""), "")</f>
        <v>14/09/23</v>
      </c>
      <c r="L489" t="s">
        <v>68</v>
      </c>
      <c r="M489" t="str">
        <f>M355</f>
        <v>MT</v>
      </c>
      <c r="N489" t="s">
        <v>245</v>
      </c>
      <c r="O489" t="s">
        <v>52</v>
      </c>
      <c r="P489">
        <v>23291103</v>
      </c>
      <c r="Q489" t="s">
        <v>359</v>
      </c>
      <c r="R489" t="s">
        <v>360</v>
      </c>
      <c r="S489">
        <v>98.004000000000005</v>
      </c>
      <c r="T489">
        <v>830</v>
      </c>
      <c r="U489">
        <v>6662017.9100000001</v>
      </c>
      <c r="V489" t="str">
        <f t="shared" si="143"/>
        <v>Dahej</v>
      </c>
      <c r="W489" t="str">
        <f>VLOOKUP(B489, Currency!A:B, 2, FALSE)</f>
        <v>USD</v>
      </c>
      <c r="X489" t="str">
        <f t="shared" si="142"/>
        <v>Accepted</v>
      </c>
      <c r="Y489">
        <f>IFERROR(VLOOKUP(N489, Payment_Terms!A:B, 2, FALSE), "Payment term not found!")</f>
        <v>0</v>
      </c>
      <c r="Z489" t="str">
        <f>IFERROR(VLOOKUP(R489, Item_Category!A:B, 2, FALSE), "Uncategorized")</f>
        <v>Wood pulp</v>
      </c>
      <c r="AA489" s="5">
        <f t="shared" si="129"/>
        <v>1.995999999999995E-2</v>
      </c>
      <c r="AB489">
        <f t="shared" si="130"/>
        <v>4</v>
      </c>
      <c r="AC489" s="10">
        <f t="shared" si="131"/>
        <v>-29</v>
      </c>
      <c r="AD489">
        <f t="shared" si="132"/>
        <v>5</v>
      </c>
      <c r="AE489" s="10">
        <f t="shared" si="133"/>
        <v>16</v>
      </c>
      <c r="AF489" s="5">
        <f t="shared" si="126"/>
        <v>1</v>
      </c>
      <c r="AG489" s="5">
        <f t="shared" si="127"/>
        <v>1</v>
      </c>
      <c r="AH489" s="5">
        <f t="shared" si="134"/>
        <v>0</v>
      </c>
      <c r="AI489">
        <f>IF(B489&lt;&gt;"", COUNTIFS($B$2:B489, B489), "")</f>
        <v>22</v>
      </c>
      <c r="AJ489">
        <f t="shared" si="135"/>
        <v>5</v>
      </c>
      <c r="AK489">
        <f t="shared" si="128"/>
        <v>5</v>
      </c>
      <c r="AL489">
        <f t="shared" si="136"/>
        <v>7</v>
      </c>
      <c r="AM489" t="str">
        <f t="shared" si="137"/>
        <v>July</v>
      </c>
      <c r="AN489">
        <f t="shared" si="138"/>
        <v>2023</v>
      </c>
      <c r="AO489" t="str">
        <f t="shared" si="139"/>
        <v>&gt;3</v>
      </c>
      <c r="AP489" t="str">
        <f t="shared" si="140"/>
        <v>&gt;3</v>
      </c>
      <c r="AQ489" t="str">
        <f t="shared" si="141"/>
        <v>&gt;3</v>
      </c>
    </row>
    <row r="490" spans="1:43" x14ac:dyDescent="0.3">
      <c r="A490" t="s">
        <v>33</v>
      </c>
      <c r="B490" t="s">
        <v>358</v>
      </c>
      <c r="C490" t="s">
        <v>229</v>
      </c>
      <c r="D490">
        <v>4731</v>
      </c>
      <c r="E490">
        <v>23220071</v>
      </c>
      <c r="F490" t="s">
        <v>389</v>
      </c>
      <c r="G490" t="s">
        <v>390</v>
      </c>
      <c r="H490">
        <v>30</v>
      </c>
      <c r="I490">
        <v>91510</v>
      </c>
      <c r="J490">
        <v>2745300</v>
      </c>
      <c r="K490" s="7" t="str">
        <f>IFERROR(IF(B490&lt;&gt;"", TEXT(VLOOKUP(B490, 'Expected Date'!A:B, 2, FALSE) + DATE(RIGHT(C490,2),MID(C490,4,2),LEFT(C490,2)), "dd/mm/yy"), ""), "")</f>
        <v>02/10/23</v>
      </c>
      <c r="L490" t="s">
        <v>68</v>
      </c>
      <c r="M490" t="s">
        <v>48</v>
      </c>
      <c r="N490" t="s">
        <v>361</v>
      </c>
      <c r="O490" t="s">
        <v>230</v>
      </c>
      <c r="P490">
        <v>23291583</v>
      </c>
      <c r="Q490" t="s">
        <v>389</v>
      </c>
      <c r="R490" t="s">
        <v>390</v>
      </c>
      <c r="S490">
        <v>26.94</v>
      </c>
      <c r="T490">
        <v>91510</v>
      </c>
      <c r="U490">
        <v>2465279.4</v>
      </c>
      <c r="V490" t="str">
        <f t="shared" si="143"/>
        <v>Dahej</v>
      </c>
      <c r="W490" t="str">
        <f>VLOOKUP(B490, Currency!A:B, 2, FALSE)</f>
        <v>INR</v>
      </c>
      <c r="X490" t="str">
        <f t="shared" si="142"/>
        <v>Accepted</v>
      </c>
      <c r="Y490">
        <f>IFERROR(VLOOKUP(N490, Payment_Terms!A:B, 2, FALSE), "Payment term not found!")</f>
        <v>0</v>
      </c>
      <c r="Z490" t="str">
        <f>IFERROR(VLOOKUP(R490, Item_Category!A:B, 2, FALSE), "Uncategorized")</f>
        <v>Wood pulp</v>
      </c>
      <c r="AA490" s="5">
        <f t="shared" si="129"/>
        <v>0.10199999999999995</v>
      </c>
      <c r="AB490">
        <f t="shared" si="130"/>
        <v>1</v>
      </c>
      <c r="AC490" s="10">
        <f t="shared" si="131"/>
        <v>1</v>
      </c>
      <c r="AD490">
        <f t="shared" si="132"/>
        <v>5</v>
      </c>
      <c r="AE490" s="10">
        <f t="shared" si="133"/>
        <v>3</v>
      </c>
      <c r="AF490" s="5">
        <f t="shared" si="126"/>
        <v>1</v>
      </c>
      <c r="AG490" s="5">
        <f t="shared" si="127"/>
        <v>1</v>
      </c>
      <c r="AH490" s="5">
        <f t="shared" si="134"/>
        <v>0</v>
      </c>
      <c r="AI490">
        <f>IF(B490&lt;&gt;"", COUNTIFS($B$2:B490, B490), "")</f>
        <v>2</v>
      </c>
      <c r="AJ490">
        <f t="shared" si="135"/>
        <v>5</v>
      </c>
      <c r="AK490">
        <f t="shared" si="128"/>
        <v>4</v>
      </c>
      <c r="AL490">
        <f t="shared" si="136"/>
        <v>9</v>
      </c>
      <c r="AM490" t="str">
        <f t="shared" si="137"/>
        <v>September</v>
      </c>
      <c r="AN490">
        <f t="shared" si="138"/>
        <v>2023</v>
      </c>
      <c r="AO490" t="str">
        <f t="shared" si="139"/>
        <v>&gt;3</v>
      </c>
      <c r="AP490" t="str">
        <f t="shared" si="140"/>
        <v>&lt;=3</v>
      </c>
      <c r="AQ490" t="str">
        <f t="shared" si="141"/>
        <v>&gt;3</v>
      </c>
    </row>
    <row r="491" spans="1:43" x14ac:dyDescent="0.3">
      <c r="A491" t="s">
        <v>33</v>
      </c>
      <c r="B491" t="s">
        <v>366</v>
      </c>
      <c r="C491" t="s">
        <v>477</v>
      </c>
      <c r="D491">
        <v>1551</v>
      </c>
      <c r="E491">
        <v>23210088</v>
      </c>
      <c r="F491" t="s">
        <v>392</v>
      </c>
      <c r="G491" t="s">
        <v>393</v>
      </c>
      <c r="H491">
        <v>50</v>
      </c>
      <c r="I491">
        <v>11000</v>
      </c>
      <c r="J491">
        <v>550000</v>
      </c>
      <c r="K491" s="7" t="str">
        <f>IFERROR(IF(B491&lt;&gt;"", TEXT(VLOOKUP(B491, 'Expected Date'!A:B, 2, FALSE) + DATE(RIGHT(C491,2),MID(C491,4,2),LEFT(C491,2)), "dd/mm/yy"), ""), "")</f>
        <v>28/04/23</v>
      </c>
      <c r="L491" t="s">
        <v>38</v>
      </c>
      <c r="M491" t="s">
        <v>48</v>
      </c>
      <c r="N491" t="s">
        <v>370</v>
      </c>
      <c r="O491" t="s">
        <v>210</v>
      </c>
      <c r="P491">
        <v>23290249</v>
      </c>
      <c r="Q491" t="s">
        <v>392</v>
      </c>
      <c r="R491" t="s">
        <v>393</v>
      </c>
      <c r="S491">
        <v>28.164999999999999</v>
      </c>
      <c r="T491">
        <v>11000</v>
      </c>
      <c r="U491">
        <v>309815</v>
      </c>
      <c r="V491" t="str">
        <f t="shared" si="143"/>
        <v>Dahej</v>
      </c>
      <c r="W491" t="str">
        <f>VLOOKUP(B491, Currency!A:B, 2, FALSE)</f>
        <v>INR</v>
      </c>
      <c r="X491" t="str">
        <f t="shared" si="142"/>
        <v>Accepted</v>
      </c>
      <c r="Y491">
        <f>IFERROR(VLOOKUP(N491, Payment_Terms!A:B, 2, FALSE), "Payment term not found!")</f>
        <v>15</v>
      </c>
      <c r="Z491" t="str">
        <f>IFERROR(VLOOKUP(R491, Item_Category!A:B, 2, FALSE), "Uncategorized")</f>
        <v>Coal materials</v>
      </c>
      <c r="AA491" s="5">
        <f t="shared" si="129"/>
        <v>0</v>
      </c>
      <c r="AB491">
        <f t="shared" si="130"/>
        <v>5</v>
      </c>
      <c r="AC491" s="10">
        <f t="shared" si="131"/>
        <v>15</v>
      </c>
      <c r="AD491">
        <f t="shared" si="132"/>
        <v>1</v>
      </c>
      <c r="AE491" s="10">
        <f t="shared" si="133"/>
        <v>17</v>
      </c>
      <c r="AF491" s="5">
        <f t="shared" si="126"/>
        <v>1</v>
      </c>
      <c r="AG491" s="5">
        <f t="shared" si="127"/>
        <v>1</v>
      </c>
      <c r="AH491" s="5">
        <f t="shared" si="134"/>
        <v>0</v>
      </c>
      <c r="AI491">
        <f>IF(B491&lt;&gt;"", COUNTIFS($B$2:B491, B491), "")</f>
        <v>39</v>
      </c>
      <c r="AJ491">
        <f t="shared" si="135"/>
        <v>5</v>
      </c>
      <c r="AK491">
        <f t="shared" si="128"/>
        <v>4</v>
      </c>
      <c r="AL491">
        <f t="shared" si="136"/>
        <v>4</v>
      </c>
      <c r="AM491" t="str">
        <f t="shared" si="137"/>
        <v>April</v>
      </c>
      <c r="AN491">
        <f t="shared" si="138"/>
        <v>2023</v>
      </c>
      <c r="AO491" t="str">
        <f t="shared" si="139"/>
        <v>&gt;3</v>
      </c>
      <c r="AP491" t="str">
        <f t="shared" si="140"/>
        <v>&gt;3</v>
      </c>
      <c r="AQ491" t="str">
        <f t="shared" si="141"/>
        <v>&lt;=3</v>
      </c>
    </row>
    <row r="492" spans="1:43" x14ac:dyDescent="0.3">
      <c r="A492" t="s">
        <v>111</v>
      </c>
      <c r="B492" t="s">
        <v>296</v>
      </c>
      <c r="C492" t="s">
        <v>201</v>
      </c>
      <c r="D492">
        <v>2776</v>
      </c>
      <c r="E492">
        <v>23210351</v>
      </c>
      <c r="F492" t="s">
        <v>445</v>
      </c>
      <c r="G492" t="s">
        <v>446</v>
      </c>
      <c r="H492">
        <v>4000</v>
      </c>
      <c r="I492">
        <v>205</v>
      </c>
      <c r="J492">
        <v>820000</v>
      </c>
      <c r="K492" s="7" t="str">
        <f>IFERROR(IF(B492&lt;&gt;"", TEXT(VLOOKUP(B492, 'Expected Date'!A:B, 2, FALSE) + DATE(RIGHT(C492,2),MID(C492,4,2),LEFT(C492,2)), "dd/mm/yy"), ""), "")</f>
        <v>16/07/23</v>
      </c>
      <c r="L492" t="s">
        <v>68</v>
      </c>
      <c r="M492" t="s">
        <v>48</v>
      </c>
      <c r="N492" t="s">
        <v>299</v>
      </c>
      <c r="O492" t="s">
        <v>162</v>
      </c>
      <c r="P492">
        <v>23290646</v>
      </c>
      <c r="Q492" t="s">
        <v>445</v>
      </c>
      <c r="R492" t="s">
        <v>446</v>
      </c>
      <c r="S492">
        <v>3000</v>
      </c>
      <c r="T492">
        <v>205</v>
      </c>
      <c r="U492">
        <v>615000</v>
      </c>
      <c r="V492" t="str">
        <f t="shared" si="143"/>
        <v>Dahej</v>
      </c>
      <c r="W492" t="str">
        <f>VLOOKUP(B492, Currency!A:B, 2, FALSE)</f>
        <v>INR</v>
      </c>
      <c r="X492" t="str">
        <f t="shared" si="142"/>
        <v>Accepted</v>
      </c>
      <c r="Y492">
        <f>IFERROR(VLOOKUP(N492, Payment_Terms!A:B, 2, FALSE), "Payment term not found!")</f>
        <v>60</v>
      </c>
      <c r="Z492" t="str">
        <f>IFERROR(VLOOKUP(R492, Item_Category!A:B, 2, FALSE), "Uncategorized")</f>
        <v>SSG - Potato</v>
      </c>
      <c r="AA492" s="5">
        <f t="shared" si="129"/>
        <v>0.25</v>
      </c>
      <c r="AB492">
        <f t="shared" si="130"/>
        <v>1</v>
      </c>
      <c r="AC492" s="10">
        <f t="shared" si="131"/>
        <v>-17</v>
      </c>
      <c r="AD492">
        <f t="shared" si="132"/>
        <v>5</v>
      </c>
      <c r="AE492" s="10">
        <f t="shared" si="133"/>
        <v>2</v>
      </c>
      <c r="AF492" s="5">
        <f t="shared" si="126"/>
        <v>1</v>
      </c>
      <c r="AG492" s="5">
        <f t="shared" si="127"/>
        <v>1</v>
      </c>
      <c r="AH492" s="5">
        <f t="shared" si="134"/>
        <v>0</v>
      </c>
      <c r="AI492">
        <f>IF(B492&lt;&gt;"", COUNTIFS($B$2:B492, B492), "")</f>
        <v>9</v>
      </c>
      <c r="AJ492">
        <f t="shared" si="135"/>
        <v>5</v>
      </c>
      <c r="AK492">
        <f t="shared" si="128"/>
        <v>4</v>
      </c>
      <c r="AL492">
        <f t="shared" si="136"/>
        <v>7</v>
      </c>
      <c r="AM492" t="str">
        <f t="shared" si="137"/>
        <v>July</v>
      </c>
      <c r="AN492">
        <f t="shared" si="138"/>
        <v>2023</v>
      </c>
      <c r="AO492" t="str">
        <f t="shared" si="139"/>
        <v>&gt;3</v>
      </c>
      <c r="AP492" t="str">
        <f t="shared" si="140"/>
        <v>&lt;=3</v>
      </c>
      <c r="AQ492" t="str">
        <f t="shared" si="141"/>
        <v>&gt;3</v>
      </c>
    </row>
    <row r="493" spans="1:43" x14ac:dyDescent="0.3">
      <c r="A493" t="s">
        <v>33</v>
      </c>
      <c r="B493" t="s">
        <v>386</v>
      </c>
      <c r="C493" t="s">
        <v>238</v>
      </c>
      <c r="D493">
        <v>1760</v>
      </c>
      <c r="E493">
        <v>23210140</v>
      </c>
      <c r="F493" t="s">
        <v>410</v>
      </c>
      <c r="G493" t="s">
        <v>411</v>
      </c>
      <c r="H493">
        <v>510</v>
      </c>
      <c r="I493">
        <v>129</v>
      </c>
      <c r="J493">
        <v>65790</v>
      </c>
      <c r="K493" s="7" t="str">
        <f>IFERROR(IF(B493&lt;&gt;"", TEXT(VLOOKUP(B493, 'Expected Date'!A:B, 2, FALSE) + DATE(RIGHT(C493,2),MID(C493,4,2),LEFT(C493,2)), "dd/mm/yy"), ""), "")</f>
        <v>09/05/23</v>
      </c>
      <c r="L493" t="s">
        <v>38</v>
      </c>
      <c r="M493" t="s">
        <v>48</v>
      </c>
      <c r="N493" t="s">
        <v>342</v>
      </c>
      <c r="O493" t="s">
        <v>145</v>
      </c>
      <c r="P493">
        <v>23290232</v>
      </c>
      <c r="Q493" t="s">
        <v>410</v>
      </c>
      <c r="R493" t="s">
        <v>411</v>
      </c>
      <c r="S493">
        <v>510</v>
      </c>
      <c r="T493">
        <v>129</v>
      </c>
      <c r="U493">
        <v>65790</v>
      </c>
      <c r="V493" t="str">
        <f t="shared" si="143"/>
        <v>Dahej</v>
      </c>
      <c r="W493" t="str">
        <f>VLOOKUP(B493, Currency!A:B, 2, FALSE)</f>
        <v>INR</v>
      </c>
      <c r="X493" t="str">
        <f t="shared" si="142"/>
        <v>Accepted</v>
      </c>
      <c r="Y493">
        <f>IFERROR(VLOOKUP(N493, Payment_Terms!A:B, 2, FALSE), "Payment term not found!")</f>
        <v>30</v>
      </c>
      <c r="Z493" t="str">
        <f>IFERROR(VLOOKUP(R493, Item_Category!A:B, 2, FALSE), "Uncategorized")</f>
        <v>Wrapping 23</v>
      </c>
      <c r="AA493" s="5">
        <f t="shared" si="129"/>
        <v>0</v>
      </c>
      <c r="AB493">
        <f t="shared" si="130"/>
        <v>5</v>
      </c>
      <c r="AC493" s="10">
        <f t="shared" si="131"/>
        <v>-2</v>
      </c>
      <c r="AD493">
        <f t="shared" si="132"/>
        <v>5</v>
      </c>
      <c r="AE493" s="10">
        <f t="shared" si="133"/>
        <v>3</v>
      </c>
      <c r="AF493" s="5">
        <f t="shared" si="126"/>
        <v>1</v>
      </c>
      <c r="AG493" s="5">
        <f t="shared" si="127"/>
        <v>1</v>
      </c>
      <c r="AH493" s="5">
        <f t="shared" si="134"/>
        <v>0</v>
      </c>
      <c r="AI493">
        <f>IF(B493&lt;&gt;"", COUNTIFS($B$2:B493, B493), "")</f>
        <v>15</v>
      </c>
      <c r="AJ493">
        <f t="shared" si="135"/>
        <v>5</v>
      </c>
      <c r="AK493">
        <f t="shared" si="128"/>
        <v>5</v>
      </c>
      <c r="AL493">
        <f t="shared" si="136"/>
        <v>5</v>
      </c>
      <c r="AM493" t="str">
        <f t="shared" si="137"/>
        <v>May</v>
      </c>
      <c r="AN493">
        <f t="shared" si="138"/>
        <v>2023</v>
      </c>
      <c r="AO493" t="str">
        <f t="shared" si="139"/>
        <v>&gt;3</v>
      </c>
      <c r="AP493" t="str">
        <f t="shared" si="140"/>
        <v>&gt;3</v>
      </c>
      <c r="AQ493" t="str">
        <f t="shared" si="141"/>
        <v>&gt;3</v>
      </c>
    </row>
    <row r="494" spans="1:43" x14ac:dyDescent="0.3">
      <c r="A494" t="s">
        <v>33</v>
      </c>
      <c r="B494" t="s">
        <v>382</v>
      </c>
      <c r="C494" t="s">
        <v>141</v>
      </c>
      <c r="D494">
        <v>1705</v>
      </c>
      <c r="E494">
        <v>23210131</v>
      </c>
      <c r="F494" t="s">
        <v>383</v>
      </c>
      <c r="G494" t="s">
        <v>384</v>
      </c>
      <c r="H494">
        <v>250</v>
      </c>
      <c r="I494">
        <v>96</v>
      </c>
      <c r="J494">
        <v>24000</v>
      </c>
      <c r="K494" s="7" t="str">
        <f>IFERROR(IF(B494&lt;&gt;"", TEXT(VLOOKUP(B494, 'Expected Date'!A:B, 2, FALSE) + DATE(RIGHT(C494,2),MID(C494,4,2),LEFT(C494,2)), "dd/mm/yy"), ""), "")</f>
        <v>18/05/23</v>
      </c>
      <c r="L494" t="s">
        <v>38</v>
      </c>
      <c r="M494" t="s">
        <v>48</v>
      </c>
      <c r="N494" t="s">
        <v>342</v>
      </c>
      <c r="O494" t="s">
        <v>146</v>
      </c>
      <c r="P494">
        <v>23290235</v>
      </c>
      <c r="Q494" t="s">
        <v>383</v>
      </c>
      <c r="R494" t="s">
        <v>384</v>
      </c>
      <c r="S494">
        <v>250</v>
      </c>
      <c r="T494">
        <v>96</v>
      </c>
      <c r="U494">
        <v>24000</v>
      </c>
      <c r="V494" t="str">
        <f t="shared" si="143"/>
        <v>Dahej</v>
      </c>
      <c r="W494" t="str">
        <f>VLOOKUP(B494, Currency!A:B, 2, FALSE)</f>
        <v>INR</v>
      </c>
      <c r="X494" t="str">
        <f t="shared" si="142"/>
        <v>Accepted</v>
      </c>
      <c r="Y494">
        <f>IFERROR(VLOOKUP(N494, Payment_Terms!A:B, 2, FALSE), "Payment term not found!")</f>
        <v>30</v>
      </c>
      <c r="Z494" t="str">
        <f>IFERROR(VLOOKUP(R494, Item_Category!A:B, 2, FALSE), "Uncategorized")</f>
        <v>Gas</v>
      </c>
      <c r="AA494" s="5">
        <f t="shared" si="129"/>
        <v>0</v>
      </c>
      <c r="AB494">
        <f t="shared" si="130"/>
        <v>5</v>
      </c>
      <c r="AC494" s="10">
        <f t="shared" si="131"/>
        <v>-9</v>
      </c>
      <c r="AD494">
        <f t="shared" si="132"/>
        <v>5</v>
      </c>
      <c r="AE494" s="10">
        <f t="shared" si="133"/>
        <v>1</v>
      </c>
      <c r="AF494" s="5">
        <f t="shared" si="126"/>
        <v>1</v>
      </c>
      <c r="AG494" s="5">
        <f t="shared" si="127"/>
        <v>1</v>
      </c>
      <c r="AH494" s="5">
        <f t="shared" si="134"/>
        <v>0</v>
      </c>
      <c r="AI494">
        <f>IF(B494&lt;&gt;"", COUNTIFS($B$2:B494, B494), "")</f>
        <v>14</v>
      </c>
      <c r="AJ494">
        <f t="shared" si="135"/>
        <v>5</v>
      </c>
      <c r="AK494">
        <f t="shared" si="128"/>
        <v>5</v>
      </c>
      <c r="AL494">
        <f t="shared" si="136"/>
        <v>5</v>
      </c>
      <c r="AM494" t="str">
        <f t="shared" si="137"/>
        <v>May</v>
      </c>
      <c r="AN494">
        <f t="shared" si="138"/>
        <v>2023</v>
      </c>
      <c r="AO494" t="str">
        <f t="shared" si="139"/>
        <v>&gt;3</v>
      </c>
      <c r="AP494" t="str">
        <f t="shared" si="140"/>
        <v>&gt;3</v>
      </c>
      <c r="AQ494" t="str">
        <f t="shared" si="141"/>
        <v>&gt;3</v>
      </c>
    </row>
    <row r="495" spans="1:43" x14ac:dyDescent="0.3">
      <c r="A495" t="s">
        <v>33</v>
      </c>
      <c r="B495" t="s">
        <v>353</v>
      </c>
      <c r="C495" t="s">
        <v>269</v>
      </c>
      <c r="D495">
        <v>2139</v>
      </c>
      <c r="E495">
        <v>23210186</v>
      </c>
      <c r="F495" t="s">
        <v>355</v>
      </c>
      <c r="G495" t="s">
        <v>356</v>
      </c>
      <c r="H495">
        <v>40000</v>
      </c>
      <c r="I495">
        <v>1.1000000000000001</v>
      </c>
      <c r="J495">
        <v>44000</v>
      </c>
      <c r="K495" s="7" t="str">
        <f>IFERROR(IF(B495&lt;&gt;"", TEXT(VLOOKUP(B495, 'Expected Date'!A:B, 2, FALSE) + DATE(RIGHT(C495,2),MID(C495,4,2),LEFT(C495,2)), "dd/mm/yy"), ""), "")</f>
        <v>17/05/23</v>
      </c>
      <c r="L495" t="s">
        <v>68</v>
      </c>
      <c r="M495" t="s">
        <v>48</v>
      </c>
      <c r="N495" t="s">
        <v>342</v>
      </c>
      <c r="O495" t="s">
        <v>224</v>
      </c>
      <c r="P495">
        <v>23290432</v>
      </c>
      <c r="Q495" t="s">
        <v>355</v>
      </c>
      <c r="R495" t="s">
        <v>356</v>
      </c>
      <c r="S495">
        <v>9000</v>
      </c>
      <c r="T495">
        <v>1.1000000000000001</v>
      </c>
      <c r="U495">
        <v>9900</v>
      </c>
      <c r="V495" t="str">
        <f t="shared" si="143"/>
        <v>Dahej</v>
      </c>
      <c r="W495" t="str">
        <f>VLOOKUP(B495, Currency!A:B, 2, FALSE)</f>
        <v>INR</v>
      </c>
      <c r="X495" t="str">
        <f t="shared" si="142"/>
        <v>Accepted</v>
      </c>
      <c r="Y495">
        <f>IFERROR(VLOOKUP(N495, Payment_Terms!A:B, 2, FALSE), "Payment term not found!")</f>
        <v>30</v>
      </c>
      <c r="Z495" t="str">
        <f>IFERROR(VLOOKUP(R495, Item_Category!A:B, 2, FALSE), "Uncategorized")</f>
        <v>Sticker</v>
      </c>
      <c r="AA495" s="5">
        <f t="shared" si="129"/>
        <v>0.27500000000000002</v>
      </c>
      <c r="AB495">
        <f t="shared" si="130"/>
        <v>1</v>
      </c>
      <c r="AC495" s="10">
        <f t="shared" si="131"/>
        <v>1</v>
      </c>
      <c r="AD495">
        <f t="shared" si="132"/>
        <v>5</v>
      </c>
      <c r="AE495" s="10">
        <f t="shared" si="133"/>
        <v>3</v>
      </c>
      <c r="AF495" s="5">
        <f t="shared" si="126"/>
        <v>1</v>
      </c>
      <c r="AG495" s="5">
        <f t="shared" si="127"/>
        <v>1</v>
      </c>
      <c r="AH495" s="5">
        <f t="shared" si="134"/>
        <v>0</v>
      </c>
      <c r="AI495">
        <f>IF(B495&lt;&gt;"", COUNTIFS($B$2:B495, B495), "")</f>
        <v>5</v>
      </c>
      <c r="AJ495">
        <f t="shared" si="135"/>
        <v>5</v>
      </c>
      <c r="AK495">
        <f t="shared" si="128"/>
        <v>4</v>
      </c>
      <c r="AL495">
        <f t="shared" si="136"/>
        <v>5</v>
      </c>
      <c r="AM495" t="str">
        <f t="shared" si="137"/>
        <v>May</v>
      </c>
      <c r="AN495">
        <f t="shared" si="138"/>
        <v>2023</v>
      </c>
      <c r="AO495" t="str">
        <f t="shared" si="139"/>
        <v>&gt;3</v>
      </c>
      <c r="AP495" t="str">
        <f t="shared" si="140"/>
        <v>&lt;=3</v>
      </c>
      <c r="AQ495" t="str">
        <f t="shared" si="141"/>
        <v>&gt;3</v>
      </c>
    </row>
    <row r="496" spans="1:43" x14ac:dyDescent="0.3">
      <c r="A496" t="s">
        <v>33</v>
      </c>
      <c r="B496" t="s">
        <v>382</v>
      </c>
      <c r="C496" t="s">
        <v>88</v>
      </c>
      <c r="D496">
        <v>2809</v>
      </c>
      <c r="E496">
        <v>23210361</v>
      </c>
      <c r="F496" t="s">
        <v>383</v>
      </c>
      <c r="G496" t="s">
        <v>384</v>
      </c>
      <c r="H496">
        <v>250</v>
      </c>
      <c r="I496">
        <v>96</v>
      </c>
      <c r="J496">
        <v>24000</v>
      </c>
      <c r="K496" s="7" t="str">
        <f>IFERROR(IF(B496&lt;&gt;"", TEXT(VLOOKUP(B496, 'Expected Date'!A:B, 2, FALSE) + DATE(RIGHT(C496,2),MID(C496,4,2),LEFT(C496,2)), "dd/mm/yy"), ""), "")</f>
        <v>14/07/23</v>
      </c>
      <c r="L496" t="s">
        <v>38</v>
      </c>
      <c r="M496" t="s">
        <v>48</v>
      </c>
      <c r="N496" t="s">
        <v>342</v>
      </c>
      <c r="O496" t="s">
        <v>89</v>
      </c>
      <c r="P496">
        <v>23290665</v>
      </c>
      <c r="Q496" t="s">
        <v>383</v>
      </c>
      <c r="R496" t="s">
        <v>384</v>
      </c>
      <c r="S496">
        <v>250</v>
      </c>
      <c r="T496">
        <v>96</v>
      </c>
      <c r="U496">
        <v>24000</v>
      </c>
      <c r="V496" t="str">
        <f t="shared" si="143"/>
        <v>Dahej</v>
      </c>
      <c r="W496" t="str">
        <f>VLOOKUP(B496, Currency!A:B, 2, FALSE)</f>
        <v>INR</v>
      </c>
      <c r="X496" t="str">
        <f t="shared" si="142"/>
        <v>Accepted</v>
      </c>
      <c r="Y496">
        <f>IFERROR(VLOOKUP(N496, Payment_Terms!A:B, 2, FALSE), "Payment term not found!")</f>
        <v>30</v>
      </c>
      <c r="Z496" t="str">
        <f>IFERROR(VLOOKUP(R496, Item_Category!A:B, 2, FALSE), "Uncategorized")</f>
        <v>Gas</v>
      </c>
      <c r="AA496" s="5">
        <f t="shared" si="129"/>
        <v>0</v>
      </c>
      <c r="AB496">
        <f t="shared" si="130"/>
        <v>5</v>
      </c>
      <c r="AC496" s="10">
        <f t="shared" si="131"/>
        <v>-9</v>
      </c>
      <c r="AD496">
        <f t="shared" si="132"/>
        <v>5</v>
      </c>
      <c r="AE496" s="10">
        <f t="shared" si="133"/>
        <v>1</v>
      </c>
      <c r="AF496" s="5">
        <f t="shared" si="126"/>
        <v>1</v>
      </c>
      <c r="AG496" s="5">
        <f t="shared" si="127"/>
        <v>1</v>
      </c>
      <c r="AH496" s="5">
        <f t="shared" si="134"/>
        <v>0</v>
      </c>
      <c r="AI496">
        <f>IF(B496&lt;&gt;"", COUNTIFS($B$2:B496, B496), "")</f>
        <v>15</v>
      </c>
      <c r="AJ496">
        <f t="shared" si="135"/>
        <v>5</v>
      </c>
      <c r="AK496">
        <f t="shared" si="128"/>
        <v>5</v>
      </c>
      <c r="AL496">
        <f t="shared" si="136"/>
        <v>7</v>
      </c>
      <c r="AM496" t="str">
        <f t="shared" si="137"/>
        <v>July</v>
      </c>
      <c r="AN496">
        <f t="shared" si="138"/>
        <v>2023</v>
      </c>
      <c r="AO496" t="str">
        <f t="shared" si="139"/>
        <v>&gt;3</v>
      </c>
      <c r="AP496" t="str">
        <f t="shared" si="140"/>
        <v>&gt;3</v>
      </c>
      <c r="AQ496" t="str">
        <f t="shared" si="141"/>
        <v>&gt;3</v>
      </c>
    </row>
    <row r="497" spans="1:43" x14ac:dyDescent="0.3">
      <c r="A497" t="s">
        <v>33</v>
      </c>
      <c r="B497" t="s">
        <v>386</v>
      </c>
      <c r="C497" t="s">
        <v>71</v>
      </c>
      <c r="D497">
        <v>2815</v>
      </c>
      <c r="E497">
        <v>23210364</v>
      </c>
      <c r="F497" t="s">
        <v>437</v>
      </c>
      <c r="G497" t="s">
        <v>438</v>
      </c>
      <c r="H497">
        <v>10000</v>
      </c>
      <c r="I497">
        <v>9.0440000000000005</v>
      </c>
      <c r="J497">
        <v>90440</v>
      </c>
      <c r="K497" s="7" t="str">
        <f>IFERROR(IF(B497&lt;&gt;"", TEXT(VLOOKUP(B497, 'Expected Date'!A:B, 2, FALSE) + DATE(RIGHT(C497,2),MID(C497,4,2),LEFT(C497,2)), "dd/mm/yy"), ""), "")</f>
        <v>27/06/23</v>
      </c>
      <c r="L497" t="s">
        <v>38</v>
      </c>
      <c r="M497" t="s">
        <v>48</v>
      </c>
      <c r="N497" t="s">
        <v>342</v>
      </c>
      <c r="O497" t="s">
        <v>71</v>
      </c>
      <c r="P497">
        <v>23290666</v>
      </c>
      <c r="Q497" t="s">
        <v>437</v>
      </c>
      <c r="R497" t="s">
        <v>438</v>
      </c>
      <c r="S497">
        <v>14308</v>
      </c>
      <c r="T497">
        <v>9.0440000000000005</v>
      </c>
      <c r="U497">
        <v>129401.55</v>
      </c>
      <c r="V497" t="str">
        <f t="shared" si="143"/>
        <v>Dahej</v>
      </c>
      <c r="W497" t="str">
        <f>VLOOKUP(B497, Currency!A:B, 2, FALSE)</f>
        <v>INR</v>
      </c>
      <c r="X497" t="str">
        <f t="shared" si="142"/>
        <v>Accepted</v>
      </c>
      <c r="Y497">
        <f>IFERROR(VLOOKUP(N497, Payment_Terms!A:B, 2, FALSE), "Payment term not found!")</f>
        <v>30</v>
      </c>
      <c r="Z497" t="str">
        <f>IFERROR(VLOOKUP(R497, Item_Category!A:B, 2, FALSE), "Uncategorized")</f>
        <v>Liner</v>
      </c>
      <c r="AA497" s="5">
        <f t="shared" si="129"/>
        <v>0</v>
      </c>
      <c r="AB497">
        <f t="shared" si="130"/>
        <v>5</v>
      </c>
      <c r="AC497" s="10">
        <f t="shared" si="131"/>
        <v>-5</v>
      </c>
      <c r="AD497">
        <f t="shared" si="132"/>
        <v>5</v>
      </c>
      <c r="AE497" s="10">
        <f t="shared" si="133"/>
        <v>0</v>
      </c>
      <c r="AF497" s="5">
        <f t="shared" si="126"/>
        <v>1</v>
      </c>
      <c r="AG497" s="5">
        <f t="shared" si="127"/>
        <v>1</v>
      </c>
      <c r="AH497" s="5">
        <f t="shared" si="134"/>
        <v>0</v>
      </c>
      <c r="AI497">
        <f>IF(B497&lt;&gt;"", COUNTIFS($B$2:B497, B497), "")</f>
        <v>16</v>
      </c>
      <c r="AJ497">
        <f t="shared" si="135"/>
        <v>5</v>
      </c>
      <c r="AK497">
        <f t="shared" si="128"/>
        <v>5</v>
      </c>
      <c r="AL497">
        <f t="shared" si="136"/>
        <v>6</v>
      </c>
      <c r="AM497" t="str">
        <f t="shared" si="137"/>
        <v>June</v>
      </c>
      <c r="AN497">
        <f t="shared" si="138"/>
        <v>2023</v>
      </c>
      <c r="AO497" t="str">
        <f t="shared" si="139"/>
        <v>&gt;3</v>
      </c>
      <c r="AP497" t="str">
        <f t="shared" si="140"/>
        <v>&gt;3</v>
      </c>
      <c r="AQ497" t="str">
        <f t="shared" si="141"/>
        <v>&gt;3</v>
      </c>
    </row>
    <row r="498" spans="1:43" x14ac:dyDescent="0.3">
      <c r="A498" t="s">
        <v>33</v>
      </c>
      <c r="B498" t="s">
        <v>386</v>
      </c>
      <c r="C498" t="s">
        <v>178</v>
      </c>
      <c r="D498">
        <v>4141</v>
      </c>
      <c r="E498">
        <v>23210604</v>
      </c>
      <c r="F498" t="s">
        <v>387</v>
      </c>
      <c r="G498" t="s">
        <v>388</v>
      </c>
      <c r="H498">
        <v>100</v>
      </c>
      <c r="I498">
        <v>85</v>
      </c>
      <c r="J498">
        <v>8500</v>
      </c>
      <c r="K498" s="7" t="str">
        <f>IFERROR(IF(B498&lt;&gt;"", TEXT(VLOOKUP(B498, 'Expected Date'!A:B, 2, FALSE) + DATE(RIGHT(C498,2),MID(C498,4,2),LEFT(C498,2)), "dd/mm/yy"), ""), "")</f>
        <v>06/09/23</v>
      </c>
      <c r="L498" t="s">
        <v>38</v>
      </c>
      <c r="M498" t="s">
        <v>48</v>
      </c>
      <c r="N498" t="s">
        <v>342</v>
      </c>
      <c r="O498" t="s">
        <v>496</v>
      </c>
      <c r="P498">
        <v>23291303</v>
      </c>
      <c r="Q498" t="s">
        <v>387</v>
      </c>
      <c r="R498" t="s">
        <v>388</v>
      </c>
      <c r="S498">
        <v>100</v>
      </c>
      <c r="T498">
        <v>85</v>
      </c>
      <c r="U498">
        <v>8500</v>
      </c>
      <c r="V498" t="str">
        <f t="shared" si="143"/>
        <v>Dahej</v>
      </c>
      <c r="W498" t="str">
        <f>VLOOKUP(B498, Currency!A:B, 2, FALSE)</f>
        <v>INR</v>
      </c>
      <c r="X498" t="str">
        <f t="shared" si="142"/>
        <v>Accepted</v>
      </c>
      <c r="Y498">
        <f>IFERROR(VLOOKUP(N498, Payment_Terms!A:B, 2, FALSE), "Payment term not found!")</f>
        <v>30</v>
      </c>
      <c r="Z498" t="str">
        <f>IFERROR(VLOOKUP(R498, Item_Category!A:B, 2, FALSE), "Uncategorized")</f>
        <v>Clips</v>
      </c>
      <c r="AA498" s="5">
        <f t="shared" si="129"/>
        <v>0</v>
      </c>
      <c r="AB498">
        <f t="shared" si="130"/>
        <v>5</v>
      </c>
      <c r="AC498" s="10">
        <f t="shared" si="131"/>
        <v>-4</v>
      </c>
      <c r="AD498">
        <f t="shared" si="132"/>
        <v>5</v>
      </c>
      <c r="AE498" s="10">
        <f t="shared" si="133"/>
        <v>1</v>
      </c>
      <c r="AF498" s="5">
        <f t="shared" si="126"/>
        <v>1</v>
      </c>
      <c r="AG498" s="5">
        <f t="shared" si="127"/>
        <v>1</v>
      </c>
      <c r="AH498" s="5">
        <f t="shared" si="134"/>
        <v>0</v>
      </c>
      <c r="AI498">
        <f>IF(B498&lt;&gt;"", COUNTIFS($B$2:B498, B498), "")</f>
        <v>17</v>
      </c>
      <c r="AJ498">
        <f t="shared" si="135"/>
        <v>5</v>
      </c>
      <c r="AK498">
        <f t="shared" si="128"/>
        <v>5</v>
      </c>
      <c r="AL498">
        <f t="shared" si="136"/>
        <v>9</v>
      </c>
      <c r="AM498" t="str">
        <f t="shared" si="137"/>
        <v>September</v>
      </c>
      <c r="AN498">
        <f t="shared" si="138"/>
        <v>2023</v>
      </c>
      <c r="AO498" t="str">
        <f t="shared" si="139"/>
        <v>&gt;3</v>
      </c>
      <c r="AP498" t="str">
        <f t="shared" si="140"/>
        <v>&gt;3</v>
      </c>
      <c r="AQ498" t="str">
        <f t="shared" si="141"/>
        <v>&gt;3</v>
      </c>
    </row>
    <row r="499" spans="1:43" x14ac:dyDescent="0.3">
      <c r="A499" t="s">
        <v>33</v>
      </c>
      <c r="B499" t="s">
        <v>386</v>
      </c>
      <c r="C499" t="s">
        <v>178</v>
      </c>
      <c r="D499">
        <v>4141</v>
      </c>
      <c r="E499">
        <v>23210604</v>
      </c>
      <c r="F499" t="s">
        <v>450</v>
      </c>
      <c r="G499" t="s">
        <v>451</v>
      </c>
      <c r="H499">
        <v>300</v>
      </c>
      <c r="I499">
        <v>35</v>
      </c>
      <c r="J499">
        <v>10500</v>
      </c>
      <c r="K499" s="7" t="str">
        <f>IFERROR(IF(B499&lt;&gt;"", TEXT(VLOOKUP(B499, 'Expected Date'!A:B, 2, FALSE) + DATE(RIGHT(C499,2),MID(C499,4,2),LEFT(C499,2)), "dd/mm/yy"), ""), "")</f>
        <v>06/09/23</v>
      </c>
      <c r="L499" t="s">
        <v>38</v>
      </c>
      <c r="M499" t="s">
        <v>48</v>
      </c>
      <c r="N499" t="s">
        <v>342</v>
      </c>
      <c r="O499" t="s">
        <v>496</v>
      </c>
      <c r="P499">
        <v>23291303</v>
      </c>
      <c r="Q499" t="s">
        <v>450</v>
      </c>
      <c r="R499" t="s">
        <v>451</v>
      </c>
      <c r="S499">
        <v>300</v>
      </c>
      <c r="T499">
        <v>35</v>
      </c>
      <c r="U499">
        <v>10500</v>
      </c>
      <c r="V499" t="str">
        <f t="shared" si="143"/>
        <v>Dahej</v>
      </c>
      <c r="W499" t="str">
        <f>VLOOKUP(B499, Currency!A:B, 2, FALSE)</f>
        <v>INR</v>
      </c>
      <c r="X499" t="str">
        <f t="shared" si="142"/>
        <v>Accepted</v>
      </c>
      <c r="Y499">
        <f>IFERROR(VLOOKUP(N499, Payment_Terms!A:B, 2, FALSE), "Payment term not found!")</f>
        <v>30</v>
      </c>
      <c r="Z499" t="str">
        <f>IFERROR(VLOOKUP(R499, Item_Category!A:B, 2, FALSE), "Uncategorized")</f>
        <v>PP thread</v>
      </c>
      <c r="AA499" s="5">
        <f t="shared" si="129"/>
        <v>0</v>
      </c>
      <c r="AB499">
        <f t="shared" si="130"/>
        <v>5</v>
      </c>
      <c r="AC499" s="10">
        <f t="shared" si="131"/>
        <v>-4</v>
      </c>
      <c r="AD499">
        <f t="shared" si="132"/>
        <v>5</v>
      </c>
      <c r="AE499" s="10">
        <f t="shared" si="133"/>
        <v>1</v>
      </c>
      <c r="AF499" s="5">
        <f t="shared" si="126"/>
        <v>1</v>
      </c>
      <c r="AG499" s="5">
        <f t="shared" si="127"/>
        <v>1</v>
      </c>
      <c r="AH499" s="5">
        <f t="shared" si="134"/>
        <v>0</v>
      </c>
      <c r="AI499">
        <f>IF(B499&lt;&gt;"", COUNTIFS($B$2:B499, B499), "")</f>
        <v>18</v>
      </c>
      <c r="AJ499">
        <f t="shared" si="135"/>
        <v>5</v>
      </c>
      <c r="AK499">
        <f t="shared" si="128"/>
        <v>5</v>
      </c>
      <c r="AL499">
        <f t="shared" si="136"/>
        <v>9</v>
      </c>
      <c r="AM499" t="str">
        <f t="shared" si="137"/>
        <v>September</v>
      </c>
      <c r="AN499">
        <f t="shared" si="138"/>
        <v>2023</v>
      </c>
      <c r="AO499" t="str">
        <f t="shared" si="139"/>
        <v>&gt;3</v>
      </c>
      <c r="AP499" t="str">
        <f t="shared" si="140"/>
        <v>&gt;3</v>
      </c>
      <c r="AQ499" t="str">
        <f t="shared" si="141"/>
        <v>&gt;3</v>
      </c>
    </row>
    <row r="500" spans="1:43" x14ac:dyDescent="0.3">
      <c r="A500" t="s">
        <v>33</v>
      </c>
      <c r="B500" t="s">
        <v>366</v>
      </c>
      <c r="C500" t="s">
        <v>178</v>
      </c>
      <c r="D500">
        <v>4154</v>
      </c>
      <c r="E500">
        <v>23210608</v>
      </c>
      <c r="F500" t="s">
        <v>392</v>
      </c>
      <c r="G500" t="s">
        <v>393</v>
      </c>
      <c r="H500">
        <v>100</v>
      </c>
      <c r="I500">
        <v>9850</v>
      </c>
      <c r="J500">
        <v>985000</v>
      </c>
      <c r="K500" s="7" t="str">
        <f>IFERROR(IF(B500&lt;&gt;"", TEXT(VLOOKUP(B500, 'Expected Date'!A:B, 2, FALSE) + DATE(RIGHT(C500,2),MID(C500,4,2),LEFT(C500,2)), "dd/mm/yy"), ""), "")</f>
        <v>03/09/23</v>
      </c>
      <c r="L500" t="s">
        <v>38</v>
      </c>
      <c r="M500" t="s">
        <v>48</v>
      </c>
      <c r="N500" t="s">
        <v>370</v>
      </c>
      <c r="O500" t="s">
        <v>178</v>
      </c>
      <c r="P500">
        <v>23291306</v>
      </c>
      <c r="Q500" t="s">
        <v>392</v>
      </c>
      <c r="R500" t="s">
        <v>393</v>
      </c>
      <c r="S500">
        <v>15.94</v>
      </c>
      <c r="T500">
        <v>9850</v>
      </c>
      <c r="U500">
        <v>157009</v>
      </c>
      <c r="V500" t="str">
        <f t="shared" si="143"/>
        <v>Dahej</v>
      </c>
      <c r="W500" t="str">
        <f>VLOOKUP(B500, Currency!A:B, 2, FALSE)</f>
        <v>INR</v>
      </c>
      <c r="X500" t="str">
        <f t="shared" si="142"/>
        <v>Accepted</v>
      </c>
      <c r="Y500">
        <f>IFERROR(VLOOKUP(N500, Payment_Terms!A:B, 2, FALSE), "Payment term not found!")</f>
        <v>15</v>
      </c>
      <c r="Z500" t="str">
        <f>IFERROR(VLOOKUP(R500, Item_Category!A:B, 2, FALSE), "Uncategorized")</f>
        <v>Coal materials</v>
      </c>
      <c r="AA500" s="5">
        <f t="shared" si="129"/>
        <v>0</v>
      </c>
      <c r="AB500">
        <f t="shared" si="130"/>
        <v>5</v>
      </c>
      <c r="AC500" s="10">
        <f t="shared" si="131"/>
        <v>-2</v>
      </c>
      <c r="AD500">
        <f t="shared" si="132"/>
        <v>5</v>
      </c>
      <c r="AE500" s="10">
        <f t="shared" si="133"/>
        <v>0</v>
      </c>
      <c r="AF500" s="5">
        <f t="shared" si="126"/>
        <v>1</v>
      </c>
      <c r="AG500" s="5">
        <f t="shared" si="127"/>
        <v>1</v>
      </c>
      <c r="AH500" s="5">
        <f t="shared" si="134"/>
        <v>0</v>
      </c>
      <c r="AI500">
        <f>IF(B500&lt;&gt;"", COUNTIFS($B$2:B500, B500), "")</f>
        <v>40</v>
      </c>
      <c r="AJ500">
        <f t="shared" si="135"/>
        <v>5</v>
      </c>
      <c r="AK500">
        <f t="shared" si="128"/>
        <v>5</v>
      </c>
      <c r="AL500">
        <f t="shared" si="136"/>
        <v>9</v>
      </c>
      <c r="AM500" t="str">
        <f t="shared" si="137"/>
        <v>September</v>
      </c>
      <c r="AN500">
        <f t="shared" si="138"/>
        <v>2023</v>
      </c>
      <c r="AO500" t="str">
        <f t="shared" si="139"/>
        <v>&gt;3</v>
      </c>
      <c r="AP500" t="str">
        <f t="shared" si="140"/>
        <v>&gt;3</v>
      </c>
      <c r="AQ500" t="str">
        <f t="shared" si="141"/>
        <v>&gt;3</v>
      </c>
    </row>
    <row r="501" spans="1:43" x14ac:dyDescent="0.3">
      <c r="A501" t="s">
        <v>33</v>
      </c>
      <c r="B501" t="s">
        <v>366</v>
      </c>
      <c r="C501" t="s">
        <v>178</v>
      </c>
      <c r="D501">
        <v>4154</v>
      </c>
      <c r="E501">
        <v>23210608</v>
      </c>
      <c r="F501" t="s">
        <v>392</v>
      </c>
      <c r="G501" t="s">
        <v>393</v>
      </c>
      <c r="H501">
        <v>100</v>
      </c>
      <c r="I501">
        <v>9850</v>
      </c>
      <c r="J501">
        <v>985000</v>
      </c>
      <c r="K501" s="7" t="str">
        <f>IFERROR(IF(B501&lt;&gt;"", TEXT(VLOOKUP(B501, 'Expected Date'!A:B, 2, FALSE) + DATE(RIGHT(C501,2),MID(C501,4,2),LEFT(C501,2)), "dd/mm/yy"), ""), "")</f>
        <v>03/09/23</v>
      </c>
      <c r="L501" t="s">
        <v>38</v>
      </c>
      <c r="M501" t="s">
        <v>48</v>
      </c>
      <c r="N501" t="s">
        <v>370</v>
      </c>
      <c r="O501" t="s">
        <v>493</v>
      </c>
      <c r="P501">
        <v>23291307</v>
      </c>
      <c r="Q501" t="s">
        <v>392</v>
      </c>
      <c r="R501" t="s">
        <v>393</v>
      </c>
      <c r="S501">
        <v>28.11</v>
      </c>
      <c r="T501">
        <v>9850</v>
      </c>
      <c r="U501">
        <v>276883.5</v>
      </c>
      <c r="V501" t="str">
        <f t="shared" si="143"/>
        <v>Dahej</v>
      </c>
      <c r="W501" t="str">
        <f>VLOOKUP(B501, Currency!A:B, 2, FALSE)</f>
        <v>INR</v>
      </c>
      <c r="X501" t="str">
        <f t="shared" si="142"/>
        <v>Accepted</v>
      </c>
      <c r="Y501">
        <f>IFERROR(VLOOKUP(N501, Payment_Terms!A:B, 2, FALSE), "Payment term not found!")</f>
        <v>15</v>
      </c>
      <c r="Z501" t="str">
        <f>IFERROR(VLOOKUP(R501, Item_Category!A:B, 2, FALSE), "Uncategorized")</f>
        <v>Coal materials</v>
      </c>
      <c r="AA501" s="5">
        <f t="shared" si="129"/>
        <v>0</v>
      </c>
      <c r="AB501">
        <f t="shared" si="130"/>
        <v>5</v>
      </c>
      <c r="AC501" s="10">
        <f t="shared" si="131"/>
        <v>0</v>
      </c>
      <c r="AD501">
        <f t="shared" si="132"/>
        <v>5</v>
      </c>
      <c r="AE501" s="10">
        <f t="shared" si="133"/>
        <v>2</v>
      </c>
      <c r="AF501" s="5">
        <f t="shared" si="126"/>
        <v>1</v>
      </c>
      <c r="AG501" s="5">
        <f t="shared" si="127"/>
        <v>1</v>
      </c>
      <c r="AH501" s="5">
        <f t="shared" si="134"/>
        <v>0</v>
      </c>
      <c r="AI501">
        <f>IF(B501&lt;&gt;"", COUNTIFS($B$2:B501, B501), "")</f>
        <v>41</v>
      </c>
      <c r="AJ501">
        <f t="shared" si="135"/>
        <v>5</v>
      </c>
      <c r="AK501">
        <f t="shared" si="128"/>
        <v>5</v>
      </c>
      <c r="AL501">
        <f t="shared" si="136"/>
        <v>9</v>
      </c>
      <c r="AM501" t="str">
        <f t="shared" si="137"/>
        <v>September</v>
      </c>
      <c r="AN501">
        <f t="shared" si="138"/>
        <v>2023</v>
      </c>
      <c r="AO501" t="str">
        <f t="shared" si="139"/>
        <v>&gt;3</v>
      </c>
      <c r="AP501" t="str">
        <f t="shared" si="140"/>
        <v>&gt;3</v>
      </c>
      <c r="AQ501" t="str">
        <f t="shared" si="141"/>
        <v>&gt;3</v>
      </c>
    </row>
    <row r="502" spans="1:43" x14ac:dyDescent="0.3">
      <c r="A502" t="s">
        <v>33</v>
      </c>
      <c r="B502" t="s">
        <v>366</v>
      </c>
      <c r="C502" t="s">
        <v>178</v>
      </c>
      <c r="D502">
        <v>4154</v>
      </c>
      <c r="E502">
        <v>23210608</v>
      </c>
      <c r="F502" t="s">
        <v>392</v>
      </c>
      <c r="G502" t="s">
        <v>393</v>
      </c>
      <c r="H502">
        <v>100</v>
      </c>
      <c r="I502">
        <v>9850</v>
      </c>
      <c r="J502">
        <v>985000</v>
      </c>
      <c r="K502" s="7" t="str">
        <f>IFERROR(IF(B502&lt;&gt;"", TEXT(VLOOKUP(B502, 'Expected Date'!A:B, 2, FALSE) + DATE(RIGHT(C502,2),MID(C502,4,2),LEFT(C502,2)), "dd/mm/yy"), ""), "")</f>
        <v>03/09/23</v>
      </c>
      <c r="L502" t="s">
        <v>38</v>
      </c>
      <c r="M502" t="s">
        <v>48</v>
      </c>
      <c r="N502" t="s">
        <v>370</v>
      </c>
      <c r="O502" t="s">
        <v>281</v>
      </c>
      <c r="P502">
        <v>23291331</v>
      </c>
      <c r="Q502" t="s">
        <v>392</v>
      </c>
      <c r="R502" t="s">
        <v>393</v>
      </c>
      <c r="S502">
        <v>29.47</v>
      </c>
      <c r="T502">
        <v>9850</v>
      </c>
      <c r="U502">
        <v>290279.5</v>
      </c>
      <c r="V502" t="str">
        <f t="shared" si="143"/>
        <v>Dahej</v>
      </c>
      <c r="W502" t="str">
        <f>VLOOKUP(B502, Currency!A:B, 2, FALSE)</f>
        <v>INR</v>
      </c>
      <c r="X502" t="str">
        <f t="shared" si="142"/>
        <v>Accepted</v>
      </c>
      <c r="Y502">
        <f>IFERROR(VLOOKUP(N502, Payment_Terms!A:B, 2, FALSE), "Payment term not found!")</f>
        <v>15</v>
      </c>
      <c r="Z502" t="str">
        <f>IFERROR(VLOOKUP(R502, Item_Category!A:B, 2, FALSE), "Uncategorized")</f>
        <v>Coal materials</v>
      </c>
      <c r="AA502" s="5">
        <f t="shared" si="129"/>
        <v>0</v>
      </c>
      <c r="AB502">
        <f t="shared" si="130"/>
        <v>5</v>
      </c>
      <c r="AC502" s="10">
        <f t="shared" si="131"/>
        <v>2</v>
      </c>
      <c r="AD502">
        <f t="shared" si="132"/>
        <v>5</v>
      </c>
      <c r="AE502" s="10">
        <f t="shared" si="133"/>
        <v>4</v>
      </c>
      <c r="AF502" s="5">
        <f t="shared" si="126"/>
        <v>1</v>
      </c>
      <c r="AG502" s="5">
        <f t="shared" si="127"/>
        <v>1</v>
      </c>
      <c r="AH502" s="5">
        <f t="shared" si="134"/>
        <v>0</v>
      </c>
      <c r="AI502">
        <f>IF(B502&lt;&gt;"", COUNTIFS($B$2:B502, B502), "")</f>
        <v>42</v>
      </c>
      <c r="AJ502">
        <f t="shared" si="135"/>
        <v>5</v>
      </c>
      <c r="AK502">
        <f t="shared" si="128"/>
        <v>5</v>
      </c>
      <c r="AL502">
        <f t="shared" si="136"/>
        <v>9</v>
      </c>
      <c r="AM502" t="str">
        <f t="shared" si="137"/>
        <v>September</v>
      </c>
      <c r="AN502">
        <f t="shared" si="138"/>
        <v>2023</v>
      </c>
      <c r="AO502" t="str">
        <f t="shared" si="139"/>
        <v>&gt;3</v>
      </c>
      <c r="AP502" t="str">
        <f t="shared" si="140"/>
        <v>&gt;3</v>
      </c>
      <c r="AQ502" t="str">
        <f t="shared" si="141"/>
        <v>&gt;3</v>
      </c>
    </row>
    <row r="503" spans="1:43" x14ac:dyDescent="0.3">
      <c r="A503" t="s">
        <v>33</v>
      </c>
      <c r="B503" t="str">
        <f>B284</f>
        <v>Ami Enterprises</v>
      </c>
      <c r="C503" t="s">
        <v>178</v>
      </c>
      <c r="D503">
        <v>4159</v>
      </c>
      <c r="E503">
        <v>23210609</v>
      </c>
      <c r="F503" t="s">
        <v>517</v>
      </c>
      <c r="G503" t="s">
        <v>518</v>
      </c>
      <c r="H503">
        <v>510</v>
      </c>
      <c r="I503">
        <v>33.5</v>
      </c>
      <c r="J503">
        <v>17085</v>
      </c>
      <c r="K503" s="7" t="str">
        <f>IFERROR(IF(B503&lt;&gt;"", TEXT(VLOOKUP(B503, 'Expected Date'!A:B, 2, FALSE) + DATE(RIGHT(C503,2),MID(C503,4,2),LEFT(C503,2)), "dd/mm/yy"), ""), "")</f>
        <v>11/09/23</v>
      </c>
      <c r="L503" t="s">
        <v>68</v>
      </c>
      <c r="M503" t="s">
        <v>39</v>
      </c>
      <c r="N503" t="s">
        <v>318</v>
      </c>
      <c r="O503" t="s">
        <v>284</v>
      </c>
      <c r="P503">
        <v>23291335</v>
      </c>
      <c r="Q503" t="s">
        <v>517</v>
      </c>
      <c r="R503" t="s">
        <v>518</v>
      </c>
      <c r="S503">
        <v>509</v>
      </c>
      <c r="T503">
        <v>33.5</v>
      </c>
      <c r="U503">
        <v>17051.5</v>
      </c>
      <c r="V503" t="str">
        <f t="shared" si="143"/>
        <v>Dahej</v>
      </c>
      <c r="W503" t="str">
        <f>VLOOKUP(B503, Currency!A:B, 2, FALSE)</f>
        <v>INR</v>
      </c>
      <c r="X503" t="str">
        <f t="shared" si="142"/>
        <v>Accepted</v>
      </c>
      <c r="Y503">
        <f>IFERROR(VLOOKUP(N503, Payment_Terms!A:B, 2, FALSE), "Payment term not found!")</f>
        <v>30</v>
      </c>
      <c r="Z503" t="str">
        <f>IFERROR(VLOOKUP(R503, Item_Category!A:B, 2, FALSE), "Uncategorized")</f>
        <v>Bags</v>
      </c>
      <c r="AA503" s="5">
        <f t="shared" si="129"/>
        <v>1.9607843137254902E-3</v>
      </c>
      <c r="AB503">
        <f t="shared" si="130"/>
        <v>4</v>
      </c>
      <c r="AC503" s="10">
        <f t="shared" si="131"/>
        <v>-7</v>
      </c>
      <c r="AD503">
        <f t="shared" si="132"/>
        <v>5</v>
      </c>
      <c r="AE503" s="10">
        <f t="shared" si="133"/>
        <v>3</v>
      </c>
      <c r="AF503" s="5">
        <f t="shared" si="126"/>
        <v>1</v>
      </c>
      <c r="AG503" s="5">
        <f t="shared" si="127"/>
        <v>1</v>
      </c>
      <c r="AH503" s="5">
        <f t="shared" si="134"/>
        <v>0</v>
      </c>
      <c r="AI503">
        <f>IF(B503&lt;&gt;"", COUNTIFS($B$2:B503, B503), "")</f>
        <v>36</v>
      </c>
      <c r="AJ503">
        <f t="shared" si="135"/>
        <v>5</v>
      </c>
      <c r="AK503">
        <f t="shared" si="128"/>
        <v>5</v>
      </c>
      <c r="AL503">
        <f t="shared" si="136"/>
        <v>9</v>
      </c>
      <c r="AM503" t="str">
        <f t="shared" si="137"/>
        <v>September</v>
      </c>
      <c r="AN503">
        <f t="shared" si="138"/>
        <v>2023</v>
      </c>
      <c r="AO503" t="str">
        <f t="shared" si="139"/>
        <v>&gt;3</v>
      </c>
      <c r="AP503" t="str">
        <f t="shared" si="140"/>
        <v>&gt;3</v>
      </c>
      <c r="AQ503" t="str">
        <f t="shared" si="141"/>
        <v>&gt;3</v>
      </c>
    </row>
    <row r="504" spans="1:43" x14ac:dyDescent="0.3">
      <c r="A504" t="s">
        <v>33</v>
      </c>
      <c r="B504" t="s">
        <v>382</v>
      </c>
      <c r="C504" t="s">
        <v>293</v>
      </c>
      <c r="D504">
        <v>3894</v>
      </c>
      <c r="E504">
        <v>23210563</v>
      </c>
      <c r="F504" t="s">
        <v>412</v>
      </c>
      <c r="G504" t="s">
        <v>413</v>
      </c>
      <c r="H504">
        <v>1000</v>
      </c>
      <c r="I504">
        <v>18</v>
      </c>
      <c r="J504">
        <v>18000</v>
      </c>
      <c r="K504" s="7" t="str">
        <f>IFERROR(IF(B504&lt;&gt;"", TEXT(VLOOKUP(B504, 'Expected Date'!A:B, 2, FALSE) + DATE(RIGHT(C504,2),MID(C504,4,2),LEFT(C504,2)), "dd/mm/yy"), ""), "")</f>
        <v>01/09/23</v>
      </c>
      <c r="L504" t="s">
        <v>38</v>
      </c>
      <c r="M504" t="s">
        <v>48</v>
      </c>
      <c r="N504" t="s">
        <v>342</v>
      </c>
      <c r="O504" t="s">
        <v>293</v>
      </c>
      <c r="P504">
        <v>23291205</v>
      </c>
      <c r="Q504" t="s">
        <v>412</v>
      </c>
      <c r="R504" t="s">
        <v>413</v>
      </c>
      <c r="S504">
        <v>1000</v>
      </c>
      <c r="T504">
        <v>18</v>
      </c>
      <c r="U504">
        <v>18000</v>
      </c>
      <c r="V504" t="str">
        <f t="shared" si="143"/>
        <v>Dahej</v>
      </c>
      <c r="W504" t="str">
        <f>VLOOKUP(B504, Currency!A:B, 2, FALSE)</f>
        <v>INR</v>
      </c>
      <c r="X504" t="str">
        <f t="shared" si="142"/>
        <v>Accepted</v>
      </c>
      <c r="Y504">
        <f>IFERROR(VLOOKUP(N504, Payment_Terms!A:B, 2, FALSE), "Payment term not found!")</f>
        <v>30</v>
      </c>
      <c r="Z504" t="str">
        <f>IFERROR(VLOOKUP(R504, Item_Category!A:B, 2, FALSE), "Uncategorized")</f>
        <v>NON FERRIC ALUM</v>
      </c>
      <c r="AA504" s="5">
        <f t="shared" si="129"/>
        <v>0</v>
      </c>
      <c r="AB504">
        <f t="shared" si="130"/>
        <v>5</v>
      </c>
      <c r="AC504" s="10">
        <f t="shared" si="131"/>
        <v>-10</v>
      </c>
      <c r="AD504">
        <f t="shared" si="132"/>
        <v>5</v>
      </c>
      <c r="AE504" s="10">
        <f t="shared" si="133"/>
        <v>0</v>
      </c>
      <c r="AF504" s="5">
        <f t="shared" si="126"/>
        <v>1</v>
      </c>
      <c r="AG504" s="5">
        <f t="shared" si="127"/>
        <v>1</v>
      </c>
      <c r="AH504" s="5">
        <f t="shared" si="134"/>
        <v>0</v>
      </c>
      <c r="AI504">
        <f>IF(B504&lt;&gt;"", COUNTIFS($B$2:B504, B504), "")</f>
        <v>16</v>
      </c>
      <c r="AJ504">
        <f t="shared" si="135"/>
        <v>5</v>
      </c>
      <c r="AK504">
        <f t="shared" si="128"/>
        <v>5</v>
      </c>
      <c r="AL504">
        <f t="shared" si="136"/>
        <v>8</v>
      </c>
      <c r="AM504" t="str">
        <f t="shared" si="137"/>
        <v>August</v>
      </c>
      <c r="AN504">
        <f t="shared" si="138"/>
        <v>2023</v>
      </c>
      <c r="AO504" t="str">
        <f t="shared" si="139"/>
        <v>&gt;3</v>
      </c>
      <c r="AP504" t="str">
        <f t="shared" si="140"/>
        <v>&gt;3</v>
      </c>
      <c r="AQ504" t="str">
        <f t="shared" si="141"/>
        <v>&gt;3</v>
      </c>
    </row>
    <row r="505" spans="1:43" x14ac:dyDescent="0.3">
      <c r="A505" t="s">
        <v>33</v>
      </c>
      <c r="B505" t="s">
        <v>122</v>
      </c>
      <c r="C505" t="s">
        <v>192</v>
      </c>
      <c r="D505">
        <v>3695</v>
      </c>
      <c r="E505">
        <v>23210540</v>
      </c>
      <c r="F505" t="s">
        <v>405</v>
      </c>
      <c r="G505" t="s">
        <v>406</v>
      </c>
      <c r="H505">
        <v>600</v>
      </c>
      <c r="I505">
        <v>930</v>
      </c>
      <c r="J505">
        <v>558000</v>
      </c>
      <c r="K505" s="7" t="str">
        <f>IFERROR(IF(B505&lt;&gt;"", TEXT(VLOOKUP(B505, 'Expected Date'!A:B, 2, FALSE) + DATE(RIGHT(C505,2),MID(C505,4,2),LEFT(C505,2)), "dd/mm/yy"), ""), "")</f>
        <v>29/08/23</v>
      </c>
      <c r="L505" t="s">
        <v>38</v>
      </c>
      <c r="M505" t="s">
        <v>39</v>
      </c>
      <c r="N505" t="s">
        <v>364</v>
      </c>
      <c r="O505" t="s">
        <v>246</v>
      </c>
      <c r="P505">
        <v>23291398</v>
      </c>
      <c r="Q505" t="s">
        <v>405</v>
      </c>
      <c r="R505" t="s">
        <v>406</v>
      </c>
      <c r="S505">
        <v>30</v>
      </c>
      <c r="T505">
        <v>930</v>
      </c>
      <c r="U505">
        <v>27900</v>
      </c>
      <c r="V505" t="str">
        <f t="shared" si="143"/>
        <v>Dahej</v>
      </c>
      <c r="W505" t="str">
        <f>VLOOKUP(B505, Currency!A:B, 2, FALSE)</f>
        <v>INR</v>
      </c>
      <c r="X505" t="str">
        <f t="shared" si="142"/>
        <v>Accepted</v>
      </c>
      <c r="Y505">
        <f>IFERROR(VLOOKUP(N505, Payment_Terms!A:B, 2, FALSE), "Payment term not found!")</f>
        <v>30</v>
      </c>
      <c r="Z505" t="str">
        <f>IFERROR(VLOOKUP(R505, Item_Category!A:B, 2, FALSE), "Uncategorized")</f>
        <v>Pallets</v>
      </c>
      <c r="AA505" s="5">
        <f t="shared" si="129"/>
        <v>0</v>
      </c>
      <c r="AB505">
        <f t="shared" si="130"/>
        <v>5</v>
      </c>
      <c r="AC505" s="10">
        <f t="shared" si="131"/>
        <v>14</v>
      </c>
      <c r="AD505">
        <f t="shared" si="132"/>
        <v>1</v>
      </c>
      <c r="AE505" s="10">
        <f t="shared" si="133"/>
        <v>29</v>
      </c>
      <c r="AF505" s="5">
        <f t="shared" si="126"/>
        <v>1</v>
      </c>
      <c r="AG505" s="5">
        <f t="shared" si="127"/>
        <v>1</v>
      </c>
      <c r="AH505" s="5">
        <f t="shared" si="134"/>
        <v>0</v>
      </c>
      <c r="AI505">
        <f>IF(B505&lt;&gt;"", COUNTIFS($B$2:B505, B505), "")</f>
        <v>22</v>
      </c>
      <c r="AJ505">
        <f t="shared" si="135"/>
        <v>5</v>
      </c>
      <c r="AK505">
        <f t="shared" si="128"/>
        <v>4</v>
      </c>
      <c r="AL505">
        <f t="shared" si="136"/>
        <v>8</v>
      </c>
      <c r="AM505" t="str">
        <f t="shared" si="137"/>
        <v>August</v>
      </c>
      <c r="AN505">
        <f t="shared" si="138"/>
        <v>2023</v>
      </c>
      <c r="AO505" t="str">
        <f t="shared" si="139"/>
        <v>&gt;3</v>
      </c>
      <c r="AP505" t="str">
        <f t="shared" si="140"/>
        <v>&gt;3</v>
      </c>
      <c r="AQ505" t="str">
        <f t="shared" si="141"/>
        <v>&lt;=3</v>
      </c>
    </row>
    <row r="506" spans="1:43" x14ac:dyDescent="0.3">
      <c r="A506" t="s">
        <v>33</v>
      </c>
      <c r="B506" t="s">
        <v>371</v>
      </c>
      <c r="C506" t="s">
        <v>519</v>
      </c>
      <c r="D506">
        <v>4743</v>
      </c>
      <c r="E506">
        <v>23210719</v>
      </c>
      <c r="F506" t="s">
        <v>372</v>
      </c>
      <c r="G506" t="s">
        <v>373</v>
      </c>
      <c r="H506">
        <v>20</v>
      </c>
      <c r="I506">
        <v>1100</v>
      </c>
      <c r="J506">
        <v>22000</v>
      </c>
      <c r="K506" s="7" t="str">
        <f>IFERROR(IF(B506&lt;&gt;"", TEXT(VLOOKUP(B506, 'Expected Date'!A:B, 2, FALSE) + DATE(RIGHT(C506,2),MID(C506,4,2),LEFT(C506,2)), "dd/mm/yy"), ""), "")</f>
        <v>04/10/23</v>
      </c>
      <c r="L506" t="s">
        <v>68</v>
      </c>
      <c r="M506" t="s">
        <v>48</v>
      </c>
      <c r="N506" t="s">
        <v>342</v>
      </c>
      <c r="O506" t="s">
        <v>230</v>
      </c>
      <c r="P506">
        <v>23291579</v>
      </c>
      <c r="Q506" t="s">
        <v>372</v>
      </c>
      <c r="R506" t="s">
        <v>373</v>
      </c>
      <c r="S506">
        <v>9.6300000000000008</v>
      </c>
      <c r="T506">
        <v>1100</v>
      </c>
      <c r="U506">
        <v>10593</v>
      </c>
      <c r="V506" t="str">
        <f t="shared" si="143"/>
        <v>Dahej</v>
      </c>
      <c r="W506" t="str">
        <f>VLOOKUP(B506, Currency!A:B, 2, FALSE)</f>
        <v>INR</v>
      </c>
      <c r="X506" t="str">
        <f t="shared" si="142"/>
        <v>Accepted</v>
      </c>
      <c r="Y506">
        <f>IFERROR(VLOOKUP(N506, Payment_Terms!A:B, 2, FALSE), "Payment term not found!")</f>
        <v>30</v>
      </c>
      <c r="Z506" t="str">
        <f>IFERROR(VLOOKUP(R506, Item_Category!A:B, 2, FALSE), "Uncategorized")</f>
        <v>HCL</v>
      </c>
      <c r="AA506" s="5">
        <f t="shared" si="129"/>
        <v>1.6499999999999914E-2</v>
      </c>
      <c r="AB506">
        <f t="shared" si="130"/>
        <v>4</v>
      </c>
      <c r="AC506" s="10">
        <f t="shared" si="131"/>
        <v>-1</v>
      </c>
      <c r="AD506">
        <f t="shared" si="132"/>
        <v>5</v>
      </c>
      <c r="AE506" s="10">
        <f t="shared" si="133"/>
        <v>4</v>
      </c>
      <c r="AF506" s="5">
        <f t="shared" si="126"/>
        <v>1</v>
      </c>
      <c r="AG506" s="5">
        <f t="shared" si="127"/>
        <v>1</v>
      </c>
      <c r="AH506" s="5">
        <f t="shared" si="134"/>
        <v>0</v>
      </c>
      <c r="AI506">
        <f>IF(B506&lt;&gt;"", COUNTIFS($B$2:B506, B506), "")</f>
        <v>11</v>
      </c>
      <c r="AJ506">
        <f t="shared" si="135"/>
        <v>5</v>
      </c>
      <c r="AK506">
        <f t="shared" si="128"/>
        <v>5</v>
      </c>
      <c r="AL506">
        <f t="shared" si="136"/>
        <v>9</v>
      </c>
      <c r="AM506" t="str">
        <f t="shared" si="137"/>
        <v>September</v>
      </c>
      <c r="AN506">
        <f t="shared" si="138"/>
        <v>2023</v>
      </c>
      <c r="AO506" t="str">
        <f t="shared" si="139"/>
        <v>&gt;3</v>
      </c>
      <c r="AP506" t="str">
        <f t="shared" si="140"/>
        <v>&gt;3</v>
      </c>
      <c r="AQ506" t="str">
        <f t="shared" si="141"/>
        <v>&gt;3</v>
      </c>
    </row>
    <row r="507" spans="1:43" x14ac:dyDescent="0.3">
      <c r="A507" t="s">
        <v>33</v>
      </c>
      <c r="B507" t="s">
        <v>122</v>
      </c>
      <c r="C507" t="s">
        <v>324</v>
      </c>
      <c r="D507">
        <v>2545</v>
      </c>
      <c r="E507">
        <v>23210316</v>
      </c>
      <c r="F507" t="s">
        <v>362</v>
      </c>
      <c r="G507" t="s">
        <v>363</v>
      </c>
      <c r="H507">
        <v>400</v>
      </c>
      <c r="I507">
        <v>1900</v>
      </c>
      <c r="J507">
        <v>760000</v>
      </c>
      <c r="K507" s="7" t="str">
        <f>IFERROR(IF(B507&lt;&gt;"", TEXT(VLOOKUP(B507, 'Expected Date'!A:B, 2, FALSE) + DATE(RIGHT(C507,2),MID(C507,4,2),LEFT(C507,2)), "dd/mm/yy"), ""), "")</f>
        <v>05/07/23</v>
      </c>
      <c r="L507" t="s">
        <v>38</v>
      </c>
      <c r="M507" t="s">
        <v>39</v>
      </c>
      <c r="N507" t="s">
        <v>364</v>
      </c>
      <c r="O507" t="s">
        <v>230</v>
      </c>
      <c r="P507">
        <v>23291580</v>
      </c>
      <c r="Q507" t="s">
        <v>362</v>
      </c>
      <c r="R507" t="s">
        <v>363</v>
      </c>
      <c r="S507">
        <v>20</v>
      </c>
      <c r="T507">
        <v>1900</v>
      </c>
      <c r="U507">
        <v>38000</v>
      </c>
      <c r="V507" t="str">
        <f t="shared" si="143"/>
        <v>Dahej</v>
      </c>
      <c r="W507" t="str">
        <f>VLOOKUP(B507, Currency!A:B, 2, FALSE)</f>
        <v>INR</v>
      </c>
      <c r="X507" t="str">
        <f t="shared" si="142"/>
        <v>Accepted</v>
      </c>
      <c r="Y507">
        <f>IFERROR(VLOOKUP(N507, Payment_Terms!A:B, 2, FALSE), "Payment term not found!")</f>
        <v>30</v>
      </c>
      <c r="Z507" t="str">
        <f>IFERROR(VLOOKUP(R507, Item_Category!A:B, 2, FALSE), "Uncategorized")</f>
        <v>Pallets</v>
      </c>
      <c r="AA507" s="5">
        <f t="shared" si="129"/>
        <v>0</v>
      </c>
      <c r="AB507">
        <f t="shared" si="130"/>
        <v>5</v>
      </c>
      <c r="AC507" s="10">
        <f t="shared" si="131"/>
        <v>90</v>
      </c>
      <c r="AD507">
        <f t="shared" si="132"/>
        <v>1</v>
      </c>
      <c r="AE507" s="10">
        <f t="shared" si="133"/>
        <v>105</v>
      </c>
      <c r="AF507" s="5">
        <f t="shared" si="126"/>
        <v>1</v>
      </c>
      <c r="AG507" s="5">
        <f t="shared" si="127"/>
        <v>1</v>
      </c>
      <c r="AH507" s="5">
        <f t="shared" si="134"/>
        <v>0</v>
      </c>
      <c r="AI507">
        <f>IF(B507&lt;&gt;"", COUNTIFS($B$2:B507, B507), "")</f>
        <v>23</v>
      </c>
      <c r="AJ507">
        <f t="shared" si="135"/>
        <v>5</v>
      </c>
      <c r="AK507">
        <f t="shared" si="128"/>
        <v>4</v>
      </c>
      <c r="AL507">
        <f t="shared" si="136"/>
        <v>6</v>
      </c>
      <c r="AM507" t="str">
        <f t="shared" si="137"/>
        <v>June</v>
      </c>
      <c r="AN507">
        <f t="shared" si="138"/>
        <v>2023</v>
      </c>
      <c r="AO507" t="str">
        <f t="shared" si="139"/>
        <v>&gt;3</v>
      </c>
      <c r="AP507" t="str">
        <f t="shared" si="140"/>
        <v>&gt;3</v>
      </c>
      <c r="AQ507" t="str">
        <f t="shared" si="141"/>
        <v>&lt;=3</v>
      </c>
    </row>
    <row r="508" spans="1:43" x14ac:dyDescent="0.3">
      <c r="A508" t="s">
        <v>33</v>
      </c>
      <c r="B508" t="s">
        <v>122</v>
      </c>
      <c r="C508" t="s">
        <v>281</v>
      </c>
      <c r="D508">
        <v>4184</v>
      </c>
      <c r="E508">
        <v>23210616</v>
      </c>
      <c r="F508" t="s">
        <v>405</v>
      </c>
      <c r="G508" t="s">
        <v>406</v>
      </c>
      <c r="H508">
        <v>600</v>
      </c>
      <c r="I508">
        <v>930</v>
      </c>
      <c r="J508">
        <v>558000</v>
      </c>
      <c r="K508" s="7" t="str">
        <f>IFERROR(IF(B508&lt;&gt;"", TEXT(VLOOKUP(B508, 'Expected Date'!A:B, 2, FALSE) + DATE(RIGHT(C508,2),MID(C508,4,2),LEFT(C508,2)), "dd/mm/yy"), ""), "")</f>
        <v>20/09/23</v>
      </c>
      <c r="L508" t="s">
        <v>38</v>
      </c>
      <c r="M508" t="s">
        <v>39</v>
      </c>
      <c r="N508" t="s">
        <v>364</v>
      </c>
      <c r="O508" t="s">
        <v>246</v>
      </c>
      <c r="P508">
        <v>23291398</v>
      </c>
      <c r="Q508" t="s">
        <v>405</v>
      </c>
      <c r="R508" t="s">
        <v>406</v>
      </c>
      <c r="S508">
        <v>50</v>
      </c>
      <c r="T508">
        <v>930</v>
      </c>
      <c r="U508">
        <v>46500</v>
      </c>
      <c r="V508" t="str">
        <f t="shared" si="143"/>
        <v>Dahej</v>
      </c>
      <c r="W508" t="str">
        <f>VLOOKUP(B508, Currency!A:B, 2, FALSE)</f>
        <v>INR</v>
      </c>
      <c r="X508" t="str">
        <f t="shared" si="142"/>
        <v>Accepted</v>
      </c>
      <c r="Y508">
        <f>IFERROR(VLOOKUP(N508, Payment_Terms!A:B, 2, FALSE), "Payment term not found!")</f>
        <v>30</v>
      </c>
      <c r="Z508" t="str">
        <f>IFERROR(VLOOKUP(R508, Item_Category!A:B, 2, FALSE), "Uncategorized")</f>
        <v>Pallets</v>
      </c>
      <c r="AA508" s="5">
        <f t="shared" si="129"/>
        <v>0</v>
      </c>
      <c r="AB508">
        <f t="shared" si="130"/>
        <v>5</v>
      </c>
      <c r="AC508" s="10">
        <f t="shared" si="131"/>
        <v>-8</v>
      </c>
      <c r="AD508">
        <f t="shared" si="132"/>
        <v>5</v>
      </c>
      <c r="AE508" s="10">
        <f t="shared" si="133"/>
        <v>7</v>
      </c>
      <c r="AF508" s="5">
        <f t="shared" si="126"/>
        <v>1</v>
      </c>
      <c r="AG508" s="5">
        <f t="shared" si="127"/>
        <v>1</v>
      </c>
      <c r="AH508" s="5">
        <f t="shared" si="134"/>
        <v>0</v>
      </c>
      <c r="AI508">
        <f>IF(B508&lt;&gt;"", COUNTIFS($B$2:B508, B508), "")</f>
        <v>24</v>
      </c>
      <c r="AJ508">
        <f t="shared" si="135"/>
        <v>5</v>
      </c>
      <c r="AK508">
        <f t="shared" si="128"/>
        <v>5</v>
      </c>
      <c r="AL508">
        <f t="shared" si="136"/>
        <v>9</v>
      </c>
      <c r="AM508" t="str">
        <f t="shared" si="137"/>
        <v>September</v>
      </c>
      <c r="AN508">
        <f t="shared" si="138"/>
        <v>2023</v>
      </c>
      <c r="AO508" t="str">
        <f t="shared" si="139"/>
        <v>&gt;3</v>
      </c>
      <c r="AP508" t="str">
        <f t="shared" si="140"/>
        <v>&gt;3</v>
      </c>
      <c r="AQ508" t="str">
        <f t="shared" si="141"/>
        <v>&gt;3</v>
      </c>
    </row>
    <row r="509" spans="1:43" x14ac:dyDescent="0.3">
      <c r="A509" t="s">
        <v>33</v>
      </c>
      <c r="B509" t="s">
        <v>386</v>
      </c>
      <c r="C509" t="s">
        <v>154</v>
      </c>
      <c r="D509">
        <v>4527</v>
      </c>
      <c r="E509">
        <v>23210681</v>
      </c>
      <c r="F509" t="s">
        <v>510</v>
      </c>
      <c r="G509" t="s">
        <v>511</v>
      </c>
      <c r="H509">
        <v>60</v>
      </c>
      <c r="I509">
        <v>450</v>
      </c>
      <c r="J509">
        <v>27000</v>
      </c>
      <c r="K509" s="7" t="str">
        <f>IFERROR(IF(B509&lt;&gt;"", TEXT(VLOOKUP(B509, 'Expected Date'!A:B, 2, FALSE) + DATE(RIGHT(C509,2),MID(C509,4,2),LEFT(C509,2)), "dd/mm/yy"), ""), "")</f>
        <v>25/09/23</v>
      </c>
      <c r="L509" t="s">
        <v>38</v>
      </c>
      <c r="M509" t="s">
        <v>48</v>
      </c>
      <c r="N509" t="s">
        <v>342</v>
      </c>
      <c r="O509" t="s">
        <v>512</v>
      </c>
      <c r="P509">
        <v>23291516</v>
      </c>
      <c r="Q509" t="s">
        <v>510</v>
      </c>
      <c r="R509" t="s">
        <v>511</v>
      </c>
      <c r="S509">
        <v>60</v>
      </c>
      <c r="T509">
        <v>450</v>
      </c>
      <c r="U509">
        <v>27000</v>
      </c>
      <c r="V509" t="str">
        <f t="shared" si="143"/>
        <v>Dahej</v>
      </c>
      <c r="W509" t="str">
        <f>VLOOKUP(B509, Currency!A:B, 2, FALSE)</f>
        <v>INR</v>
      </c>
      <c r="X509" t="str">
        <f t="shared" si="142"/>
        <v>Accepted</v>
      </c>
      <c r="Y509">
        <f>IFERROR(VLOOKUP(N509, Payment_Terms!A:B, 2, FALSE), "Payment term not found!")</f>
        <v>30</v>
      </c>
      <c r="Z509" t="str">
        <f>IFERROR(VLOOKUP(R509, Item_Category!A:B, 2, FALSE), "Uncategorized")</f>
        <v>Ply sheets</v>
      </c>
      <c r="AA509" s="5">
        <f t="shared" si="129"/>
        <v>0</v>
      </c>
      <c r="AB509">
        <f t="shared" si="130"/>
        <v>5</v>
      </c>
      <c r="AC509" s="10">
        <f t="shared" si="131"/>
        <v>-1</v>
      </c>
      <c r="AD509">
        <f t="shared" si="132"/>
        <v>5</v>
      </c>
      <c r="AE509" s="10">
        <f t="shared" si="133"/>
        <v>4</v>
      </c>
      <c r="AF509" s="5">
        <f t="shared" si="126"/>
        <v>1</v>
      </c>
      <c r="AG509" s="5">
        <f t="shared" si="127"/>
        <v>1</v>
      </c>
      <c r="AH509" s="5">
        <f t="shared" si="134"/>
        <v>0</v>
      </c>
      <c r="AI509">
        <f>IF(B509&lt;&gt;"", COUNTIFS($B$2:B509, B509), "")</f>
        <v>19</v>
      </c>
      <c r="AJ509">
        <f t="shared" si="135"/>
        <v>5</v>
      </c>
      <c r="AK509">
        <f t="shared" si="128"/>
        <v>5</v>
      </c>
      <c r="AL509">
        <f t="shared" si="136"/>
        <v>9</v>
      </c>
      <c r="AM509" t="str">
        <f t="shared" si="137"/>
        <v>September</v>
      </c>
      <c r="AN509">
        <f t="shared" si="138"/>
        <v>2023</v>
      </c>
      <c r="AO509" t="str">
        <f t="shared" si="139"/>
        <v>&gt;3</v>
      </c>
      <c r="AP509" t="str">
        <f t="shared" si="140"/>
        <v>&gt;3</v>
      </c>
      <c r="AQ509" t="str">
        <f t="shared" si="141"/>
        <v>&gt;3</v>
      </c>
    </row>
    <row r="510" spans="1:43" x14ac:dyDescent="0.3">
      <c r="A510" t="s">
        <v>111</v>
      </c>
      <c r="B510" t="s">
        <v>309</v>
      </c>
      <c r="C510" t="s">
        <v>224</v>
      </c>
      <c r="D510">
        <v>1931</v>
      </c>
      <c r="E510">
        <v>23220021</v>
      </c>
      <c r="F510" t="s">
        <v>375</v>
      </c>
      <c r="G510" t="s">
        <v>311</v>
      </c>
      <c r="H510">
        <v>2000</v>
      </c>
      <c r="I510">
        <v>310</v>
      </c>
      <c r="J510">
        <v>620000</v>
      </c>
      <c r="K510" s="7" t="str">
        <f>IFERROR(IF(B510&lt;&gt;"", TEXT(VLOOKUP(B510, 'Expected Date'!A:B, 2, FALSE) + DATE(RIGHT(C510,2),MID(C510,4,2),LEFT(C510,2)), "dd/mm/yy"), ""), "")</f>
        <v>28/05/23</v>
      </c>
      <c r="L510" t="s">
        <v>38</v>
      </c>
      <c r="M510" t="s">
        <v>48</v>
      </c>
      <c r="N510" t="s">
        <v>377</v>
      </c>
      <c r="O510" t="s">
        <v>138</v>
      </c>
      <c r="P510">
        <v>23290630</v>
      </c>
      <c r="Q510" t="s">
        <v>375</v>
      </c>
      <c r="R510" t="s">
        <v>311</v>
      </c>
      <c r="S510">
        <v>2000</v>
      </c>
      <c r="T510">
        <v>310</v>
      </c>
      <c r="U510">
        <v>620000</v>
      </c>
      <c r="V510" t="str">
        <f t="shared" si="143"/>
        <v>Dahej</v>
      </c>
      <c r="W510" t="str">
        <f>VLOOKUP(B510, Currency!A:B, 2, FALSE)</f>
        <v>INR</v>
      </c>
      <c r="X510" t="str">
        <f t="shared" si="142"/>
        <v>Accepted</v>
      </c>
      <c r="Y510">
        <f>IFERROR(VLOOKUP(N510, Payment_Terms!A:B, 2, FALSE), "Payment term not found!")</f>
        <v>30</v>
      </c>
      <c r="Z510" t="str">
        <f>IFERROR(VLOOKUP(R510, Item_Category!A:B, 2, FALSE), "Uncategorized")</f>
        <v>CROSSCARMELLOSE SODIUM</v>
      </c>
      <c r="AA510" s="5">
        <f t="shared" si="129"/>
        <v>0</v>
      </c>
      <c r="AB510">
        <f t="shared" si="130"/>
        <v>5</v>
      </c>
      <c r="AC510" s="10">
        <f t="shared" si="131"/>
        <v>0</v>
      </c>
      <c r="AD510">
        <f t="shared" si="132"/>
        <v>5</v>
      </c>
      <c r="AE510" s="10">
        <f t="shared" si="133"/>
        <v>10</v>
      </c>
      <c r="AF510" s="5">
        <f t="shared" si="126"/>
        <v>1</v>
      </c>
      <c r="AG510" s="5">
        <f t="shared" si="127"/>
        <v>0.77</v>
      </c>
      <c r="AH510" s="5">
        <f t="shared" si="134"/>
        <v>0.23</v>
      </c>
      <c r="AI510">
        <f>IF(B510&lt;&gt;"", COUNTIFS($B$2:B510, B510), "")</f>
        <v>6</v>
      </c>
      <c r="AJ510">
        <f t="shared" si="135"/>
        <v>1</v>
      </c>
      <c r="AK510">
        <f t="shared" si="128"/>
        <v>4</v>
      </c>
      <c r="AL510">
        <f t="shared" si="136"/>
        <v>5</v>
      </c>
      <c r="AM510" t="str">
        <f t="shared" si="137"/>
        <v>May</v>
      </c>
      <c r="AN510">
        <f t="shared" si="138"/>
        <v>2023</v>
      </c>
      <c r="AO510" t="str">
        <f t="shared" si="139"/>
        <v>&lt;=3</v>
      </c>
      <c r="AP510" t="str">
        <f t="shared" si="140"/>
        <v>&gt;3</v>
      </c>
      <c r="AQ510" t="str">
        <f t="shared" si="141"/>
        <v>&gt;3</v>
      </c>
    </row>
    <row r="511" spans="1:43" x14ac:dyDescent="0.3">
      <c r="A511" t="s">
        <v>33</v>
      </c>
      <c r="B511" t="s">
        <v>429</v>
      </c>
      <c r="C511" t="s">
        <v>60</v>
      </c>
      <c r="D511">
        <v>2598</v>
      </c>
      <c r="E511">
        <v>23210324</v>
      </c>
      <c r="F511" t="s">
        <v>430</v>
      </c>
      <c r="G511" t="s">
        <v>431</v>
      </c>
      <c r="H511">
        <v>2500</v>
      </c>
      <c r="I511">
        <v>8.1999999999999993</v>
      </c>
      <c r="J511">
        <v>20500</v>
      </c>
      <c r="K511" s="7" t="str">
        <f>IFERROR(IF(B511&lt;&gt;"", TEXT(VLOOKUP(B511, 'Expected Date'!A:B, 2, FALSE) + DATE(RIGHT(C511,2),MID(C511,4,2),LEFT(C511,2)), "dd/mm/yy"), ""), "")</f>
        <v>01/07/23</v>
      </c>
      <c r="L511" t="s">
        <v>38</v>
      </c>
      <c r="M511" t="s">
        <v>48</v>
      </c>
      <c r="N511" t="s">
        <v>299</v>
      </c>
      <c r="O511" t="s">
        <v>139</v>
      </c>
      <c r="P511">
        <v>23290636</v>
      </c>
      <c r="Q511" t="s">
        <v>430</v>
      </c>
      <c r="R511" t="s">
        <v>431</v>
      </c>
      <c r="S511">
        <v>2500</v>
      </c>
      <c r="T511">
        <v>8.1999999999999993</v>
      </c>
      <c r="U511">
        <v>20500</v>
      </c>
      <c r="V511" t="str">
        <f t="shared" si="143"/>
        <v>Dahej</v>
      </c>
      <c r="W511" t="str">
        <f>VLOOKUP(B511, Currency!A:B, 2, FALSE)</f>
        <v>INR</v>
      </c>
      <c r="X511" t="str">
        <f t="shared" si="142"/>
        <v>Accepted</v>
      </c>
      <c r="Y511">
        <f>IFERROR(VLOOKUP(N511, Payment_Terms!A:B, 2, FALSE), "Payment term not found!")</f>
        <v>60</v>
      </c>
      <c r="Z511" t="str">
        <f>IFERROR(VLOOKUP(R511, Item_Category!A:B, 2, FALSE), "Uncategorized")</f>
        <v>Lime</v>
      </c>
      <c r="AA511" s="5">
        <f t="shared" si="129"/>
        <v>0</v>
      </c>
      <c r="AB511">
        <f t="shared" si="130"/>
        <v>5</v>
      </c>
      <c r="AC511" s="10">
        <f t="shared" si="131"/>
        <v>-3</v>
      </c>
      <c r="AD511">
        <f t="shared" si="132"/>
        <v>5</v>
      </c>
      <c r="AE511" s="10">
        <f t="shared" si="133"/>
        <v>2</v>
      </c>
      <c r="AF511" s="5">
        <f t="shared" si="126"/>
        <v>1</v>
      </c>
      <c r="AG511" s="5">
        <f t="shared" si="127"/>
        <v>1</v>
      </c>
      <c r="AH511" s="5">
        <f t="shared" si="134"/>
        <v>0</v>
      </c>
      <c r="AI511">
        <f>IF(B511&lt;&gt;"", COUNTIFS($B$2:B511, B511), "")</f>
        <v>6</v>
      </c>
      <c r="AJ511">
        <f t="shared" si="135"/>
        <v>5</v>
      </c>
      <c r="AK511">
        <f t="shared" si="128"/>
        <v>5</v>
      </c>
      <c r="AL511">
        <f t="shared" si="136"/>
        <v>6</v>
      </c>
      <c r="AM511" t="str">
        <f t="shared" si="137"/>
        <v>June</v>
      </c>
      <c r="AN511">
        <f t="shared" si="138"/>
        <v>2023</v>
      </c>
      <c r="AO511" t="str">
        <f t="shared" si="139"/>
        <v>&gt;3</v>
      </c>
      <c r="AP511" t="str">
        <f t="shared" si="140"/>
        <v>&gt;3</v>
      </c>
      <c r="AQ511" t="str">
        <f t="shared" si="141"/>
        <v>&gt;3</v>
      </c>
    </row>
    <row r="512" spans="1:43" x14ac:dyDescent="0.3">
      <c r="A512" t="s">
        <v>33</v>
      </c>
      <c r="B512" t="s">
        <v>520</v>
      </c>
      <c r="C512" t="s">
        <v>365</v>
      </c>
      <c r="D512">
        <v>3488</v>
      </c>
      <c r="E512">
        <v>23210481</v>
      </c>
      <c r="F512" t="s">
        <v>387</v>
      </c>
      <c r="G512" t="s">
        <v>388</v>
      </c>
      <c r="H512">
        <v>50</v>
      </c>
      <c r="I512">
        <v>95</v>
      </c>
      <c r="J512">
        <v>4750</v>
      </c>
      <c r="K512" s="7" t="str">
        <f>IFERROR(IF(B512&lt;&gt;"", TEXT(VLOOKUP(B512, 'Expected Date'!A:B, 2, FALSE) + DATE(RIGHT(C512,2),MID(C512,4,2),LEFT(C512,2)), "dd/mm/yy"), ""), "")</f>
        <v>31/07/23</v>
      </c>
      <c r="L512" t="s">
        <v>38</v>
      </c>
      <c r="M512" t="s">
        <v>48</v>
      </c>
      <c r="N512" t="s">
        <v>342</v>
      </c>
      <c r="O512" t="s">
        <v>198</v>
      </c>
      <c r="P512">
        <v>23290999</v>
      </c>
      <c r="Q512" t="s">
        <v>387</v>
      </c>
      <c r="R512" t="s">
        <v>388</v>
      </c>
      <c r="S512">
        <v>50</v>
      </c>
      <c r="T512">
        <v>95</v>
      </c>
      <c r="U512">
        <v>4750</v>
      </c>
      <c r="V512" t="str">
        <f t="shared" si="143"/>
        <v>Dahej</v>
      </c>
      <c r="W512" t="str">
        <f>VLOOKUP(B512, Currency!A:B, 2, FALSE)</f>
        <v>INR</v>
      </c>
      <c r="X512" t="str">
        <f t="shared" si="142"/>
        <v>Accepted</v>
      </c>
      <c r="Y512">
        <f>IFERROR(VLOOKUP(N512, Payment_Terms!A:B, 2, FALSE), "Payment term not found!")</f>
        <v>30</v>
      </c>
      <c r="Z512" t="str">
        <f>IFERROR(VLOOKUP(R512, Item_Category!A:B, 2, FALSE), "Uncategorized")</f>
        <v>Clips</v>
      </c>
      <c r="AA512" s="5">
        <f t="shared" si="129"/>
        <v>0</v>
      </c>
      <c r="AB512">
        <f t="shared" si="130"/>
        <v>5</v>
      </c>
      <c r="AC512" s="10">
        <f t="shared" si="131"/>
        <v>0</v>
      </c>
      <c r="AD512">
        <f t="shared" si="132"/>
        <v>5</v>
      </c>
      <c r="AE512" s="10">
        <f t="shared" si="133"/>
        <v>2</v>
      </c>
      <c r="AF512" s="5">
        <f t="shared" si="126"/>
        <v>1</v>
      </c>
      <c r="AG512" s="5">
        <f t="shared" si="127"/>
        <v>1</v>
      </c>
      <c r="AH512" s="5">
        <f t="shared" si="134"/>
        <v>0</v>
      </c>
      <c r="AI512">
        <f>IF(B512&lt;&gt;"", COUNTIFS($B$2:B512, B512), "")</f>
        <v>1</v>
      </c>
      <c r="AJ512">
        <f t="shared" si="135"/>
        <v>5</v>
      </c>
      <c r="AK512">
        <f t="shared" si="128"/>
        <v>5</v>
      </c>
      <c r="AL512">
        <f t="shared" si="136"/>
        <v>7</v>
      </c>
      <c r="AM512" t="str">
        <f t="shared" si="137"/>
        <v>July</v>
      </c>
      <c r="AN512">
        <f t="shared" si="138"/>
        <v>2023</v>
      </c>
      <c r="AO512" t="str">
        <f t="shared" si="139"/>
        <v>&gt;3</v>
      </c>
      <c r="AP512" t="str">
        <f t="shared" si="140"/>
        <v>&gt;3</v>
      </c>
      <c r="AQ512" t="str">
        <f t="shared" si="141"/>
        <v>&gt;3</v>
      </c>
    </row>
    <row r="513" spans="1:43" x14ac:dyDescent="0.3">
      <c r="A513" t="s">
        <v>33</v>
      </c>
      <c r="B513" t="s">
        <v>395</v>
      </c>
      <c r="C513" t="s">
        <v>120</v>
      </c>
      <c r="D513">
        <v>3445</v>
      </c>
      <c r="E513">
        <v>23210471</v>
      </c>
      <c r="F513" t="s">
        <v>392</v>
      </c>
      <c r="G513" t="s">
        <v>393</v>
      </c>
      <c r="H513">
        <v>200</v>
      </c>
      <c r="I513">
        <v>10500</v>
      </c>
      <c r="J513">
        <v>2100000</v>
      </c>
      <c r="K513" s="7" t="str">
        <f>IFERROR(IF(B513&lt;&gt;"", TEXT(VLOOKUP(B513, 'Expected Date'!A:B, 2, FALSE) + DATE(RIGHT(C513,2),MID(C513,4,2),LEFT(C513,2)), "dd/mm/yy"), ""), "")</f>
        <v>25/07/23</v>
      </c>
      <c r="L513" t="s">
        <v>68</v>
      </c>
      <c r="M513" t="s">
        <v>48</v>
      </c>
      <c r="N513" t="s">
        <v>370</v>
      </c>
      <c r="O513" t="s">
        <v>476</v>
      </c>
      <c r="P513">
        <v>23291125</v>
      </c>
      <c r="Q513" t="s">
        <v>392</v>
      </c>
      <c r="R513" t="s">
        <v>393</v>
      </c>
      <c r="S513">
        <v>24.92</v>
      </c>
      <c r="T513">
        <v>10500</v>
      </c>
      <c r="U513">
        <v>261660</v>
      </c>
      <c r="V513" t="str">
        <f t="shared" si="143"/>
        <v>Dahej</v>
      </c>
      <c r="W513" t="str">
        <f>VLOOKUP(B513, Currency!A:B, 2, FALSE)</f>
        <v>INR</v>
      </c>
      <c r="X513" t="str">
        <f t="shared" si="142"/>
        <v>Accepted</v>
      </c>
      <c r="Y513">
        <f>IFERROR(VLOOKUP(N513, Payment_Terms!A:B, 2, FALSE), "Payment term not found!")</f>
        <v>15</v>
      </c>
      <c r="Z513" t="str">
        <f>IFERROR(VLOOKUP(R513, Item_Category!A:B, 2, FALSE), "Uncategorized")</f>
        <v>Coal materials</v>
      </c>
      <c r="AA513" s="5">
        <f t="shared" si="129"/>
        <v>4.2950000000000016E-2</v>
      </c>
      <c r="AB513">
        <f t="shared" si="130"/>
        <v>3</v>
      </c>
      <c r="AC513" s="10">
        <f t="shared" si="131"/>
        <v>21</v>
      </c>
      <c r="AD513">
        <f t="shared" si="132"/>
        <v>1</v>
      </c>
      <c r="AE513" s="10">
        <f t="shared" si="133"/>
        <v>26</v>
      </c>
      <c r="AF513" s="5">
        <f t="shared" si="126"/>
        <v>1</v>
      </c>
      <c r="AG513" s="5">
        <f t="shared" si="127"/>
        <v>1</v>
      </c>
      <c r="AH513" s="5">
        <f t="shared" si="134"/>
        <v>0</v>
      </c>
      <c r="AI513">
        <f>IF(B513&lt;&gt;"", COUNTIFS($B$2:B513, B513), "")</f>
        <v>20</v>
      </c>
      <c r="AJ513">
        <f t="shared" si="135"/>
        <v>5</v>
      </c>
      <c r="AK513">
        <f t="shared" si="128"/>
        <v>4</v>
      </c>
      <c r="AL513">
        <f t="shared" si="136"/>
        <v>7</v>
      </c>
      <c r="AM513" t="str">
        <f t="shared" si="137"/>
        <v>July</v>
      </c>
      <c r="AN513">
        <f t="shared" si="138"/>
        <v>2023</v>
      </c>
      <c r="AO513" t="str">
        <f t="shared" si="139"/>
        <v>&gt;3</v>
      </c>
      <c r="AP513" t="str">
        <f t="shared" si="140"/>
        <v>&lt;=3</v>
      </c>
      <c r="AQ513" t="str">
        <f t="shared" si="141"/>
        <v>&lt;=3</v>
      </c>
    </row>
    <row r="514" spans="1:43" x14ac:dyDescent="0.3">
      <c r="A514" t="s">
        <v>33</v>
      </c>
      <c r="B514" t="s">
        <v>395</v>
      </c>
      <c r="C514" t="s">
        <v>120</v>
      </c>
      <c r="D514">
        <v>3445</v>
      </c>
      <c r="E514">
        <v>23210471</v>
      </c>
      <c r="F514" t="s">
        <v>392</v>
      </c>
      <c r="G514" t="s">
        <v>393</v>
      </c>
      <c r="H514">
        <v>200</v>
      </c>
      <c r="I514">
        <v>10500</v>
      </c>
      <c r="J514">
        <v>2100000</v>
      </c>
      <c r="K514" s="7" t="str">
        <f>IFERROR(IF(B514&lt;&gt;"", TEXT(VLOOKUP(B514, 'Expected Date'!A:B, 2, FALSE) + DATE(RIGHT(C514,2),MID(C514,4,2),LEFT(C514,2)), "dd/mm/yy"), ""), "")</f>
        <v>25/07/23</v>
      </c>
      <c r="L514" t="s">
        <v>68</v>
      </c>
      <c r="M514" t="s">
        <v>48</v>
      </c>
      <c r="N514" t="s">
        <v>370</v>
      </c>
      <c r="O514" t="s">
        <v>365</v>
      </c>
      <c r="P514">
        <v>23290976</v>
      </c>
      <c r="Q514" t="s">
        <v>392</v>
      </c>
      <c r="R514" t="s">
        <v>393</v>
      </c>
      <c r="S514">
        <v>27.54</v>
      </c>
      <c r="T514">
        <v>10500</v>
      </c>
      <c r="U514">
        <v>289170</v>
      </c>
      <c r="V514" t="str">
        <f t="shared" si="143"/>
        <v>Dahej</v>
      </c>
      <c r="W514" t="str">
        <f>VLOOKUP(B514, Currency!A:B, 2, FALSE)</f>
        <v>INR</v>
      </c>
      <c r="X514" t="str">
        <f t="shared" si="142"/>
        <v>Accepted</v>
      </c>
      <c r="Y514">
        <f>IFERROR(VLOOKUP(N514, Payment_Terms!A:B, 2, FALSE), "Payment term not found!")</f>
        <v>15</v>
      </c>
      <c r="Z514" t="str">
        <f>IFERROR(VLOOKUP(R514, Item_Category!A:B, 2, FALSE), "Uncategorized")</f>
        <v>Coal materials</v>
      </c>
      <c r="AA514" s="5">
        <f t="shared" si="129"/>
        <v>4.2950000000000016E-2</v>
      </c>
      <c r="AB514">
        <f t="shared" si="130"/>
        <v>3</v>
      </c>
      <c r="AC514" s="10">
        <f t="shared" si="131"/>
        <v>4</v>
      </c>
      <c r="AD514">
        <f t="shared" si="132"/>
        <v>4</v>
      </c>
      <c r="AE514" s="10">
        <f t="shared" si="133"/>
        <v>9</v>
      </c>
      <c r="AF514" s="5">
        <f t="shared" ref="AF514:AF577" si="144">IF(X514="Accepted",1,0)</f>
        <v>1</v>
      </c>
      <c r="AG514" s="5">
        <f t="shared" ref="AG514:AG577" si="145">ROUNDUP((SUMIFS(S:S, B:B, B514, X:X, "Accepted")/SUMIF(B:B,B514,S:S)),2)</f>
        <v>1</v>
      </c>
      <c r="AH514" s="5">
        <f t="shared" si="134"/>
        <v>0</v>
      </c>
      <c r="AI514">
        <f>IF(B514&lt;&gt;"", COUNTIFS($B$2:B514, B514), "")</f>
        <v>21</v>
      </c>
      <c r="AJ514">
        <f t="shared" si="135"/>
        <v>5</v>
      </c>
      <c r="AK514">
        <f t="shared" ref="AK514:AK577" si="146">_xlfn.CEILING.MATH(((0.4*AJ514)+(0.3*AD514)+(0.3*AB514)),1)</f>
        <v>5</v>
      </c>
      <c r="AL514">
        <f t="shared" si="136"/>
        <v>7</v>
      </c>
      <c r="AM514" t="str">
        <f t="shared" si="137"/>
        <v>July</v>
      </c>
      <c r="AN514">
        <f t="shared" si="138"/>
        <v>2023</v>
      </c>
      <c r="AO514" t="str">
        <f t="shared" si="139"/>
        <v>&gt;3</v>
      </c>
      <c r="AP514" t="str">
        <f t="shared" si="140"/>
        <v>&lt;=3</v>
      </c>
      <c r="AQ514" t="str">
        <f t="shared" si="141"/>
        <v>&gt;3</v>
      </c>
    </row>
    <row r="515" spans="1:43" x14ac:dyDescent="0.3">
      <c r="A515" t="s">
        <v>33</v>
      </c>
      <c r="B515" t="s">
        <v>395</v>
      </c>
      <c r="C515" t="s">
        <v>120</v>
      </c>
      <c r="D515">
        <v>3445</v>
      </c>
      <c r="E515">
        <v>23210471</v>
      </c>
      <c r="F515" t="s">
        <v>392</v>
      </c>
      <c r="G515" t="s">
        <v>393</v>
      </c>
      <c r="H515">
        <v>200</v>
      </c>
      <c r="I515">
        <v>10500</v>
      </c>
      <c r="J515">
        <v>2100000</v>
      </c>
      <c r="K515" s="7" t="str">
        <f>IFERROR(IF(B515&lt;&gt;"", TEXT(VLOOKUP(B515, 'Expected Date'!A:B, 2, FALSE) + DATE(RIGHT(C515,2),MID(C515,4,2),LEFT(C515,2)), "dd/mm/yy"), ""), "")</f>
        <v>25/07/23</v>
      </c>
      <c r="L515" t="s">
        <v>68</v>
      </c>
      <c r="M515" t="s">
        <v>48</v>
      </c>
      <c r="N515" t="s">
        <v>370</v>
      </c>
      <c r="O515" t="s">
        <v>365</v>
      </c>
      <c r="P515">
        <v>23290977</v>
      </c>
      <c r="Q515" t="s">
        <v>392</v>
      </c>
      <c r="R515" t="s">
        <v>393</v>
      </c>
      <c r="S515">
        <v>28.5</v>
      </c>
      <c r="T515">
        <v>10500</v>
      </c>
      <c r="U515">
        <v>299250</v>
      </c>
      <c r="V515" t="str">
        <f t="shared" si="143"/>
        <v>Dahej</v>
      </c>
      <c r="W515" t="str">
        <f>VLOOKUP(B515, Currency!A:B, 2, FALSE)</f>
        <v>INR</v>
      </c>
      <c r="X515" t="str">
        <f t="shared" si="142"/>
        <v>Accepted</v>
      </c>
      <c r="Y515">
        <f>IFERROR(VLOOKUP(N515, Payment_Terms!A:B, 2, FALSE), "Payment term not found!")</f>
        <v>15</v>
      </c>
      <c r="Z515" t="str">
        <f>IFERROR(VLOOKUP(R515, Item_Category!A:B, 2, FALSE), "Uncategorized")</f>
        <v>Coal materials</v>
      </c>
      <c r="AA515" s="5">
        <f t="shared" ref="AA515:AA578" si="147">IFERROR(IF(AND(E515&lt;&gt;"", G515&lt;&gt;""), MAX(0, (H515-SUMIFS(S:S, E:E, E515, G:G, G515))/H515), ""), (H515-S515)/H515)</f>
        <v>4.2950000000000016E-2</v>
      </c>
      <c r="AB515">
        <f t="shared" ref="AB515:AB578" si="148">IF(AA515&lt;=0%,5,(IF(AND(AA515&gt;0%,AA515&lt;=2%),4,IF(AND(AA515&gt;2%,AA515&lt;=5%),3,IF(AND(AA515&gt;5%,AA515&lt;10%),2,1)))))</f>
        <v>3</v>
      </c>
      <c r="AC515" s="10">
        <f t="shared" ref="AC515:AC578" si="149">DATE(RIGHT(O515,2),MID(O515,4,2),LEFT(O515,2)) - DATE(RIGHT(K515,2),MID(K515,4,2),LEFT(K515,2))</f>
        <v>4</v>
      </c>
      <c r="AD515">
        <f t="shared" ref="AD515:AD578" si="150">IF(AC515 &lt;= 2, 5, IF(AC515 &lt;= 4, 4, IF(AC515 &lt;= 7, 3, IF(AC515&lt;=10,2,1))))</f>
        <v>4</v>
      </c>
      <c r="AE515" s="10">
        <f t="shared" ref="AE515:AE578" si="151">ABS(DATE(RIGHT(O515,2),MID(O515,4,2),LEFT(O515,2)) - DATE(RIGHT(C515,2),MID(C515,4,2),LEFT(C515,2)))</f>
        <v>9</v>
      </c>
      <c r="AF515" s="5">
        <f t="shared" si="144"/>
        <v>1</v>
      </c>
      <c r="AG515" s="5">
        <f t="shared" si="145"/>
        <v>1</v>
      </c>
      <c r="AH515" s="5">
        <f t="shared" ref="AH515:AH578" si="152">ROUNDUP(ABS(100%-AG515),2)</f>
        <v>0</v>
      </c>
      <c r="AI515">
        <f>IF(B515&lt;&gt;"", COUNTIFS($B$2:B515, B515), "")</f>
        <v>22</v>
      </c>
      <c r="AJ515">
        <f t="shared" ref="AJ515:AJ578" si="153">IF(AH515=0%,5,IF(AND(AH515&gt;0%,AH515&lt;=2%),4,IF(AND(AH515&gt;2%,AH515&lt;=5%),3,IF(AND(AH515&gt;5%,AH515&lt;10%),2,1))))</f>
        <v>5</v>
      </c>
      <c r="AK515">
        <f t="shared" si="146"/>
        <v>5</v>
      </c>
      <c r="AL515">
        <f t="shared" ref="AL515:AL578" si="154">MONTH(DATE(RIGHT(C515,2),MID(C515,4,2),LEFT(C515,2)))</f>
        <v>7</v>
      </c>
      <c r="AM515" t="str">
        <f t="shared" ref="AM515:AM578" si="155">TEXT(DATE(RIGHT(C515,2),MID(C515,4,2),LEFT(C515,2)),"mmmm")</f>
        <v>July</v>
      </c>
      <c r="AN515">
        <f t="shared" ref="AN515:AN578" si="156">YEAR(DATE(VALUE(MID(C515,7,2))+2000, MID(C515,4,2), MID(C515,1,2)))</f>
        <v>2023</v>
      </c>
      <c r="AO515" t="str">
        <f t="shared" ref="AO515:AO578" si="157">IF(AJ515&lt;=3,"&lt;=3","&gt;3")</f>
        <v>&gt;3</v>
      </c>
      <c r="AP515" t="str">
        <f t="shared" ref="AP515:AP578" si="158">IF(AB515&lt;=3,"&lt;=3","&gt;3")</f>
        <v>&lt;=3</v>
      </c>
      <c r="AQ515" t="str">
        <f t="shared" ref="AQ515:AQ578" si="159">IF(AD515&lt;=3,"&lt;=3","&gt;3")</f>
        <v>&gt;3</v>
      </c>
    </row>
    <row r="516" spans="1:43" x14ac:dyDescent="0.3">
      <c r="A516" t="str">
        <f>A489</f>
        <v>Woodpulp</v>
      </c>
      <c r="B516" t="s">
        <v>140</v>
      </c>
      <c r="C516" t="s">
        <v>198</v>
      </c>
      <c r="D516">
        <v>3447</v>
      </c>
      <c r="E516">
        <v>23220051</v>
      </c>
      <c r="F516" t="s">
        <v>359</v>
      </c>
      <c r="G516" t="s">
        <v>360</v>
      </c>
      <c r="H516">
        <v>100</v>
      </c>
      <c r="I516">
        <v>830</v>
      </c>
      <c r="J516">
        <v>6739600</v>
      </c>
      <c r="K516" s="7" t="str">
        <f>IFERROR(IF(B516&lt;&gt;"", TEXT(VLOOKUP(B516, 'Expected Date'!A:B, 2, FALSE) + DATE(RIGHT(C516,2),MID(C516,4,2),LEFT(C516,2)), "dd/mm/yy"), ""), "")</f>
        <v>14/09/23</v>
      </c>
      <c r="L516" t="s">
        <v>68</v>
      </c>
      <c r="M516" t="str">
        <f>M355</f>
        <v>MT</v>
      </c>
      <c r="N516" t="s">
        <v>144</v>
      </c>
      <c r="O516" t="s">
        <v>365</v>
      </c>
      <c r="P516">
        <v>23290997</v>
      </c>
      <c r="Q516" t="s">
        <v>359</v>
      </c>
      <c r="R516" t="s">
        <v>360</v>
      </c>
      <c r="S516">
        <v>97.775000000000006</v>
      </c>
      <c r="T516">
        <v>830</v>
      </c>
      <c r="U516">
        <v>6589643.9000000004</v>
      </c>
      <c r="V516" t="str">
        <f t="shared" si="143"/>
        <v>Dahej</v>
      </c>
      <c r="W516" t="str">
        <f>VLOOKUP(B516, Currency!A:B, 2, FALSE)</f>
        <v>USD</v>
      </c>
      <c r="X516" t="str">
        <f t="shared" si="142"/>
        <v>Accepted</v>
      </c>
      <c r="Y516">
        <f>IFERROR(VLOOKUP(N516, Payment_Terms!A:B, 2, FALSE), "Payment term not found!")</f>
        <v>30</v>
      </c>
      <c r="Z516" t="str">
        <f>IFERROR(VLOOKUP(R516, Item_Category!A:B, 2, FALSE), "Uncategorized")</f>
        <v>Wood pulp</v>
      </c>
      <c r="AA516" s="5">
        <f t="shared" si="147"/>
        <v>2.2249999999999943E-2</v>
      </c>
      <c r="AB516">
        <f t="shared" si="148"/>
        <v>3</v>
      </c>
      <c r="AC516" s="10">
        <f t="shared" si="149"/>
        <v>-47</v>
      </c>
      <c r="AD516">
        <f t="shared" si="150"/>
        <v>5</v>
      </c>
      <c r="AE516" s="10">
        <f t="shared" si="151"/>
        <v>2</v>
      </c>
      <c r="AF516" s="5">
        <f t="shared" si="144"/>
        <v>1</v>
      </c>
      <c r="AG516" s="5">
        <f t="shared" si="145"/>
        <v>1</v>
      </c>
      <c r="AH516" s="5">
        <f t="shared" si="152"/>
        <v>0</v>
      </c>
      <c r="AI516">
        <f>IF(B516&lt;&gt;"", COUNTIFS($B$2:B516, B516), "")</f>
        <v>23</v>
      </c>
      <c r="AJ516">
        <f t="shared" si="153"/>
        <v>5</v>
      </c>
      <c r="AK516">
        <f t="shared" si="146"/>
        <v>5</v>
      </c>
      <c r="AL516">
        <f t="shared" si="154"/>
        <v>7</v>
      </c>
      <c r="AM516" t="str">
        <f t="shared" si="155"/>
        <v>July</v>
      </c>
      <c r="AN516">
        <f t="shared" si="156"/>
        <v>2023</v>
      </c>
      <c r="AO516" t="str">
        <f t="shared" si="157"/>
        <v>&gt;3</v>
      </c>
      <c r="AP516" t="str">
        <f t="shared" si="158"/>
        <v>&lt;=3</v>
      </c>
      <c r="AQ516" t="str">
        <f t="shared" si="159"/>
        <v>&gt;3</v>
      </c>
    </row>
    <row r="517" spans="1:43" x14ac:dyDescent="0.3">
      <c r="A517" t="str">
        <f>A516</f>
        <v>Woodpulp</v>
      </c>
      <c r="B517" t="s">
        <v>140</v>
      </c>
      <c r="C517" t="s">
        <v>71</v>
      </c>
      <c r="D517">
        <v>2730</v>
      </c>
      <c r="E517">
        <v>23220038</v>
      </c>
      <c r="F517" t="s">
        <v>359</v>
      </c>
      <c r="G517" t="s">
        <v>360</v>
      </c>
      <c r="H517">
        <v>125</v>
      </c>
      <c r="I517">
        <v>830</v>
      </c>
      <c r="J517">
        <v>8476375</v>
      </c>
      <c r="K517" s="7" t="str">
        <f>IFERROR(IF(B517&lt;&gt;"", TEXT(VLOOKUP(B517, 'Expected Date'!A:B, 2, FALSE) + DATE(RIGHT(C517,2),MID(C517,4,2),LEFT(C517,2)), "dd/mm/yy"), ""), "")</f>
        <v>06/08/23</v>
      </c>
      <c r="L517" t="s">
        <v>68</v>
      </c>
      <c r="M517" t="str">
        <f>M355</f>
        <v>MT</v>
      </c>
      <c r="N517" t="s">
        <v>144</v>
      </c>
      <c r="O517" t="s">
        <v>293</v>
      </c>
      <c r="P517">
        <v>23291204</v>
      </c>
      <c r="Q517" t="s">
        <v>359</v>
      </c>
      <c r="R517" t="s">
        <v>360</v>
      </c>
      <c r="S517">
        <v>122.255</v>
      </c>
      <c r="T517">
        <v>830</v>
      </c>
      <c r="U517">
        <v>8340969.6299999999</v>
      </c>
      <c r="V517" t="str">
        <f t="shared" si="143"/>
        <v>Dahej</v>
      </c>
      <c r="W517" t="str">
        <f>VLOOKUP(B517, Currency!A:B, 2, FALSE)</f>
        <v>USD</v>
      </c>
      <c r="X517" t="str">
        <f t="shared" si="142"/>
        <v>Accepted</v>
      </c>
      <c r="Y517">
        <f>IFERROR(VLOOKUP(N517, Payment_Terms!A:B, 2, FALSE), "Payment term not found!")</f>
        <v>30</v>
      </c>
      <c r="Z517" t="str">
        <f>IFERROR(VLOOKUP(R517, Item_Category!A:B, 2, FALSE), "Uncategorized")</f>
        <v>Wood pulp</v>
      </c>
      <c r="AA517" s="5">
        <f t="shared" si="147"/>
        <v>2.1960000000000035E-2</v>
      </c>
      <c r="AB517">
        <f t="shared" si="148"/>
        <v>3</v>
      </c>
      <c r="AC517" s="10">
        <f t="shared" si="149"/>
        <v>16</v>
      </c>
      <c r="AD517">
        <f t="shared" si="150"/>
        <v>1</v>
      </c>
      <c r="AE517" s="10">
        <f t="shared" si="151"/>
        <v>61</v>
      </c>
      <c r="AF517" s="5">
        <f t="shared" si="144"/>
        <v>1</v>
      </c>
      <c r="AG517" s="5">
        <f t="shared" si="145"/>
        <v>1</v>
      </c>
      <c r="AH517" s="5">
        <f t="shared" si="152"/>
        <v>0</v>
      </c>
      <c r="AI517">
        <f>IF(B517&lt;&gt;"", COUNTIFS($B$2:B517, B517), "")</f>
        <v>24</v>
      </c>
      <c r="AJ517">
        <f t="shared" si="153"/>
        <v>5</v>
      </c>
      <c r="AK517">
        <f t="shared" si="146"/>
        <v>4</v>
      </c>
      <c r="AL517">
        <f t="shared" si="154"/>
        <v>6</v>
      </c>
      <c r="AM517" t="str">
        <f t="shared" si="155"/>
        <v>June</v>
      </c>
      <c r="AN517">
        <f t="shared" si="156"/>
        <v>2023</v>
      </c>
      <c r="AO517" t="str">
        <f t="shared" si="157"/>
        <v>&gt;3</v>
      </c>
      <c r="AP517" t="str">
        <f t="shared" si="158"/>
        <v>&lt;=3</v>
      </c>
      <c r="AQ517" t="str">
        <f t="shared" si="159"/>
        <v>&lt;=3</v>
      </c>
    </row>
    <row r="518" spans="1:43" x14ac:dyDescent="0.3">
      <c r="A518" t="s">
        <v>33</v>
      </c>
      <c r="B518" t="s">
        <v>371</v>
      </c>
      <c r="C518" t="s">
        <v>416</v>
      </c>
      <c r="D518">
        <v>2120</v>
      </c>
      <c r="E518">
        <v>23210182</v>
      </c>
      <c r="F518" t="s">
        <v>372</v>
      </c>
      <c r="G518" t="s">
        <v>373</v>
      </c>
      <c r="H518">
        <v>50</v>
      </c>
      <c r="I518">
        <v>150</v>
      </c>
      <c r="J518">
        <v>7500</v>
      </c>
      <c r="K518" s="7" t="str">
        <f>IFERROR(IF(B518&lt;&gt;"", TEXT(VLOOKUP(B518, 'Expected Date'!A:B, 2, FALSE) + DATE(RIGHT(C518,2),MID(C518,4,2),LEFT(C518,2)), "dd/mm/yy"), ""), "")</f>
        <v>25/05/23</v>
      </c>
      <c r="L518" t="s">
        <v>68</v>
      </c>
      <c r="M518" t="s">
        <v>48</v>
      </c>
      <c r="N518" t="s">
        <v>342</v>
      </c>
      <c r="O518" t="s">
        <v>201</v>
      </c>
      <c r="P518">
        <v>23290654</v>
      </c>
      <c r="Q518" t="s">
        <v>372</v>
      </c>
      <c r="R518" t="s">
        <v>373</v>
      </c>
      <c r="S518">
        <v>9.98</v>
      </c>
      <c r="T518">
        <v>150</v>
      </c>
      <c r="U518">
        <v>1497</v>
      </c>
      <c r="V518" t="str">
        <f t="shared" si="143"/>
        <v>Dahej</v>
      </c>
      <c r="W518" t="str">
        <f>VLOOKUP(B518, Currency!A:B, 2, FALSE)</f>
        <v>INR</v>
      </c>
      <c r="X518" t="str">
        <f t="shared" si="142"/>
        <v>Accepted</v>
      </c>
      <c r="Y518">
        <f>IFERROR(VLOOKUP(N518, Payment_Terms!A:B, 2, FALSE), "Payment term not found!")</f>
        <v>30</v>
      </c>
      <c r="Z518" t="str">
        <f>IFERROR(VLOOKUP(R518, Item_Category!A:B, 2, FALSE), "Uncategorized")</f>
        <v>HCL</v>
      </c>
      <c r="AA518" s="5">
        <f t="shared" si="147"/>
        <v>6.3999999999998633E-3</v>
      </c>
      <c r="AB518">
        <f t="shared" si="148"/>
        <v>4</v>
      </c>
      <c r="AC518" s="10">
        <f t="shared" si="149"/>
        <v>37</v>
      </c>
      <c r="AD518">
        <f t="shared" si="150"/>
        <v>1</v>
      </c>
      <c r="AE518" s="10">
        <f t="shared" si="151"/>
        <v>42</v>
      </c>
      <c r="AF518" s="5">
        <f t="shared" si="144"/>
        <v>1</v>
      </c>
      <c r="AG518" s="5">
        <f t="shared" si="145"/>
        <v>1</v>
      </c>
      <c r="AH518" s="5">
        <f t="shared" si="152"/>
        <v>0</v>
      </c>
      <c r="AI518">
        <f>IF(B518&lt;&gt;"", COUNTIFS($B$2:B518, B518), "")</f>
        <v>12</v>
      </c>
      <c r="AJ518">
        <f t="shared" si="153"/>
        <v>5</v>
      </c>
      <c r="AK518">
        <f t="shared" si="146"/>
        <v>4</v>
      </c>
      <c r="AL518">
        <f t="shared" si="154"/>
        <v>5</v>
      </c>
      <c r="AM518" t="str">
        <f t="shared" si="155"/>
        <v>May</v>
      </c>
      <c r="AN518">
        <f t="shared" si="156"/>
        <v>2023</v>
      </c>
      <c r="AO518" t="str">
        <f t="shared" si="157"/>
        <v>&gt;3</v>
      </c>
      <c r="AP518" t="str">
        <f t="shared" si="158"/>
        <v>&gt;3</v>
      </c>
      <c r="AQ518" t="str">
        <f t="shared" si="159"/>
        <v>&lt;=3</v>
      </c>
    </row>
    <row r="519" spans="1:43" x14ac:dyDescent="0.3">
      <c r="A519" t="s">
        <v>33</v>
      </c>
      <c r="B519" t="s">
        <v>157</v>
      </c>
      <c r="C519" t="s">
        <v>281</v>
      </c>
      <c r="D519">
        <v>4185</v>
      </c>
      <c r="E519">
        <v>23210617</v>
      </c>
      <c r="F519" t="s">
        <v>433</v>
      </c>
      <c r="G519" t="s">
        <v>434</v>
      </c>
      <c r="H519">
        <v>600</v>
      </c>
      <c r="I519">
        <v>270</v>
      </c>
      <c r="J519">
        <v>162000</v>
      </c>
      <c r="K519" s="7" t="str">
        <f>IFERROR(IF(B519&lt;&gt;"", TEXT(VLOOKUP(B519, 'Expected Date'!A:B, 2, FALSE) + DATE(RIGHT(C519,2),MID(C519,4,2),LEFT(C519,2)), "dd/mm/yy"), ""), "")</f>
        <v>15/09/23</v>
      </c>
      <c r="L519" t="s">
        <v>38</v>
      </c>
      <c r="M519" t="s">
        <v>48</v>
      </c>
      <c r="N519" t="s">
        <v>435</v>
      </c>
      <c r="O519" t="s">
        <v>154</v>
      </c>
      <c r="P519">
        <v>23291467</v>
      </c>
      <c r="Q519" t="s">
        <v>433</v>
      </c>
      <c r="R519" t="s">
        <v>434</v>
      </c>
      <c r="S519">
        <v>600</v>
      </c>
      <c r="T519">
        <v>270</v>
      </c>
      <c r="U519">
        <v>162000</v>
      </c>
      <c r="V519" t="str">
        <f t="shared" si="143"/>
        <v>Dahej</v>
      </c>
      <c r="W519" t="str">
        <f>VLOOKUP(B519, Currency!A:B, 2, FALSE)</f>
        <v>INR</v>
      </c>
      <c r="X519" t="str">
        <f t="shared" si="142"/>
        <v>Accepted</v>
      </c>
      <c r="Y519">
        <f>IFERROR(VLOOKUP(N519, Payment_Terms!A:B, 2, FALSE), "Payment term not found!")</f>
        <v>0</v>
      </c>
      <c r="Z519" t="str">
        <f>IFERROR(VLOOKUP(R519, Item_Category!A:B, 2, FALSE), "Uncategorized")</f>
        <v>Sodium salts</v>
      </c>
      <c r="AA519" s="5">
        <f t="shared" si="147"/>
        <v>0</v>
      </c>
      <c r="AB519">
        <f t="shared" si="148"/>
        <v>5</v>
      </c>
      <c r="AC519" s="10">
        <f t="shared" si="149"/>
        <v>5</v>
      </c>
      <c r="AD519">
        <f t="shared" si="150"/>
        <v>3</v>
      </c>
      <c r="AE519" s="10">
        <f t="shared" si="151"/>
        <v>15</v>
      </c>
      <c r="AF519" s="5">
        <f t="shared" si="144"/>
        <v>1</v>
      </c>
      <c r="AG519" s="5">
        <f t="shared" si="145"/>
        <v>1</v>
      </c>
      <c r="AH519" s="5">
        <f t="shared" si="152"/>
        <v>0</v>
      </c>
      <c r="AI519">
        <f>IF(B519&lt;&gt;"", COUNTIFS($B$2:B519, B519), "")</f>
        <v>6</v>
      </c>
      <c r="AJ519">
        <f t="shared" si="153"/>
        <v>5</v>
      </c>
      <c r="AK519">
        <f t="shared" si="146"/>
        <v>5</v>
      </c>
      <c r="AL519">
        <f t="shared" si="154"/>
        <v>9</v>
      </c>
      <c r="AM519" t="str">
        <f t="shared" si="155"/>
        <v>September</v>
      </c>
      <c r="AN519">
        <f t="shared" si="156"/>
        <v>2023</v>
      </c>
      <c r="AO519" t="str">
        <f t="shared" si="157"/>
        <v>&gt;3</v>
      </c>
      <c r="AP519" t="str">
        <f t="shared" si="158"/>
        <v>&gt;3</v>
      </c>
      <c r="AQ519" t="str">
        <f t="shared" si="159"/>
        <v>&lt;=3</v>
      </c>
    </row>
    <row r="520" spans="1:43" x14ac:dyDescent="0.3">
      <c r="A520" t="str">
        <f>A517</f>
        <v>Woodpulp</v>
      </c>
      <c r="B520" t="s">
        <v>140</v>
      </c>
      <c r="C520" t="s">
        <v>71</v>
      </c>
      <c r="D520">
        <v>2731</v>
      </c>
      <c r="E520">
        <v>23220039</v>
      </c>
      <c r="F520" t="s">
        <v>359</v>
      </c>
      <c r="G520" t="s">
        <v>360</v>
      </c>
      <c r="H520">
        <v>125</v>
      </c>
      <c r="I520">
        <v>830</v>
      </c>
      <c r="J520">
        <v>8476375</v>
      </c>
      <c r="K520" s="7" t="str">
        <f>IFERROR(IF(B520&lt;&gt;"", TEXT(VLOOKUP(B520, 'Expected Date'!A:B, 2, FALSE) + DATE(RIGHT(C520,2),MID(C520,4,2),LEFT(C520,2)), "dd/mm/yy"), ""), "")</f>
        <v>06/08/23</v>
      </c>
      <c r="L520" t="s">
        <v>68</v>
      </c>
      <c r="M520" t="str">
        <f>M355</f>
        <v>MT</v>
      </c>
      <c r="N520" t="s">
        <v>144</v>
      </c>
      <c r="O520" t="s">
        <v>154</v>
      </c>
      <c r="P520">
        <v>23291482</v>
      </c>
      <c r="Q520" t="s">
        <v>359</v>
      </c>
      <c r="R520" t="s">
        <v>360</v>
      </c>
      <c r="S520">
        <v>97.403999999999996</v>
      </c>
      <c r="T520">
        <v>830</v>
      </c>
      <c r="U520">
        <v>6645485.2999999998</v>
      </c>
      <c r="V520" t="str">
        <f t="shared" si="143"/>
        <v>Dahej</v>
      </c>
      <c r="W520" t="str">
        <f>VLOOKUP(B520, Currency!A:B, 2, FALSE)</f>
        <v>USD</v>
      </c>
      <c r="X520" t="str">
        <f t="shared" si="142"/>
        <v>Accepted</v>
      </c>
      <c r="Y520">
        <f>IFERROR(VLOOKUP(N520, Payment_Terms!A:B, 2, FALSE), "Payment term not found!")</f>
        <v>30</v>
      </c>
      <c r="Z520" t="str">
        <f>IFERROR(VLOOKUP(R520, Item_Category!A:B, 2, FALSE), "Uncategorized")</f>
        <v>Wood pulp</v>
      </c>
      <c r="AA520" s="5">
        <f t="shared" si="147"/>
        <v>3.6711999999999988E-2</v>
      </c>
      <c r="AB520">
        <f t="shared" si="148"/>
        <v>3</v>
      </c>
      <c r="AC520" s="10">
        <f t="shared" si="149"/>
        <v>45</v>
      </c>
      <c r="AD520">
        <f t="shared" si="150"/>
        <v>1</v>
      </c>
      <c r="AE520" s="10">
        <f t="shared" si="151"/>
        <v>90</v>
      </c>
      <c r="AF520" s="5">
        <f t="shared" si="144"/>
        <v>1</v>
      </c>
      <c r="AG520" s="5">
        <f t="shared" si="145"/>
        <v>1</v>
      </c>
      <c r="AH520" s="5">
        <f t="shared" si="152"/>
        <v>0</v>
      </c>
      <c r="AI520">
        <f>IF(B520&lt;&gt;"", COUNTIFS($B$2:B520, B520), "")</f>
        <v>25</v>
      </c>
      <c r="AJ520">
        <f t="shared" si="153"/>
        <v>5</v>
      </c>
      <c r="AK520">
        <f t="shared" si="146"/>
        <v>4</v>
      </c>
      <c r="AL520">
        <f t="shared" si="154"/>
        <v>6</v>
      </c>
      <c r="AM520" t="str">
        <f t="shared" si="155"/>
        <v>June</v>
      </c>
      <c r="AN520">
        <f t="shared" si="156"/>
        <v>2023</v>
      </c>
      <c r="AO520" t="str">
        <f t="shared" si="157"/>
        <v>&gt;3</v>
      </c>
      <c r="AP520" t="str">
        <f t="shared" si="158"/>
        <v>&lt;=3</v>
      </c>
      <c r="AQ520" t="str">
        <f t="shared" si="159"/>
        <v>&lt;=3</v>
      </c>
    </row>
    <row r="521" spans="1:43" x14ac:dyDescent="0.3">
      <c r="A521" t="str">
        <f>A520</f>
        <v>Woodpulp</v>
      </c>
      <c r="B521" t="s">
        <v>140</v>
      </c>
      <c r="C521" t="s">
        <v>71</v>
      </c>
      <c r="D521">
        <v>2731</v>
      </c>
      <c r="E521">
        <v>23220039</v>
      </c>
      <c r="F521" t="s">
        <v>359</v>
      </c>
      <c r="G521" t="s">
        <v>360</v>
      </c>
      <c r="H521">
        <v>125</v>
      </c>
      <c r="I521">
        <v>830</v>
      </c>
      <c r="J521">
        <v>8476375</v>
      </c>
      <c r="K521" s="7" t="str">
        <f>IFERROR(IF(B521&lt;&gt;"", TEXT(VLOOKUP(B521, 'Expected Date'!A:B, 2, FALSE) + DATE(RIGHT(C521,2),MID(C521,4,2),LEFT(C521,2)), "dd/mm/yy"), ""), "")</f>
        <v>06/08/23</v>
      </c>
      <c r="L521" t="s">
        <v>68</v>
      </c>
      <c r="M521" t="str">
        <f>M355</f>
        <v>MT</v>
      </c>
      <c r="N521" t="s">
        <v>144</v>
      </c>
      <c r="O521" t="s">
        <v>247</v>
      </c>
      <c r="P521">
        <v>23291715</v>
      </c>
      <c r="Q521" t="s">
        <v>359</v>
      </c>
      <c r="R521" t="s">
        <v>360</v>
      </c>
      <c r="S521">
        <v>23.007000000000001</v>
      </c>
      <c r="T521">
        <v>830</v>
      </c>
      <c r="U521">
        <v>1571585.16</v>
      </c>
      <c r="V521" t="str">
        <f t="shared" si="143"/>
        <v>Dahej</v>
      </c>
      <c r="W521" t="str">
        <f>VLOOKUP(B521, Currency!A:B, 2, FALSE)</f>
        <v>USD</v>
      </c>
      <c r="X521" t="str">
        <f t="shared" si="142"/>
        <v>Accepted</v>
      </c>
      <c r="Y521">
        <f>IFERROR(VLOOKUP(N521, Payment_Terms!A:B, 2, FALSE), "Payment term not found!")</f>
        <v>30</v>
      </c>
      <c r="Z521" t="str">
        <f>IFERROR(VLOOKUP(R521, Item_Category!A:B, 2, FALSE), "Uncategorized")</f>
        <v>Wood pulp</v>
      </c>
      <c r="AA521" s="5">
        <f t="shared" si="147"/>
        <v>3.6711999999999988E-2</v>
      </c>
      <c r="AB521">
        <f t="shared" si="148"/>
        <v>3</v>
      </c>
      <c r="AC521" s="10">
        <f t="shared" si="149"/>
        <v>60</v>
      </c>
      <c r="AD521">
        <f t="shared" si="150"/>
        <v>1</v>
      </c>
      <c r="AE521" s="10">
        <f t="shared" si="151"/>
        <v>105</v>
      </c>
      <c r="AF521" s="5">
        <f t="shared" si="144"/>
        <v>1</v>
      </c>
      <c r="AG521" s="5">
        <f t="shared" si="145"/>
        <v>1</v>
      </c>
      <c r="AH521" s="5">
        <f t="shared" si="152"/>
        <v>0</v>
      </c>
      <c r="AI521">
        <f>IF(B521&lt;&gt;"", COUNTIFS($B$2:B521, B521), "")</f>
        <v>26</v>
      </c>
      <c r="AJ521">
        <f t="shared" si="153"/>
        <v>5</v>
      </c>
      <c r="AK521">
        <f t="shared" si="146"/>
        <v>4</v>
      </c>
      <c r="AL521">
        <f t="shared" si="154"/>
        <v>6</v>
      </c>
      <c r="AM521" t="str">
        <f t="shared" si="155"/>
        <v>June</v>
      </c>
      <c r="AN521">
        <f t="shared" si="156"/>
        <v>2023</v>
      </c>
      <c r="AO521" t="str">
        <f t="shared" si="157"/>
        <v>&gt;3</v>
      </c>
      <c r="AP521" t="str">
        <f t="shared" si="158"/>
        <v>&lt;=3</v>
      </c>
      <c r="AQ521" t="str">
        <f t="shared" si="159"/>
        <v>&lt;=3</v>
      </c>
    </row>
    <row r="522" spans="1:43" x14ac:dyDescent="0.3">
      <c r="A522" t="s">
        <v>33</v>
      </c>
      <c r="B522" t="s">
        <v>429</v>
      </c>
      <c r="C522" t="s">
        <v>164</v>
      </c>
      <c r="D522">
        <v>4244</v>
      </c>
      <c r="E522">
        <v>23210633</v>
      </c>
      <c r="F522" t="s">
        <v>430</v>
      </c>
      <c r="G522" t="s">
        <v>431</v>
      </c>
      <c r="H522">
        <v>5000</v>
      </c>
      <c r="I522">
        <v>8.3000000000000007</v>
      </c>
      <c r="J522">
        <v>41500</v>
      </c>
      <c r="K522" s="7" t="str">
        <f>IFERROR(IF(B522&lt;&gt;"", TEXT(VLOOKUP(B522, 'Expected Date'!A:B, 2, FALSE) + DATE(RIGHT(C522,2),MID(C522,4,2),LEFT(C522,2)), "dd/mm/yy"), ""), "")</f>
        <v>13/09/23</v>
      </c>
      <c r="L522" t="s">
        <v>38</v>
      </c>
      <c r="M522" t="s">
        <v>48</v>
      </c>
      <c r="N522" t="s">
        <v>299</v>
      </c>
      <c r="O522" t="s">
        <v>106</v>
      </c>
      <c r="P522">
        <v>23291366</v>
      </c>
      <c r="Q522" t="s">
        <v>430</v>
      </c>
      <c r="R522" t="s">
        <v>431</v>
      </c>
      <c r="S522">
        <v>2650</v>
      </c>
      <c r="T522">
        <v>8.3000000000000007</v>
      </c>
      <c r="U522">
        <v>21995</v>
      </c>
      <c r="V522" t="str">
        <f t="shared" si="143"/>
        <v>Dahej</v>
      </c>
      <c r="W522" t="str">
        <f>VLOOKUP(B522, Currency!A:B, 2, FALSE)</f>
        <v>INR</v>
      </c>
      <c r="X522" t="str">
        <f t="shared" si="142"/>
        <v>Accepted</v>
      </c>
      <c r="Y522">
        <f>IFERROR(VLOOKUP(N522, Payment_Terms!A:B, 2, FALSE), "Payment term not found!")</f>
        <v>60</v>
      </c>
      <c r="Z522" t="str">
        <f>IFERROR(VLOOKUP(R522, Item_Category!A:B, 2, FALSE), "Uncategorized")</f>
        <v>Lime</v>
      </c>
      <c r="AA522" s="5">
        <f t="shared" si="147"/>
        <v>0</v>
      </c>
      <c r="AB522">
        <f t="shared" si="148"/>
        <v>5</v>
      </c>
      <c r="AC522" s="10">
        <f t="shared" si="149"/>
        <v>-4</v>
      </c>
      <c r="AD522">
        <f t="shared" si="150"/>
        <v>5</v>
      </c>
      <c r="AE522" s="10">
        <f t="shared" si="151"/>
        <v>1</v>
      </c>
      <c r="AF522" s="5">
        <f t="shared" si="144"/>
        <v>1</v>
      </c>
      <c r="AG522" s="5">
        <f t="shared" si="145"/>
        <v>1</v>
      </c>
      <c r="AH522" s="5">
        <f t="shared" si="152"/>
        <v>0</v>
      </c>
      <c r="AI522">
        <f>IF(B522&lt;&gt;"", COUNTIFS($B$2:B522, B522), "")</f>
        <v>7</v>
      </c>
      <c r="AJ522">
        <f t="shared" si="153"/>
        <v>5</v>
      </c>
      <c r="AK522">
        <f t="shared" si="146"/>
        <v>5</v>
      </c>
      <c r="AL522">
        <f t="shared" si="154"/>
        <v>9</v>
      </c>
      <c r="AM522" t="str">
        <f t="shared" si="155"/>
        <v>September</v>
      </c>
      <c r="AN522">
        <f t="shared" si="156"/>
        <v>2023</v>
      </c>
      <c r="AO522" t="str">
        <f t="shared" si="157"/>
        <v>&gt;3</v>
      </c>
      <c r="AP522" t="str">
        <f t="shared" si="158"/>
        <v>&gt;3</v>
      </c>
      <c r="AQ522" t="str">
        <f t="shared" si="159"/>
        <v>&gt;3</v>
      </c>
    </row>
    <row r="523" spans="1:43" x14ac:dyDescent="0.3">
      <c r="A523" t="s">
        <v>33</v>
      </c>
      <c r="B523" t="s">
        <v>122</v>
      </c>
      <c r="C523" t="s">
        <v>519</v>
      </c>
      <c r="D523">
        <v>4691</v>
      </c>
      <c r="E523">
        <v>23210710</v>
      </c>
      <c r="F523" t="s">
        <v>362</v>
      </c>
      <c r="G523" t="s">
        <v>363</v>
      </c>
      <c r="H523">
        <v>400</v>
      </c>
      <c r="I523">
        <v>1900</v>
      </c>
      <c r="J523">
        <v>760000</v>
      </c>
      <c r="K523" s="7" t="str">
        <f>IFERROR(IF(B523&lt;&gt;"", TEXT(VLOOKUP(B523, 'Expected Date'!A:B, 2, FALSE) + DATE(RIGHT(C523,2),MID(C523,4,2),LEFT(C523,2)), "dd/mm/yy"), ""), "")</f>
        <v>14/10/23</v>
      </c>
      <c r="L523" t="s">
        <v>38</v>
      </c>
      <c r="M523" t="s">
        <v>39</v>
      </c>
      <c r="N523" t="s">
        <v>364</v>
      </c>
      <c r="O523" t="s">
        <v>230</v>
      </c>
      <c r="P523">
        <v>23291580</v>
      </c>
      <c r="Q523" t="s">
        <v>362</v>
      </c>
      <c r="R523" t="s">
        <v>363</v>
      </c>
      <c r="S523">
        <v>60</v>
      </c>
      <c r="T523">
        <v>1900</v>
      </c>
      <c r="U523">
        <v>114000</v>
      </c>
      <c r="V523" t="str">
        <f t="shared" si="143"/>
        <v>Dahej</v>
      </c>
      <c r="W523" t="str">
        <f>VLOOKUP(B523, Currency!A:B, 2, FALSE)</f>
        <v>INR</v>
      </c>
      <c r="X523" t="str">
        <f t="shared" si="142"/>
        <v>Accepted</v>
      </c>
      <c r="Y523">
        <f>IFERROR(VLOOKUP(N523, Payment_Terms!A:B, 2, FALSE), "Payment term not found!")</f>
        <v>30</v>
      </c>
      <c r="Z523" t="str">
        <f>IFERROR(VLOOKUP(R523, Item_Category!A:B, 2, FALSE), "Uncategorized")</f>
        <v>Pallets</v>
      </c>
      <c r="AA523" s="5">
        <f t="shared" si="147"/>
        <v>0</v>
      </c>
      <c r="AB523">
        <f t="shared" si="148"/>
        <v>5</v>
      </c>
      <c r="AC523" s="10">
        <f t="shared" si="149"/>
        <v>-11</v>
      </c>
      <c r="AD523">
        <f t="shared" si="150"/>
        <v>5</v>
      </c>
      <c r="AE523" s="10">
        <f t="shared" si="151"/>
        <v>4</v>
      </c>
      <c r="AF523" s="5">
        <f t="shared" si="144"/>
        <v>1</v>
      </c>
      <c r="AG523" s="5">
        <f t="shared" si="145"/>
        <v>1</v>
      </c>
      <c r="AH523" s="5">
        <f t="shared" si="152"/>
        <v>0</v>
      </c>
      <c r="AI523">
        <f>IF(B523&lt;&gt;"", COUNTIFS($B$2:B523, B523), "")</f>
        <v>25</v>
      </c>
      <c r="AJ523">
        <f t="shared" si="153"/>
        <v>5</v>
      </c>
      <c r="AK523">
        <f t="shared" si="146"/>
        <v>5</v>
      </c>
      <c r="AL523">
        <f t="shared" si="154"/>
        <v>9</v>
      </c>
      <c r="AM523" t="str">
        <f t="shared" si="155"/>
        <v>September</v>
      </c>
      <c r="AN523">
        <f t="shared" si="156"/>
        <v>2023</v>
      </c>
      <c r="AO523" t="str">
        <f t="shared" si="157"/>
        <v>&gt;3</v>
      </c>
      <c r="AP523" t="str">
        <f t="shared" si="158"/>
        <v>&gt;3</v>
      </c>
      <c r="AQ523" t="str">
        <f t="shared" si="159"/>
        <v>&gt;3</v>
      </c>
    </row>
    <row r="524" spans="1:43" x14ac:dyDescent="0.3">
      <c r="A524" t="s">
        <v>33</v>
      </c>
      <c r="B524" t="s">
        <v>122</v>
      </c>
      <c r="C524" t="s">
        <v>324</v>
      </c>
      <c r="D524">
        <v>2545</v>
      </c>
      <c r="E524">
        <v>23210316</v>
      </c>
      <c r="F524" t="s">
        <v>362</v>
      </c>
      <c r="G524" t="s">
        <v>363</v>
      </c>
      <c r="H524">
        <v>400</v>
      </c>
      <c r="I524">
        <v>1900</v>
      </c>
      <c r="J524">
        <v>760000</v>
      </c>
      <c r="K524" s="7" t="str">
        <f>IFERROR(IF(B524&lt;&gt;"", TEXT(VLOOKUP(B524, 'Expected Date'!A:B, 2, FALSE) + DATE(RIGHT(C524,2),MID(C524,4,2),LEFT(C524,2)), "dd/mm/yy"), ""), "")</f>
        <v>05/07/23</v>
      </c>
      <c r="L524" t="s">
        <v>38</v>
      </c>
      <c r="M524" t="s">
        <v>39</v>
      </c>
      <c r="N524" t="s">
        <v>364</v>
      </c>
      <c r="O524" t="s">
        <v>323</v>
      </c>
      <c r="P524">
        <v>23291415</v>
      </c>
      <c r="Q524" t="s">
        <v>362</v>
      </c>
      <c r="R524" t="s">
        <v>363</v>
      </c>
      <c r="S524">
        <v>50</v>
      </c>
      <c r="T524">
        <v>1900</v>
      </c>
      <c r="U524">
        <v>95000</v>
      </c>
      <c r="V524" t="str">
        <f t="shared" si="143"/>
        <v>Dahej</v>
      </c>
      <c r="W524" t="str">
        <f>VLOOKUP(B524, Currency!A:B, 2, FALSE)</f>
        <v>INR</v>
      </c>
      <c r="X524" t="str">
        <f t="shared" si="142"/>
        <v>Accepted</v>
      </c>
      <c r="Y524">
        <f>IFERROR(VLOOKUP(N524, Payment_Terms!A:B, 2, FALSE), "Payment term not found!")</f>
        <v>30</v>
      </c>
      <c r="Z524" t="str">
        <f>IFERROR(VLOOKUP(R524, Item_Category!A:B, 2, FALSE), "Uncategorized")</f>
        <v>Pallets</v>
      </c>
      <c r="AA524" s="5">
        <f t="shared" si="147"/>
        <v>0</v>
      </c>
      <c r="AB524">
        <f t="shared" si="148"/>
        <v>5</v>
      </c>
      <c r="AC524" s="10">
        <f t="shared" si="149"/>
        <v>72</v>
      </c>
      <c r="AD524">
        <f t="shared" si="150"/>
        <v>1</v>
      </c>
      <c r="AE524" s="10">
        <f t="shared" si="151"/>
        <v>87</v>
      </c>
      <c r="AF524" s="5">
        <f t="shared" si="144"/>
        <v>1</v>
      </c>
      <c r="AG524" s="5">
        <f t="shared" si="145"/>
        <v>1</v>
      </c>
      <c r="AH524" s="5">
        <f t="shared" si="152"/>
        <v>0</v>
      </c>
      <c r="AI524">
        <f>IF(B524&lt;&gt;"", COUNTIFS($B$2:B524, B524), "")</f>
        <v>26</v>
      </c>
      <c r="AJ524">
        <f t="shared" si="153"/>
        <v>5</v>
      </c>
      <c r="AK524">
        <f t="shared" si="146"/>
        <v>4</v>
      </c>
      <c r="AL524">
        <f t="shared" si="154"/>
        <v>6</v>
      </c>
      <c r="AM524" t="str">
        <f t="shared" si="155"/>
        <v>June</v>
      </c>
      <c r="AN524">
        <f t="shared" si="156"/>
        <v>2023</v>
      </c>
      <c r="AO524" t="str">
        <f t="shared" si="157"/>
        <v>&gt;3</v>
      </c>
      <c r="AP524" t="str">
        <f t="shared" si="158"/>
        <v>&gt;3</v>
      </c>
      <c r="AQ524" t="str">
        <f t="shared" si="159"/>
        <v>&lt;=3</v>
      </c>
    </row>
    <row r="525" spans="1:43" x14ac:dyDescent="0.3">
      <c r="A525" t="s">
        <v>33</v>
      </c>
      <c r="B525" t="s">
        <v>122</v>
      </c>
      <c r="C525" t="s">
        <v>281</v>
      </c>
      <c r="D525">
        <v>4184</v>
      </c>
      <c r="E525">
        <v>23210616</v>
      </c>
      <c r="F525" t="s">
        <v>405</v>
      </c>
      <c r="G525" t="s">
        <v>406</v>
      </c>
      <c r="H525">
        <v>600</v>
      </c>
      <c r="I525">
        <v>930</v>
      </c>
      <c r="J525">
        <v>558000</v>
      </c>
      <c r="K525" s="7" t="str">
        <f>IFERROR(IF(B525&lt;&gt;"", TEXT(VLOOKUP(B525, 'Expected Date'!A:B, 2, FALSE) + DATE(RIGHT(C525,2),MID(C525,4,2),LEFT(C525,2)), "dd/mm/yy"), ""), "")</f>
        <v>20/09/23</v>
      </c>
      <c r="L525" t="s">
        <v>38</v>
      </c>
      <c r="M525" t="s">
        <v>39</v>
      </c>
      <c r="N525" t="s">
        <v>364</v>
      </c>
      <c r="O525" t="s">
        <v>323</v>
      </c>
      <c r="P525">
        <v>23291415</v>
      </c>
      <c r="Q525" t="s">
        <v>405</v>
      </c>
      <c r="R525" t="s">
        <v>406</v>
      </c>
      <c r="S525">
        <v>120</v>
      </c>
      <c r="T525">
        <v>930</v>
      </c>
      <c r="U525">
        <v>111600</v>
      </c>
      <c r="V525" t="str">
        <f t="shared" si="143"/>
        <v>Dahej</v>
      </c>
      <c r="W525" t="str">
        <f>VLOOKUP(B525, Currency!A:B, 2, FALSE)</f>
        <v>INR</v>
      </c>
      <c r="X525" t="str">
        <f t="shared" si="142"/>
        <v>Accepted</v>
      </c>
      <c r="Y525">
        <f>IFERROR(VLOOKUP(N525, Payment_Terms!A:B, 2, FALSE), "Payment term not found!")</f>
        <v>30</v>
      </c>
      <c r="Z525" t="str">
        <f>IFERROR(VLOOKUP(R525, Item_Category!A:B, 2, FALSE), "Uncategorized")</f>
        <v>Pallets</v>
      </c>
      <c r="AA525" s="5">
        <f t="shared" si="147"/>
        <v>0</v>
      </c>
      <c r="AB525">
        <f t="shared" si="148"/>
        <v>5</v>
      </c>
      <c r="AC525" s="10">
        <f t="shared" si="149"/>
        <v>-5</v>
      </c>
      <c r="AD525">
        <f t="shared" si="150"/>
        <v>5</v>
      </c>
      <c r="AE525" s="10">
        <f t="shared" si="151"/>
        <v>10</v>
      </c>
      <c r="AF525" s="5">
        <f t="shared" si="144"/>
        <v>1</v>
      </c>
      <c r="AG525" s="5">
        <f t="shared" si="145"/>
        <v>1</v>
      </c>
      <c r="AH525" s="5">
        <f t="shared" si="152"/>
        <v>0</v>
      </c>
      <c r="AI525">
        <f>IF(B525&lt;&gt;"", COUNTIFS($B$2:B525, B525), "")</f>
        <v>27</v>
      </c>
      <c r="AJ525">
        <f t="shared" si="153"/>
        <v>5</v>
      </c>
      <c r="AK525">
        <f t="shared" si="146"/>
        <v>5</v>
      </c>
      <c r="AL525">
        <f t="shared" si="154"/>
        <v>9</v>
      </c>
      <c r="AM525" t="str">
        <f t="shared" si="155"/>
        <v>September</v>
      </c>
      <c r="AN525">
        <f t="shared" si="156"/>
        <v>2023</v>
      </c>
      <c r="AO525" t="str">
        <f t="shared" si="157"/>
        <v>&gt;3</v>
      </c>
      <c r="AP525" t="str">
        <f t="shared" si="158"/>
        <v>&gt;3</v>
      </c>
      <c r="AQ525" t="str">
        <f t="shared" si="159"/>
        <v>&gt;3</v>
      </c>
    </row>
    <row r="526" spans="1:43" x14ac:dyDescent="0.3">
      <c r="A526" t="str">
        <f>A521</f>
        <v>Woodpulp</v>
      </c>
      <c r="B526" t="s">
        <v>140</v>
      </c>
      <c r="C526" t="s">
        <v>71</v>
      </c>
      <c r="D526">
        <v>2735</v>
      </c>
      <c r="E526">
        <v>23220043</v>
      </c>
      <c r="F526" t="s">
        <v>359</v>
      </c>
      <c r="G526" t="s">
        <v>360</v>
      </c>
      <c r="H526">
        <v>100</v>
      </c>
      <c r="I526">
        <v>830</v>
      </c>
      <c r="J526">
        <v>6781100</v>
      </c>
      <c r="K526" s="7" t="str">
        <f>IFERROR(IF(B526&lt;&gt;"", TEXT(VLOOKUP(B526, 'Expected Date'!A:B, 2, FALSE) + DATE(RIGHT(C526,2),MID(C526,4,2),LEFT(C526,2)), "dd/mm/yy"), ""), "")</f>
        <v>06/08/23</v>
      </c>
      <c r="L526" t="s">
        <v>68</v>
      </c>
      <c r="M526" t="str">
        <f>M355</f>
        <v>MT</v>
      </c>
      <c r="N526" t="s">
        <v>144</v>
      </c>
      <c r="O526" t="s">
        <v>263</v>
      </c>
      <c r="P526">
        <v>23291673</v>
      </c>
      <c r="Q526" t="s">
        <v>359</v>
      </c>
      <c r="R526" t="s">
        <v>360</v>
      </c>
      <c r="S526">
        <v>98.694000000000003</v>
      </c>
      <c r="T526">
        <v>830</v>
      </c>
      <c r="U526">
        <v>6741688.4500000002</v>
      </c>
      <c r="V526" t="str">
        <f t="shared" si="143"/>
        <v>Dahej</v>
      </c>
      <c r="W526" t="str">
        <f>VLOOKUP(B526, Currency!A:B, 2, FALSE)</f>
        <v>USD</v>
      </c>
      <c r="X526" t="str">
        <f t="shared" si="142"/>
        <v>Accepted</v>
      </c>
      <c r="Y526">
        <f>IFERROR(VLOOKUP(N526, Payment_Terms!A:B, 2, FALSE), "Payment term not found!")</f>
        <v>30</v>
      </c>
      <c r="Z526" t="str">
        <f>IFERROR(VLOOKUP(R526, Item_Category!A:B, 2, FALSE), "Uncategorized")</f>
        <v>Wood pulp</v>
      </c>
      <c r="AA526" s="5">
        <f t="shared" si="147"/>
        <v>1.3059999999999974E-2</v>
      </c>
      <c r="AB526">
        <f t="shared" si="148"/>
        <v>4</v>
      </c>
      <c r="AC526" s="10">
        <f t="shared" si="149"/>
        <v>64</v>
      </c>
      <c r="AD526">
        <f t="shared" si="150"/>
        <v>1</v>
      </c>
      <c r="AE526" s="10">
        <f t="shared" si="151"/>
        <v>109</v>
      </c>
      <c r="AF526" s="5">
        <f t="shared" si="144"/>
        <v>1</v>
      </c>
      <c r="AG526" s="5">
        <f t="shared" si="145"/>
        <v>1</v>
      </c>
      <c r="AH526" s="5">
        <f t="shared" si="152"/>
        <v>0</v>
      </c>
      <c r="AI526">
        <f>IF(B526&lt;&gt;"", COUNTIFS($B$2:B526, B526), "")</f>
        <v>27</v>
      </c>
      <c r="AJ526">
        <f t="shared" si="153"/>
        <v>5</v>
      </c>
      <c r="AK526">
        <f t="shared" si="146"/>
        <v>4</v>
      </c>
      <c r="AL526">
        <f t="shared" si="154"/>
        <v>6</v>
      </c>
      <c r="AM526" t="str">
        <f t="shared" si="155"/>
        <v>June</v>
      </c>
      <c r="AN526">
        <f t="shared" si="156"/>
        <v>2023</v>
      </c>
      <c r="AO526" t="str">
        <f t="shared" si="157"/>
        <v>&gt;3</v>
      </c>
      <c r="AP526" t="str">
        <f t="shared" si="158"/>
        <v>&gt;3</v>
      </c>
      <c r="AQ526" t="str">
        <f t="shared" si="159"/>
        <v>&lt;=3</v>
      </c>
    </row>
    <row r="527" spans="1:43" x14ac:dyDescent="0.3">
      <c r="A527" t="s">
        <v>33</v>
      </c>
      <c r="B527" t="s">
        <v>371</v>
      </c>
      <c r="C527" t="s">
        <v>192</v>
      </c>
      <c r="D527">
        <v>3771</v>
      </c>
      <c r="E527">
        <v>23210547</v>
      </c>
      <c r="F527" t="s">
        <v>372</v>
      </c>
      <c r="G527" t="s">
        <v>373</v>
      </c>
      <c r="H527">
        <v>20</v>
      </c>
      <c r="I527">
        <v>1100</v>
      </c>
      <c r="J527">
        <v>22000</v>
      </c>
      <c r="K527" s="7" t="str">
        <f>IFERROR(IF(B527&lt;&gt;"", TEXT(VLOOKUP(B527, 'Expected Date'!A:B, 2, FALSE) + DATE(RIGHT(C527,2),MID(C527,4,2),LEFT(C527,2)), "dd/mm/yy"), ""), "")</f>
        <v>19/08/23</v>
      </c>
      <c r="L527" t="s">
        <v>68</v>
      </c>
      <c r="M527" t="s">
        <v>48</v>
      </c>
      <c r="N527" t="s">
        <v>342</v>
      </c>
      <c r="O527" t="s">
        <v>394</v>
      </c>
      <c r="P527">
        <v>23291127</v>
      </c>
      <c r="Q527" t="s">
        <v>372</v>
      </c>
      <c r="R527" t="s">
        <v>373</v>
      </c>
      <c r="S527">
        <v>10.050000000000001</v>
      </c>
      <c r="T527">
        <v>1100</v>
      </c>
      <c r="U527">
        <v>11055</v>
      </c>
      <c r="V527" t="str">
        <f t="shared" si="143"/>
        <v>Dahej</v>
      </c>
      <c r="W527" t="str">
        <f>VLOOKUP(B527, Currency!A:B, 2, FALSE)</f>
        <v>INR</v>
      </c>
      <c r="X527" t="str">
        <f t="shared" si="142"/>
        <v>Accepted</v>
      </c>
      <c r="Y527">
        <f>IFERROR(VLOOKUP(N527, Payment_Terms!A:B, 2, FALSE), "Payment term not found!")</f>
        <v>30</v>
      </c>
      <c r="Z527" t="str">
        <f>IFERROR(VLOOKUP(R527, Item_Category!A:B, 2, FALSE), "Uncategorized")</f>
        <v>HCL</v>
      </c>
      <c r="AA527" s="5">
        <f t="shared" si="147"/>
        <v>4.9999999999990048E-4</v>
      </c>
      <c r="AB527">
        <f t="shared" si="148"/>
        <v>4</v>
      </c>
      <c r="AC527" s="10">
        <f t="shared" si="149"/>
        <v>-2</v>
      </c>
      <c r="AD527">
        <f t="shared" si="150"/>
        <v>5</v>
      </c>
      <c r="AE527" s="10">
        <f t="shared" si="151"/>
        <v>3</v>
      </c>
      <c r="AF527" s="5">
        <f t="shared" si="144"/>
        <v>1</v>
      </c>
      <c r="AG527" s="5">
        <f t="shared" si="145"/>
        <v>1</v>
      </c>
      <c r="AH527" s="5">
        <f t="shared" si="152"/>
        <v>0</v>
      </c>
      <c r="AI527">
        <f>IF(B527&lt;&gt;"", COUNTIFS($B$2:B527, B527), "")</f>
        <v>13</v>
      </c>
      <c r="AJ527">
        <f t="shared" si="153"/>
        <v>5</v>
      </c>
      <c r="AK527">
        <f t="shared" si="146"/>
        <v>5</v>
      </c>
      <c r="AL527">
        <f t="shared" si="154"/>
        <v>8</v>
      </c>
      <c r="AM527" t="str">
        <f t="shared" si="155"/>
        <v>August</v>
      </c>
      <c r="AN527">
        <f t="shared" si="156"/>
        <v>2023</v>
      </c>
      <c r="AO527" t="str">
        <f t="shared" si="157"/>
        <v>&gt;3</v>
      </c>
      <c r="AP527" t="str">
        <f t="shared" si="158"/>
        <v>&gt;3</v>
      </c>
      <c r="AQ527" t="str">
        <f t="shared" si="159"/>
        <v>&gt;3</v>
      </c>
    </row>
    <row r="528" spans="1:43" x14ac:dyDescent="0.3">
      <c r="A528" t="s">
        <v>33</v>
      </c>
      <c r="B528" t="s">
        <v>366</v>
      </c>
      <c r="C528" t="s">
        <v>178</v>
      </c>
      <c r="D528">
        <v>4154</v>
      </c>
      <c r="E528">
        <v>23210608</v>
      </c>
      <c r="F528" t="s">
        <v>392</v>
      </c>
      <c r="G528" t="s">
        <v>393</v>
      </c>
      <c r="H528">
        <v>100</v>
      </c>
      <c r="I528">
        <v>9850</v>
      </c>
      <c r="J528">
        <v>985000</v>
      </c>
      <c r="K528" s="7" t="str">
        <f>IFERROR(IF(B528&lt;&gt;"", TEXT(VLOOKUP(B528, 'Expected Date'!A:B, 2, FALSE) + DATE(RIGHT(C528,2),MID(C528,4,2),LEFT(C528,2)), "dd/mm/yy"), ""), "")</f>
        <v>03/09/23</v>
      </c>
      <c r="L528" t="s">
        <v>38</v>
      </c>
      <c r="M528" t="s">
        <v>48</v>
      </c>
      <c r="N528" t="s">
        <v>370</v>
      </c>
      <c r="O528" t="s">
        <v>103</v>
      </c>
      <c r="P528">
        <v>23291350</v>
      </c>
      <c r="Q528" t="s">
        <v>392</v>
      </c>
      <c r="R528" t="s">
        <v>393</v>
      </c>
      <c r="S528">
        <v>29.64</v>
      </c>
      <c r="T528">
        <v>9850</v>
      </c>
      <c r="U528">
        <v>291954</v>
      </c>
      <c r="V528" t="str">
        <f t="shared" si="143"/>
        <v>Dahej</v>
      </c>
      <c r="W528" t="str">
        <f>VLOOKUP(B528, Currency!A:B, 2, FALSE)</f>
        <v>INR</v>
      </c>
      <c r="X528" t="str">
        <f t="shared" si="142"/>
        <v>Accepted</v>
      </c>
      <c r="Y528">
        <f>IFERROR(VLOOKUP(N528, Payment_Terms!A:B, 2, FALSE), "Payment term not found!")</f>
        <v>15</v>
      </c>
      <c r="Z528" t="str">
        <f>IFERROR(VLOOKUP(R528, Item_Category!A:B, 2, FALSE), "Uncategorized")</f>
        <v>Coal materials</v>
      </c>
      <c r="AA528" s="5">
        <f t="shared" si="147"/>
        <v>0</v>
      </c>
      <c r="AB528">
        <f t="shared" si="148"/>
        <v>5</v>
      </c>
      <c r="AC528" s="10">
        <f t="shared" si="149"/>
        <v>3</v>
      </c>
      <c r="AD528">
        <f t="shared" si="150"/>
        <v>4</v>
      </c>
      <c r="AE528" s="10">
        <f t="shared" si="151"/>
        <v>5</v>
      </c>
      <c r="AF528" s="5">
        <f t="shared" si="144"/>
        <v>1</v>
      </c>
      <c r="AG528" s="5">
        <f t="shared" si="145"/>
        <v>1</v>
      </c>
      <c r="AH528" s="5">
        <f t="shared" si="152"/>
        <v>0</v>
      </c>
      <c r="AI528">
        <f>IF(B528&lt;&gt;"", COUNTIFS($B$2:B528, B528), "")</f>
        <v>43</v>
      </c>
      <c r="AJ528">
        <f t="shared" si="153"/>
        <v>5</v>
      </c>
      <c r="AK528">
        <f t="shared" si="146"/>
        <v>5</v>
      </c>
      <c r="AL528">
        <f t="shared" si="154"/>
        <v>9</v>
      </c>
      <c r="AM528" t="str">
        <f t="shared" si="155"/>
        <v>September</v>
      </c>
      <c r="AN528">
        <f t="shared" si="156"/>
        <v>2023</v>
      </c>
      <c r="AO528" t="str">
        <f t="shared" si="157"/>
        <v>&gt;3</v>
      </c>
      <c r="AP528" t="str">
        <f t="shared" si="158"/>
        <v>&gt;3</v>
      </c>
      <c r="AQ528" t="str">
        <f t="shared" si="159"/>
        <v>&gt;3</v>
      </c>
    </row>
    <row r="529" spans="1:43" x14ac:dyDescent="0.3">
      <c r="A529" t="s">
        <v>95</v>
      </c>
      <c r="B529" t="s">
        <v>521</v>
      </c>
      <c r="C529" t="s">
        <v>257</v>
      </c>
      <c r="D529">
        <v>2685</v>
      </c>
      <c r="E529">
        <v>23220025</v>
      </c>
      <c r="F529" t="s">
        <v>522</v>
      </c>
      <c r="G529" t="s">
        <v>523</v>
      </c>
      <c r="H529">
        <v>50</v>
      </c>
      <c r="I529">
        <v>820</v>
      </c>
      <c r="J529">
        <v>3349700</v>
      </c>
      <c r="K529" s="7" t="str">
        <f>IFERROR(IF(B529&lt;&gt;"", TEXT(VLOOKUP(B529, 'Expected Date'!A:B, 2, FALSE) + DATE(RIGHT(C529,2),MID(C529,4,2),LEFT(C529,2)), "dd/mm/yy"), ""), "")</f>
        <v>26/08/23</v>
      </c>
      <c r="L529" t="s">
        <v>38</v>
      </c>
      <c r="M529" t="str">
        <f>M355</f>
        <v>MT</v>
      </c>
      <c r="N529" t="s">
        <v>524</v>
      </c>
      <c r="O529" t="s">
        <v>279</v>
      </c>
      <c r="P529">
        <v>23291483</v>
      </c>
      <c r="Q529" t="s">
        <v>522</v>
      </c>
      <c r="R529" t="s">
        <v>523</v>
      </c>
      <c r="S529">
        <v>51.505000000000003</v>
      </c>
      <c r="T529">
        <v>820</v>
      </c>
      <c r="U529">
        <v>3471643.02</v>
      </c>
      <c r="V529" t="str">
        <f t="shared" si="143"/>
        <v>Dahej</v>
      </c>
      <c r="W529" t="str">
        <f>VLOOKUP(B529, Currency!A:B, 2, FALSE)</f>
        <v>USD</v>
      </c>
      <c r="X529" t="str">
        <f t="shared" si="142"/>
        <v>Accepted</v>
      </c>
      <c r="Y529">
        <f>IFERROR(VLOOKUP(N529, Payment_Terms!A:B, 2, FALSE), "Payment term not found!")</f>
        <v>60</v>
      </c>
      <c r="Z529" t="str">
        <f>IFERROR(VLOOKUP(R529, Item_Category!A:B, 2, FALSE), "Uncategorized")</f>
        <v>Wood pulp</v>
      </c>
      <c r="AA529" s="5">
        <f t="shared" si="147"/>
        <v>0</v>
      </c>
      <c r="AB529">
        <f t="shared" si="148"/>
        <v>5</v>
      </c>
      <c r="AC529" s="10">
        <f t="shared" si="149"/>
        <v>24</v>
      </c>
      <c r="AD529">
        <f t="shared" si="150"/>
        <v>1</v>
      </c>
      <c r="AE529" s="10">
        <f t="shared" si="151"/>
        <v>84</v>
      </c>
      <c r="AF529" s="5">
        <f t="shared" si="144"/>
        <v>1</v>
      </c>
      <c r="AG529" s="5">
        <f t="shared" si="145"/>
        <v>1</v>
      </c>
      <c r="AH529" s="5">
        <f t="shared" si="152"/>
        <v>0</v>
      </c>
      <c r="AI529">
        <f>IF(B529&lt;&gt;"", COUNTIFS($B$2:B529, B529), "")</f>
        <v>1</v>
      </c>
      <c r="AJ529">
        <f t="shared" si="153"/>
        <v>5</v>
      </c>
      <c r="AK529">
        <f t="shared" si="146"/>
        <v>4</v>
      </c>
      <c r="AL529">
        <f t="shared" si="154"/>
        <v>6</v>
      </c>
      <c r="AM529" t="str">
        <f t="shared" si="155"/>
        <v>June</v>
      </c>
      <c r="AN529">
        <f t="shared" si="156"/>
        <v>2023</v>
      </c>
      <c r="AO529" t="str">
        <f t="shared" si="157"/>
        <v>&gt;3</v>
      </c>
      <c r="AP529" t="str">
        <f t="shared" si="158"/>
        <v>&gt;3</v>
      </c>
      <c r="AQ529" t="str">
        <f t="shared" si="159"/>
        <v>&lt;=3</v>
      </c>
    </row>
    <row r="530" spans="1:43" x14ac:dyDescent="0.3">
      <c r="A530" t="s">
        <v>33</v>
      </c>
      <c r="B530" t="s">
        <v>366</v>
      </c>
      <c r="C530" t="s">
        <v>52</v>
      </c>
      <c r="D530">
        <v>3770</v>
      </c>
      <c r="E530">
        <v>23210546</v>
      </c>
      <c r="F530" t="s">
        <v>392</v>
      </c>
      <c r="G530" t="s">
        <v>393</v>
      </c>
      <c r="H530">
        <v>150</v>
      </c>
      <c r="I530">
        <v>9850</v>
      </c>
      <c r="J530">
        <v>1477500</v>
      </c>
      <c r="K530" s="7" t="str">
        <f>IFERROR(IF(B530&lt;&gt;"", TEXT(VLOOKUP(B530, 'Expected Date'!A:B, 2, FALSE) + DATE(RIGHT(C530,2),MID(C530,4,2),LEFT(C530,2)), "dd/mm/yy"), ""), "")</f>
        <v>18/08/23</v>
      </c>
      <c r="L530" t="s">
        <v>68</v>
      </c>
      <c r="M530" t="s">
        <v>48</v>
      </c>
      <c r="N530" t="s">
        <v>370</v>
      </c>
      <c r="O530" t="s">
        <v>78</v>
      </c>
      <c r="P530">
        <v>23291214</v>
      </c>
      <c r="Q530" t="s">
        <v>392</v>
      </c>
      <c r="R530" t="s">
        <v>393</v>
      </c>
      <c r="S530">
        <v>28.07</v>
      </c>
      <c r="T530">
        <v>9850</v>
      </c>
      <c r="U530">
        <v>276489.5</v>
      </c>
      <c r="V530" t="str">
        <f t="shared" si="143"/>
        <v>Dahej</v>
      </c>
      <c r="W530" t="str">
        <f>VLOOKUP(B530, Currency!A:B, 2, FALSE)</f>
        <v>INR</v>
      </c>
      <c r="X530" t="str">
        <f t="shared" si="142"/>
        <v>Accepted</v>
      </c>
      <c r="Y530">
        <f>IFERROR(VLOOKUP(N530, Payment_Terms!A:B, 2, FALSE), "Payment term not found!")</f>
        <v>15</v>
      </c>
      <c r="Z530" t="str">
        <f>IFERROR(VLOOKUP(R530, Item_Category!A:B, 2, FALSE), "Uncategorized")</f>
        <v>Coal materials</v>
      </c>
      <c r="AA530" s="5">
        <f t="shared" si="147"/>
        <v>5.1333333333333259E-2</v>
      </c>
      <c r="AB530">
        <f t="shared" si="148"/>
        <v>2</v>
      </c>
      <c r="AC530" s="10">
        <f t="shared" si="149"/>
        <v>6</v>
      </c>
      <c r="AD530">
        <f t="shared" si="150"/>
        <v>3</v>
      </c>
      <c r="AE530" s="10">
        <f t="shared" si="151"/>
        <v>8</v>
      </c>
      <c r="AF530" s="5">
        <f t="shared" si="144"/>
        <v>1</v>
      </c>
      <c r="AG530" s="5">
        <f t="shared" si="145"/>
        <v>1</v>
      </c>
      <c r="AH530" s="5">
        <f t="shared" si="152"/>
        <v>0</v>
      </c>
      <c r="AI530">
        <f>IF(B530&lt;&gt;"", COUNTIFS($B$2:B530, B530), "")</f>
        <v>44</v>
      </c>
      <c r="AJ530">
        <f t="shared" si="153"/>
        <v>5</v>
      </c>
      <c r="AK530">
        <f t="shared" si="146"/>
        <v>4</v>
      </c>
      <c r="AL530">
        <f t="shared" si="154"/>
        <v>8</v>
      </c>
      <c r="AM530" t="str">
        <f t="shared" si="155"/>
        <v>August</v>
      </c>
      <c r="AN530">
        <f t="shared" si="156"/>
        <v>2023</v>
      </c>
      <c r="AO530" t="str">
        <f t="shared" si="157"/>
        <v>&gt;3</v>
      </c>
      <c r="AP530" t="str">
        <f t="shared" si="158"/>
        <v>&lt;=3</v>
      </c>
      <c r="AQ530" t="str">
        <f t="shared" si="159"/>
        <v>&lt;=3</v>
      </c>
    </row>
    <row r="531" spans="1:43" x14ac:dyDescent="0.3">
      <c r="A531" t="s">
        <v>33</v>
      </c>
      <c r="B531" t="s">
        <v>366</v>
      </c>
      <c r="C531" t="s">
        <v>52</v>
      </c>
      <c r="D531">
        <v>3770</v>
      </c>
      <c r="E531">
        <v>23210546</v>
      </c>
      <c r="F531" t="s">
        <v>392</v>
      </c>
      <c r="G531" t="s">
        <v>393</v>
      </c>
      <c r="H531">
        <v>150</v>
      </c>
      <c r="I531">
        <v>9850</v>
      </c>
      <c r="J531">
        <v>1477500</v>
      </c>
      <c r="K531" s="7" t="str">
        <f>IFERROR(IF(B531&lt;&gt;"", TEXT(VLOOKUP(B531, 'Expected Date'!A:B, 2, FALSE) + DATE(RIGHT(C531,2),MID(C531,4,2),LEFT(C531,2)), "dd/mm/yy"), ""), "")</f>
        <v>18/08/23</v>
      </c>
      <c r="L531" t="s">
        <v>68</v>
      </c>
      <c r="M531" t="s">
        <v>48</v>
      </c>
      <c r="N531" t="s">
        <v>370</v>
      </c>
      <c r="O531" t="s">
        <v>525</v>
      </c>
      <c r="P531">
        <v>23291164</v>
      </c>
      <c r="Q531" t="s">
        <v>392</v>
      </c>
      <c r="R531" t="s">
        <v>393</v>
      </c>
      <c r="S531">
        <v>27.72</v>
      </c>
      <c r="T531">
        <v>9850</v>
      </c>
      <c r="U531">
        <v>273042</v>
      </c>
      <c r="V531" t="str">
        <f t="shared" si="143"/>
        <v>Dahej</v>
      </c>
      <c r="W531" t="str">
        <f>VLOOKUP(B531, Currency!A:B, 2, FALSE)</f>
        <v>INR</v>
      </c>
      <c r="X531" t="str">
        <f t="shared" si="142"/>
        <v>Accepted</v>
      </c>
      <c r="Y531">
        <f>IFERROR(VLOOKUP(N531, Payment_Terms!A:B, 2, FALSE), "Payment term not found!")</f>
        <v>15</v>
      </c>
      <c r="Z531" t="str">
        <f>IFERROR(VLOOKUP(R531, Item_Category!A:B, 2, FALSE), "Uncategorized")</f>
        <v>Coal materials</v>
      </c>
      <c r="AA531" s="5">
        <f t="shared" si="147"/>
        <v>5.1333333333333259E-2</v>
      </c>
      <c r="AB531">
        <f t="shared" si="148"/>
        <v>2</v>
      </c>
      <c r="AC531" s="10">
        <f t="shared" si="149"/>
        <v>1</v>
      </c>
      <c r="AD531">
        <f t="shared" si="150"/>
        <v>5</v>
      </c>
      <c r="AE531" s="10">
        <f t="shared" si="151"/>
        <v>3</v>
      </c>
      <c r="AF531" s="5">
        <f t="shared" si="144"/>
        <v>1</v>
      </c>
      <c r="AG531" s="5">
        <f t="shared" si="145"/>
        <v>1</v>
      </c>
      <c r="AH531" s="5">
        <f t="shared" si="152"/>
        <v>0</v>
      </c>
      <c r="AI531">
        <f>IF(B531&lt;&gt;"", COUNTIFS($B$2:B531, B531), "")</f>
        <v>45</v>
      </c>
      <c r="AJ531">
        <f t="shared" si="153"/>
        <v>5</v>
      </c>
      <c r="AK531">
        <f t="shared" si="146"/>
        <v>5</v>
      </c>
      <c r="AL531">
        <f t="shared" si="154"/>
        <v>8</v>
      </c>
      <c r="AM531" t="str">
        <f t="shared" si="155"/>
        <v>August</v>
      </c>
      <c r="AN531">
        <f t="shared" si="156"/>
        <v>2023</v>
      </c>
      <c r="AO531" t="str">
        <f t="shared" si="157"/>
        <v>&gt;3</v>
      </c>
      <c r="AP531" t="str">
        <f t="shared" si="158"/>
        <v>&lt;=3</v>
      </c>
      <c r="AQ531" t="str">
        <f t="shared" si="159"/>
        <v>&gt;3</v>
      </c>
    </row>
    <row r="532" spans="1:43" x14ac:dyDescent="0.3">
      <c r="A532" t="s">
        <v>33</v>
      </c>
      <c r="B532" t="s">
        <v>395</v>
      </c>
      <c r="C532" t="s">
        <v>58</v>
      </c>
      <c r="D532">
        <v>3539</v>
      </c>
      <c r="E532">
        <v>23210491</v>
      </c>
      <c r="F532" t="s">
        <v>368</v>
      </c>
      <c r="G532" t="s">
        <v>369</v>
      </c>
      <c r="H532">
        <v>100000</v>
      </c>
      <c r="I532">
        <v>7.7</v>
      </c>
      <c r="J532">
        <v>770000</v>
      </c>
      <c r="K532" s="7" t="str">
        <f>IFERROR(IF(B532&lt;&gt;"", TEXT(VLOOKUP(B532, 'Expected Date'!A:B, 2, FALSE) + DATE(RIGHT(C532,2),MID(C532,4,2),LEFT(C532,2)), "dd/mm/yy"), ""), "")</f>
        <v>06/08/23</v>
      </c>
      <c r="L532" t="s">
        <v>68</v>
      </c>
      <c r="M532" t="s">
        <v>48</v>
      </c>
      <c r="N532" t="s">
        <v>318</v>
      </c>
      <c r="O532" t="s">
        <v>288</v>
      </c>
      <c r="P532">
        <v>23291165</v>
      </c>
      <c r="Q532" t="s">
        <v>368</v>
      </c>
      <c r="R532" t="s">
        <v>369</v>
      </c>
      <c r="S532">
        <v>32600</v>
      </c>
      <c r="T532">
        <v>7.7</v>
      </c>
      <c r="U532">
        <v>251020</v>
      </c>
      <c r="V532" t="str">
        <f t="shared" si="143"/>
        <v>Dahej</v>
      </c>
      <c r="W532" t="str">
        <f>VLOOKUP(B532, Currency!A:B, 2, FALSE)</f>
        <v>INR</v>
      </c>
      <c r="X532" t="str">
        <f t="shared" si="142"/>
        <v>Accepted</v>
      </c>
      <c r="Y532">
        <f>IFERROR(VLOOKUP(N532, Payment_Terms!A:B, 2, FALSE), "Payment term not found!")</f>
        <v>30</v>
      </c>
      <c r="Z532" t="str">
        <f>IFERROR(VLOOKUP(R532, Item_Category!A:B, 2, FALSE), "Uncategorized")</f>
        <v>Coal materials</v>
      </c>
      <c r="AA532" s="5">
        <f t="shared" si="147"/>
        <v>0.38919999999999999</v>
      </c>
      <c r="AB532">
        <f t="shared" si="148"/>
        <v>1</v>
      </c>
      <c r="AC532" s="10">
        <f t="shared" si="149"/>
        <v>12</v>
      </c>
      <c r="AD532">
        <f t="shared" si="150"/>
        <v>1</v>
      </c>
      <c r="AE532" s="10">
        <f t="shared" si="151"/>
        <v>17</v>
      </c>
      <c r="AF532" s="5">
        <f t="shared" si="144"/>
        <v>1</v>
      </c>
      <c r="AG532" s="5">
        <f t="shared" si="145"/>
        <v>1</v>
      </c>
      <c r="AH532" s="5">
        <f t="shared" si="152"/>
        <v>0</v>
      </c>
      <c r="AI532">
        <f>IF(B532&lt;&gt;"", COUNTIFS($B$2:B532, B532), "")</f>
        <v>23</v>
      </c>
      <c r="AJ532">
        <f t="shared" si="153"/>
        <v>5</v>
      </c>
      <c r="AK532">
        <f t="shared" si="146"/>
        <v>3</v>
      </c>
      <c r="AL532">
        <f t="shared" si="154"/>
        <v>8</v>
      </c>
      <c r="AM532" t="str">
        <f t="shared" si="155"/>
        <v>August</v>
      </c>
      <c r="AN532">
        <f t="shared" si="156"/>
        <v>2023</v>
      </c>
      <c r="AO532" t="str">
        <f t="shared" si="157"/>
        <v>&gt;3</v>
      </c>
      <c r="AP532" t="str">
        <f t="shared" si="158"/>
        <v>&lt;=3</v>
      </c>
      <c r="AQ532" t="str">
        <f t="shared" si="159"/>
        <v>&lt;=3</v>
      </c>
    </row>
    <row r="533" spans="1:43" x14ac:dyDescent="0.3">
      <c r="A533" t="s">
        <v>33</v>
      </c>
      <c r="B533" t="s">
        <v>366</v>
      </c>
      <c r="C533" t="s">
        <v>52</v>
      </c>
      <c r="D533">
        <v>3770</v>
      </c>
      <c r="E533">
        <v>23210546</v>
      </c>
      <c r="F533" t="s">
        <v>392</v>
      </c>
      <c r="G533" t="s">
        <v>393</v>
      </c>
      <c r="H533">
        <v>150</v>
      </c>
      <c r="I533">
        <v>9850</v>
      </c>
      <c r="J533">
        <v>1477500</v>
      </c>
      <c r="K533" s="7" t="str">
        <f>IFERROR(IF(B533&lt;&gt;"", TEXT(VLOOKUP(B533, 'Expected Date'!A:B, 2, FALSE) + DATE(RIGHT(C533,2),MID(C533,4,2),LEFT(C533,2)), "dd/mm/yy"), ""), "")</f>
        <v>18/08/23</v>
      </c>
      <c r="L533" t="s">
        <v>68</v>
      </c>
      <c r="M533" t="s">
        <v>48</v>
      </c>
      <c r="N533" t="s">
        <v>370</v>
      </c>
      <c r="O533" t="s">
        <v>221</v>
      </c>
      <c r="P533">
        <v>23291182</v>
      </c>
      <c r="Q533" t="s">
        <v>392</v>
      </c>
      <c r="R533" t="s">
        <v>393</v>
      </c>
      <c r="S533">
        <v>30.62</v>
      </c>
      <c r="T533">
        <v>9850</v>
      </c>
      <c r="U533">
        <v>301607</v>
      </c>
      <c r="V533" t="str">
        <f t="shared" si="143"/>
        <v>Dahej</v>
      </c>
      <c r="W533" t="str">
        <f>VLOOKUP(B533, Currency!A:B, 2, FALSE)</f>
        <v>INR</v>
      </c>
      <c r="X533" t="str">
        <f t="shared" si="142"/>
        <v>Accepted</v>
      </c>
      <c r="Y533">
        <f>IFERROR(VLOOKUP(N533, Payment_Terms!A:B, 2, FALSE), "Payment term not found!")</f>
        <v>15</v>
      </c>
      <c r="Z533" t="str">
        <f>IFERROR(VLOOKUP(R533, Item_Category!A:B, 2, FALSE), "Uncategorized")</f>
        <v>Coal materials</v>
      </c>
      <c r="AA533" s="5">
        <f t="shared" si="147"/>
        <v>5.1333333333333259E-2</v>
      </c>
      <c r="AB533">
        <f t="shared" si="148"/>
        <v>2</v>
      </c>
      <c r="AC533" s="10">
        <f t="shared" si="149"/>
        <v>3</v>
      </c>
      <c r="AD533">
        <f t="shared" si="150"/>
        <v>4</v>
      </c>
      <c r="AE533" s="10">
        <f t="shared" si="151"/>
        <v>5</v>
      </c>
      <c r="AF533" s="5">
        <f t="shared" si="144"/>
        <v>1</v>
      </c>
      <c r="AG533" s="5">
        <f t="shared" si="145"/>
        <v>1</v>
      </c>
      <c r="AH533" s="5">
        <f t="shared" si="152"/>
        <v>0</v>
      </c>
      <c r="AI533">
        <f>IF(B533&lt;&gt;"", COUNTIFS($B$2:B533, B533), "")</f>
        <v>46</v>
      </c>
      <c r="AJ533">
        <f t="shared" si="153"/>
        <v>5</v>
      </c>
      <c r="AK533">
        <f t="shared" si="146"/>
        <v>4</v>
      </c>
      <c r="AL533">
        <f t="shared" si="154"/>
        <v>8</v>
      </c>
      <c r="AM533" t="str">
        <f t="shared" si="155"/>
        <v>August</v>
      </c>
      <c r="AN533">
        <f t="shared" si="156"/>
        <v>2023</v>
      </c>
      <c r="AO533" t="str">
        <f t="shared" si="157"/>
        <v>&gt;3</v>
      </c>
      <c r="AP533" t="str">
        <f t="shared" si="158"/>
        <v>&lt;=3</v>
      </c>
      <c r="AQ533" t="str">
        <f t="shared" si="159"/>
        <v>&gt;3</v>
      </c>
    </row>
    <row r="534" spans="1:43" x14ac:dyDescent="0.3">
      <c r="A534" t="s">
        <v>33</v>
      </c>
      <c r="B534" t="s">
        <v>366</v>
      </c>
      <c r="C534" t="s">
        <v>52</v>
      </c>
      <c r="D534">
        <v>3770</v>
      </c>
      <c r="E534">
        <v>23210546</v>
      </c>
      <c r="F534" t="s">
        <v>392</v>
      </c>
      <c r="G534" t="s">
        <v>393</v>
      </c>
      <c r="H534">
        <v>150</v>
      </c>
      <c r="I534">
        <v>9850</v>
      </c>
      <c r="J534">
        <v>1477500</v>
      </c>
      <c r="K534" s="7" t="str">
        <f>IFERROR(IF(B534&lt;&gt;"", TEXT(VLOOKUP(B534, 'Expected Date'!A:B, 2, FALSE) + DATE(RIGHT(C534,2),MID(C534,4,2),LEFT(C534,2)), "dd/mm/yy"), ""), "")</f>
        <v>18/08/23</v>
      </c>
      <c r="L534" t="s">
        <v>68</v>
      </c>
      <c r="M534" t="s">
        <v>48</v>
      </c>
      <c r="N534" t="s">
        <v>370</v>
      </c>
      <c r="O534" t="s">
        <v>294</v>
      </c>
      <c r="P534">
        <v>23291202</v>
      </c>
      <c r="Q534" t="s">
        <v>392</v>
      </c>
      <c r="R534" t="s">
        <v>393</v>
      </c>
      <c r="S534">
        <v>27.96</v>
      </c>
      <c r="T534">
        <v>9850</v>
      </c>
      <c r="U534">
        <v>275406</v>
      </c>
      <c r="V534" t="str">
        <f t="shared" si="143"/>
        <v>Dahej</v>
      </c>
      <c r="W534" t="str">
        <f>VLOOKUP(B534, Currency!A:B, 2, FALSE)</f>
        <v>INR</v>
      </c>
      <c r="X534" t="str">
        <f t="shared" si="142"/>
        <v>Accepted</v>
      </c>
      <c r="Y534">
        <f>IFERROR(VLOOKUP(N534, Payment_Terms!A:B, 2, FALSE), "Payment term not found!")</f>
        <v>15</v>
      </c>
      <c r="Z534" t="str">
        <f>IFERROR(VLOOKUP(R534, Item_Category!A:B, 2, FALSE), "Uncategorized")</f>
        <v>Coal materials</v>
      </c>
      <c r="AA534" s="5">
        <f t="shared" si="147"/>
        <v>5.1333333333333259E-2</v>
      </c>
      <c r="AB534">
        <f t="shared" si="148"/>
        <v>2</v>
      </c>
      <c r="AC534" s="10">
        <f t="shared" si="149"/>
        <v>5</v>
      </c>
      <c r="AD534">
        <f t="shared" si="150"/>
        <v>3</v>
      </c>
      <c r="AE534" s="10">
        <f t="shared" si="151"/>
        <v>7</v>
      </c>
      <c r="AF534" s="5">
        <f t="shared" si="144"/>
        <v>1</v>
      </c>
      <c r="AG534" s="5">
        <f t="shared" si="145"/>
        <v>1</v>
      </c>
      <c r="AH534" s="5">
        <f t="shared" si="152"/>
        <v>0</v>
      </c>
      <c r="AI534">
        <f>IF(B534&lt;&gt;"", COUNTIFS($B$2:B534, B534), "")</f>
        <v>47</v>
      </c>
      <c r="AJ534">
        <f t="shared" si="153"/>
        <v>5</v>
      </c>
      <c r="AK534">
        <f t="shared" si="146"/>
        <v>4</v>
      </c>
      <c r="AL534">
        <f t="shared" si="154"/>
        <v>8</v>
      </c>
      <c r="AM534" t="str">
        <f t="shared" si="155"/>
        <v>August</v>
      </c>
      <c r="AN534">
        <f t="shared" si="156"/>
        <v>2023</v>
      </c>
      <c r="AO534" t="str">
        <f t="shared" si="157"/>
        <v>&gt;3</v>
      </c>
      <c r="AP534" t="str">
        <f t="shared" si="158"/>
        <v>&lt;=3</v>
      </c>
      <c r="AQ534" t="str">
        <f t="shared" si="159"/>
        <v>&lt;=3</v>
      </c>
    </row>
    <row r="535" spans="1:43" x14ac:dyDescent="0.3">
      <c r="A535" t="s">
        <v>33</v>
      </c>
      <c r="B535" t="s">
        <v>122</v>
      </c>
      <c r="C535" t="s">
        <v>281</v>
      </c>
      <c r="D535">
        <v>4184</v>
      </c>
      <c r="E535">
        <v>23210616</v>
      </c>
      <c r="F535" t="s">
        <v>405</v>
      </c>
      <c r="G535" t="s">
        <v>406</v>
      </c>
      <c r="H535">
        <v>600</v>
      </c>
      <c r="I535">
        <v>930</v>
      </c>
      <c r="J535">
        <v>558000</v>
      </c>
      <c r="K535" s="7" t="str">
        <f>IFERROR(IF(B535&lt;&gt;"", TEXT(VLOOKUP(B535, 'Expected Date'!A:B, 2, FALSE) + DATE(RIGHT(C535,2),MID(C535,4,2),LEFT(C535,2)), "dd/mm/yy"), ""), "")</f>
        <v>20/09/23</v>
      </c>
      <c r="L535" t="s">
        <v>38</v>
      </c>
      <c r="M535" t="s">
        <v>39</v>
      </c>
      <c r="N535" t="s">
        <v>364</v>
      </c>
      <c r="O535" t="s">
        <v>512</v>
      </c>
      <c r="P535">
        <v>23291609</v>
      </c>
      <c r="Q535" t="s">
        <v>405</v>
      </c>
      <c r="R535" t="s">
        <v>406</v>
      </c>
      <c r="S535">
        <v>180</v>
      </c>
      <c r="T535">
        <v>930</v>
      </c>
      <c r="U535">
        <v>167400</v>
      </c>
      <c r="V535" t="str">
        <f t="shared" si="143"/>
        <v>Dahej</v>
      </c>
      <c r="W535" t="str">
        <f>VLOOKUP(B535, Currency!A:B, 2, FALSE)</f>
        <v>INR</v>
      </c>
      <c r="X535" t="str">
        <f t="shared" si="142"/>
        <v>Accepted</v>
      </c>
      <c r="Y535">
        <f>IFERROR(VLOOKUP(N535, Payment_Terms!A:B, 2, FALSE), "Payment term not found!")</f>
        <v>30</v>
      </c>
      <c r="Z535" t="str">
        <f>IFERROR(VLOOKUP(R535, Item_Category!A:B, 2, FALSE), "Uncategorized")</f>
        <v>Pallets</v>
      </c>
      <c r="AA535" s="5">
        <f t="shared" si="147"/>
        <v>0</v>
      </c>
      <c r="AB535">
        <f t="shared" si="148"/>
        <v>5</v>
      </c>
      <c r="AC535" s="10">
        <f t="shared" si="149"/>
        <v>4</v>
      </c>
      <c r="AD535">
        <f t="shared" si="150"/>
        <v>4</v>
      </c>
      <c r="AE535" s="10">
        <f t="shared" si="151"/>
        <v>19</v>
      </c>
      <c r="AF535" s="5">
        <f t="shared" si="144"/>
        <v>1</v>
      </c>
      <c r="AG535" s="5">
        <f t="shared" si="145"/>
        <v>1</v>
      </c>
      <c r="AH535" s="5">
        <f t="shared" si="152"/>
        <v>0</v>
      </c>
      <c r="AI535">
        <f>IF(B535&lt;&gt;"", COUNTIFS($B$2:B535, B535), "")</f>
        <v>28</v>
      </c>
      <c r="AJ535">
        <f t="shared" si="153"/>
        <v>5</v>
      </c>
      <c r="AK535">
        <f t="shared" si="146"/>
        <v>5</v>
      </c>
      <c r="AL535">
        <f t="shared" si="154"/>
        <v>9</v>
      </c>
      <c r="AM535" t="str">
        <f t="shared" si="155"/>
        <v>September</v>
      </c>
      <c r="AN535">
        <f t="shared" si="156"/>
        <v>2023</v>
      </c>
      <c r="AO535" t="str">
        <f t="shared" si="157"/>
        <v>&gt;3</v>
      </c>
      <c r="AP535" t="str">
        <f t="shared" si="158"/>
        <v>&gt;3</v>
      </c>
      <c r="AQ535" t="str">
        <f t="shared" si="159"/>
        <v>&gt;3</v>
      </c>
    </row>
    <row r="536" spans="1:43" x14ac:dyDescent="0.3">
      <c r="A536" t="s">
        <v>33</v>
      </c>
      <c r="B536" t="s">
        <v>371</v>
      </c>
      <c r="C536" t="s">
        <v>519</v>
      </c>
      <c r="D536">
        <v>4743</v>
      </c>
      <c r="E536">
        <v>23210719</v>
      </c>
      <c r="F536" t="s">
        <v>372</v>
      </c>
      <c r="G536" t="s">
        <v>373</v>
      </c>
      <c r="H536">
        <v>20</v>
      </c>
      <c r="I536">
        <v>1100</v>
      </c>
      <c r="J536">
        <v>22000</v>
      </c>
      <c r="K536" s="7" t="str">
        <f>IFERROR(IF(B536&lt;&gt;"", TEXT(VLOOKUP(B536, 'Expected Date'!A:B, 2, FALSE) + DATE(RIGHT(C536,2),MID(C536,4,2),LEFT(C536,2)), "dd/mm/yy"), ""), "")</f>
        <v>04/10/23</v>
      </c>
      <c r="L536" t="s">
        <v>68</v>
      </c>
      <c r="M536" t="s">
        <v>48</v>
      </c>
      <c r="N536" t="s">
        <v>342</v>
      </c>
      <c r="O536" t="s">
        <v>526</v>
      </c>
      <c r="P536">
        <v>23291741</v>
      </c>
      <c r="Q536" t="s">
        <v>372</v>
      </c>
      <c r="R536" t="s">
        <v>373</v>
      </c>
      <c r="S536">
        <v>10.039999999999999</v>
      </c>
      <c r="T536">
        <v>1100</v>
      </c>
      <c r="U536">
        <v>11044</v>
      </c>
      <c r="V536" t="str">
        <f t="shared" si="143"/>
        <v>Dahej</v>
      </c>
      <c r="W536" t="str">
        <f>VLOOKUP(B536, Currency!A:B, 2, FALSE)</f>
        <v>INR</v>
      </c>
      <c r="X536" t="str">
        <f t="shared" si="142"/>
        <v>Accepted</v>
      </c>
      <c r="Y536">
        <f>IFERROR(VLOOKUP(N536, Payment_Terms!A:B, 2, FALSE), "Payment term not found!")</f>
        <v>30</v>
      </c>
      <c r="Z536" t="str">
        <f>IFERROR(VLOOKUP(R536, Item_Category!A:B, 2, FALSE), "Uncategorized")</f>
        <v>HCL</v>
      </c>
      <c r="AA536" s="5">
        <f t="shared" si="147"/>
        <v>1.6499999999999914E-2</v>
      </c>
      <c r="AB536">
        <f t="shared" si="148"/>
        <v>4</v>
      </c>
      <c r="AC536" s="10">
        <f t="shared" si="149"/>
        <v>9</v>
      </c>
      <c r="AD536">
        <f t="shared" si="150"/>
        <v>2</v>
      </c>
      <c r="AE536" s="10">
        <f t="shared" si="151"/>
        <v>14</v>
      </c>
      <c r="AF536" s="5">
        <f t="shared" si="144"/>
        <v>1</v>
      </c>
      <c r="AG536" s="5">
        <f t="shared" si="145"/>
        <v>1</v>
      </c>
      <c r="AH536" s="5">
        <f t="shared" si="152"/>
        <v>0</v>
      </c>
      <c r="AI536">
        <f>IF(B536&lt;&gt;"", COUNTIFS($B$2:B536, B536), "")</f>
        <v>14</v>
      </c>
      <c r="AJ536">
        <f t="shared" si="153"/>
        <v>5</v>
      </c>
      <c r="AK536">
        <f t="shared" si="146"/>
        <v>4</v>
      </c>
      <c r="AL536">
        <f t="shared" si="154"/>
        <v>9</v>
      </c>
      <c r="AM536" t="str">
        <f t="shared" si="155"/>
        <v>September</v>
      </c>
      <c r="AN536">
        <f t="shared" si="156"/>
        <v>2023</v>
      </c>
      <c r="AO536" t="str">
        <f t="shared" si="157"/>
        <v>&gt;3</v>
      </c>
      <c r="AP536" t="str">
        <f t="shared" si="158"/>
        <v>&gt;3</v>
      </c>
      <c r="AQ536" t="str">
        <f t="shared" si="159"/>
        <v>&lt;=3</v>
      </c>
    </row>
    <row r="537" spans="1:43" x14ac:dyDescent="0.3">
      <c r="A537" t="s">
        <v>33</v>
      </c>
      <c r="B537" t="s">
        <v>409</v>
      </c>
      <c r="C537" t="s">
        <v>519</v>
      </c>
      <c r="D537">
        <v>4748</v>
      </c>
      <c r="E537">
        <v>23210722</v>
      </c>
      <c r="F537" t="s">
        <v>437</v>
      </c>
      <c r="G537" t="s">
        <v>438</v>
      </c>
      <c r="H537">
        <v>10000</v>
      </c>
      <c r="I537">
        <v>8.5500000000000007</v>
      </c>
      <c r="J537">
        <v>85500</v>
      </c>
      <c r="K537" s="7" t="str">
        <f>IFERROR(IF(B537&lt;&gt;"", TEXT(VLOOKUP(B537, 'Expected Date'!A:B, 2, FALSE) + DATE(RIGHT(C537,2),MID(C537,4,2),LEFT(C537,2)), "dd/mm/yy"), ""), "")</f>
        <v>09/10/23</v>
      </c>
      <c r="L537" t="s">
        <v>38</v>
      </c>
      <c r="M537" t="s">
        <v>48</v>
      </c>
      <c r="N537" t="s">
        <v>342</v>
      </c>
      <c r="O537" t="s">
        <v>527</v>
      </c>
      <c r="P537">
        <v>23291674</v>
      </c>
      <c r="Q537" t="s">
        <v>437</v>
      </c>
      <c r="R537" t="s">
        <v>438</v>
      </c>
      <c r="S537">
        <v>10000</v>
      </c>
      <c r="T537">
        <v>8.5500000000000007</v>
      </c>
      <c r="U537">
        <v>85500</v>
      </c>
      <c r="V537" t="str">
        <f t="shared" si="143"/>
        <v>Dahej</v>
      </c>
      <c r="W537" t="str">
        <f>VLOOKUP(B537, Currency!A:B, 2, FALSE)</f>
        <v>INR</v>
      </c>
      <c r="X537" t="str">
        <f t="shared" si="142"/>
        <v>Accepted</v>
      </c>
      <c r="Y537">
        <f>IFERROR(VLOOKUP(N537, Payment_Terms!A:B, 2, FALSE), "Payment term not found!")</f>
        <v>30</v>
      </c>
      <c r="Z537" t="str">
        <f>IFERROR(VLOOKUP(R537, Item_Category!A:B, 2, FALSE), "Uncategorized")</f>
        <v>Liner</v>
      </c>
      <c r="AA537" s="5">
        <f t="shared" si="147"/>
        <v>0</v>
      </c>
      <c r="AB537">
        <f t="shared" si="148"/>
        <v>5</v>
      </c>
      <c r="AC537" s="10">
        <f t="shared" si="149"/>
        <v>-3</v>
      </c>
      <c r="AD537">
        <f t="shared" si="150"/>
        <v>5</v>
      </c>
      <c r="AE537" s="10">
        <f t="shared" si="151"/>
        <v>7</v>
      </c>
      <c r="AF537" s="5">
        <f t="shared" si="144"/>
        <v>1</v>
      </c>
      <c r="AG537" s="5">
        <f t="shared" si="145"/>
        <v>1</v>
      </c>
      <c r="AH537" s="5">
        <f t="shared" si="152"/>
        <v>0</v>
      </c>
      <c r="AI537">
        <f>IF(B537&lt;&gt;"", COUNTIFS($B$2:B537, B537), "")</f>
        <v>5</v>
      </c>
      <c r="AJ537">
        <f t="shared" si="153"/>
        <v>5</v>
      </c>
      <c r="AK537">
        <f t="shared" si="146"/>
        <v>5</v>
      </c>
      <c r="AL537">
        <f t="shared" si="154"/>
        <v>9</v>
      </c>
      <c r="AM537" t="str">
        <f t="shared" si="155"/>
        <v>September</v>
      </c>
      <c r="AN537">
        <f t="shared" si="156"/>
        <v>2023</v>
      </c>
      <c r="AO537" t="str">
        <f t="shared" si="157"/>
        <v>&gt;3</v>
      </c>
      <c r="AP537" t="str">
        <f t="shared" si="158"/>
        <v>&gt;3</v>
      </c>
      <c r="AQ537" t="str">
        <f t="shared" si="159"/>
        <v>&gt;3</v>
      </c>
    </row>
    <row r="538" spans="1:43" x14ac:dyDescent="0.3">
      <c r="A538" t="s">
        <v>33</v>
      </c>
      <c r="B538" t="s">
        <v>366</v>
      </c>
      <c r="C538" t="s">
        <v>228</v>
      </c>
      <c r="D538">
        <v>4566</v>
      </c>
      <c r="E538">
        <v>23210689</v>
      </c>
      <c r="F538" t="s">
        <v>392</v>
      </c>
      <c r="G538" t="s">
        <v>393</v>
      </c>
      <c r="H538">
        <v>100</v>
      </c>
      <c r="I538">
        <v>11100</v>
      </c>
      <c r="J538">
        <v>1110000</v>
      </c>
      <c r="K538" s="7" t="str">
        <f>IFERROR(IF(B538&lt;&gt;"", TEXT(VLOOKUP(B538, 'Expected Date'!A:B, 2, FALSE) + DATE(RIGHT(C538,2),MID(C538,4,2),LEFT(C538,2)), "dd/mm/yy"), ""), "")</f>
        <v>24/09/23</v>
      </c>
      <c r="L538" t="s">
        <v>68</v>
      </c>
      <c r="M538" t="s">
        <v>48</v>
      </c>
      <c r="N538" t="s">
        <v>370</v>
      </c>
      <c r="O538" t="s">
        <v>228</v>
      </c>
      <c r="P538">
        <v>23291495</v>
      </c>
      <c r="Q538" t="s">
        <v>392</v>
      </c>
      <c r="R538" t="s">
        <v>393</v>
      </c>
      <c r="S538">
        <v>28.94</v>
      </c>
      <c r="T538">
        <v>11100</v>
      </c>
      <c r="U538">
        <v>321234</v>
      </c>
      <c r="V538" t="str">
        <f t="shared" si="143"/>
        <v>Dahej</v>
      </c>
      <c r="W538" t="str">
        <f>VLOOKUP(B538, Currency!A:B, 2, FALSE)</f>
        <v>INR</v>
      </c>
      <c r="X538" t="str">
        <f t="shared" si="142"/>
        <v>Accepted</v>
      </c>
      <c r="Y538">
        <f>IFERROR(VLOOKUP(N538, Payment_Terms!A:B, 2, FALSE), "Payment term not found!")</f>
        <v>15</v>
      </c>
      <c r="Z538" t="str">
        <f>IFERROR(VLOOKUP(R538, Item_Category!A:B, 2, FALSE), "Uncategorized")</f>
        <v>Coal materials</v>
      </c>
      <c r="AA538" s="5">
        <f t="shared" si="147"/>
        <v>0.41869999999999996</v>
      </c>
      <c r="AB538">
        <f t="shared" si="148"/>
        <v>1</v>
      </c>
      <c r="AC538" s="10">
        <f t="shared" si="149"/>
        <v>-2</v>
      </c>
      <c r="AD538">
        <f t="shared" si="150"/>
        <v>5</v>
      </c>
      <c r="AE538" s="10">
        <f t="shared" si="151"/>
        <v>0</v>
      </c>
      <c r="AF538" s="5">
        <f t="shared" si="144"/>
        <v>1</v>
      </c>
      <c r="AG538" s="5">
        <f t="shared" si="145"/>
        <v>1</v>
      </c>
      <c r="AH538" s="5">
        <f t="shared" si="152"/>
        <v>0</v>
      </c>
      <c r="AI538">
        <f>IF(B538&lt;&gt;"", COUNTIFS($B$2:B538, B538), "")</f>
        <v>48</v>
      </c>
      <c r="AJ538">
        <f t="shared" si="153"/>
        <v>5</v>
      </c>
      <c r="AK538">
        <f t="shared" si="146"/>
        <v>4</v>
      </c>
      <c r="AL538">
        <f t="shared" si="154"/>
        <v>9</v>
      </c>
      <c r="AM538" t="str">
        <f t="shared" si="155"/>
        <v>September</v>
      </c>
      <c r="AN538">
        <f t="shared" si="156"/>
        <v>2023</v>
      </c>
      <c r="AO538" t="str">
        <f t="shared" si="157"/>
        <v>&gt;3</v>
      </c>
      <c r="AP538" t="str">
        <f t="shared" si="158"/>
        <v>&lt;=3</v>
      </c>
      <c r="AQ538" t="str">
        <f t="shared" si="159"/>
        <v>&gt;3</v>
      </c>
    </row>
    <row r="539" spans="1:43" x14ac:dyDescent="0.3">
      <c r="A539" t="str">
        <f>A529</f>
        <v>Woodpulp</v>
      </c>
      <c r="B539" t="s">
        <v>521</v>
      </c>
      <c r="C539" t="s">
        <v>257</v>
      </c>
      <c r="D539">
        <v>2686</v>
      </c>
      <c r="E539">
        <v>23220026</v>
      </c>
      <c r="F539" t="s">
        <v>522</v>
      </c>
      <c r="G539" t="s">
        <v>523</v>
      </c>
      <c r="H539">
        <v>50</v>
      </c>
      <c r="I539">
        <v>820</v>
      </c>
      <c r="J539">
        <v>3349700</v>
      </c>
      <c r="K539" s="7" t="str">
        <f>IFERROR(IF(B539&lt;&gt;"", TEXT(VLOOKUP(B539, 'Expected Date'!A:B, 2, FALSE) + DATE(RIGHT(C539,2),MID(C539,4,2),LEFT(C539,2)), "dd/mm/yy"), ""), "")</f>
        <v>26/08/23</v>
      </c>
      <c r="L539" t="s">
        <v>38</v>
      </c>
      <c r="M539" t="str">
        <f>M355</f>
        <v>MT</v>
      </c>
      <c r="N539" t="s">
        <v>524</v>
      </c>
      <c r="O539" t="s">
        <v>323</v>
      </c>
      <c r="P539">
        <v>23291429</v>
      </c>
      <c r="Q539" t="s">
        <v>522</v>
      </c>
      <c r="R539" t="s">
        <v>523</v>
      </c>
      <c r="S539">
        <v>52.070999999999998</v>
      </c>
      <c r="T539">
        <v>820</v>
      </c>
      <c r="U539">
        <v>3509793.68</v>
      </c>
      <c r="V539" t="str">
        <f t="shared" si="143"/>
        <v>Dahej</v>
      </c>
      <c r="W539" t="str">
        <f>VLOOKUP(B539, Currency!A:B, 2, FALSE)</f>
        <v>USD</v>
      </c>
      <c r="X539" t="str">
        <f t="shared" si="142"/>
        <v>Accepted</v>
      </c>
      <c r="Y539">
        <f>IFERROR(VLOOKUP(N539, Payment_Terms!A:B, 2, FALSE), "Payment term not found!")</f>
        <v>60</v>
      </c>
      <c r="Z539" t="str">
        <f>IFERROR(VLOOKUP(R539, Item_Category!A:B, 2, FALSE), "Uncategorized")</f>
        <v>Wood pulp</v>
      </c>
      <c r="AA539" s="5">
        <f t="shared" si="147"/>
        <v>0</v>
      </c>
      <c r="AB539">
        <f t="shared" si="148"/>
        <v>5</v>
      </c>
      <c r="AC539" s="10">
        <f t="shared" si="149"/>
        <v>20</v>
      </c>
      <c r="AD539">
        <f t="shared" si="150"/>
        <v>1</v>
      </c>
      <c r="AE539" s="10">
        <f t="shared" si="151"/>
        <v>80</v>
      </c>
      <c r="AF539" s="5">
        <f t="shared" si="144"/>
        <v>1</v>
      </c>
      <c r="AG539" s="5">
        <f t="shared" si="145"/>
        <v>1</v>
      </c>
      <c r="AH539" s="5">
        <f t="shared" si="152"/>
        <v>0</v>
      </c>
      <c r="AI539">
        <f>IF(B539&lt;&gt;"", COUNTIFS($B$2:B539, B539), "")</f>
        <v>2</v>
      </c>
      <c r="AJ539">
        <f t="shared" si="153"/>
        <v>5</v>
      </c>
      <c r="AK539">
        <f t="shared" si="146"/>
        <v>4</v>
      </c>
      <c r="AL539">
        <f t="shared" si="154"/>
        <v>6</v>
      </c>
      <c r="AM539" t="str">
        <f t="shared" si="155"/>
        <v>June</v>
      </c>
      <c r="AN539">
        <f t="shared" si="156"/>
        <v>2023</v>
      </c>
      <c r="AO539" t="str">
        <f t="shared" si="157"/>
        <v>&gt;3</v>
      </c>
      <c r="AP539" t="str">
        <f t="shared" si="158"/>
        <v>&gt;3</v>
      </c>
      <c r="AQ539" t="str">
        <f t="shared" si="159"/>
        <v>&lt;=3</v>
      </c>
    </row>
    <row r="540" spans="1:43" x14ac:dyDescent="0.3">
      <c r="A540" t="str">
        <f>A526</f>
        <v>Woodpulp</v>
      </c>
      <c r="B540" t="s">
        <v>140</v>
      </c>
      <c r="C540" t="s">
        <v>71</v>
      </c>
      <c r="D540">
        <v>2729</v>
      </c>
      <c r="E540">
        <v>23220037</v>
      </c>
      <c r="F540" t="s">
        <v>359</v>
      </c>
      <c r="G540" t="s">
        <v>360</v>
      </c>
      <c r="H540">
        <v>125</v>
      </c>
      <c r="I540">
        <v>830</v>
      </c>
      <c r="J540">
        <v>8476375</v>
      </c>
      <c r="K540" s="7" t="str">
        <f>IFERROR(IF(B540&lt;&gt;"", TEXT(VLOOKUP(B540, 'Expected Date'!A:B, 2, FALSE) + DATE(RIGHT(C540,2),MID(C540,4,2),LEFT(C540,2)), "dd/mm/yy"), ""), "")</f>
        <v>06/08/23</v>
      </c>
      <c r="L540" t="s">
        <v>68</v>
      </c>
      <c r="M540" t="str">
        <f>M355</f>
        <v>MT</v>
      </c>
      <c r="N540" t="s">
        <v>144</v>
      </c>
      <c r="O540" t="s">
        <v>191</v>
      </c>
      <c r="P540">
        <v>23291246</v>
      </c>
      <c r="Q540" t="s">
        <v>359</v>
      </c>
      <c r="R540" t="s">
        <v>360</v>
      </c>
      <c r="S540">
        <v>122.663</v>
      </c>
      <c r="T540">
        <v>830</v>
      </c>
      <c r="U540">
        <v>8368805.8399999999</v>
      </c>
      <c r="V540" t="str">
        <f t="shared" si="143"/>
        <v>Dahej</v>
      </c>
      <c r="W540" t="str">
        <f>VLOOKUP(B540, Currency!A:B, 2, FALSE)</f>
        <v>USD</v>
      </c>
      <c r="X540" t="str">
        <f t="shared" ref="X540:X603" si="160">X539</f>
        <v>Accepted</v>
      </c>
      <c r="Y540">
        <f>IFERROR(VLOOKUP(N540, Payment_Terms!A:B, 2, FALSE), "Payment term not found!")</f>
        <v>30</v>
      </c>
      <c r="Z540" t="str">
        <f>IFERROR(VLOOKUP(R540, Item_Category!A:B, 2, FALSE), "Uncategorized")</f>
        <v>Wood pulp</v>
      </c>
      <c r="AA540" s="5">
        <f t="shared" si="147"/>
        <v>1.8696000000000025E-2</v>
      </c>
      <c r="AB540">
        <f t="shared" si="148"/>
        <v>4</v>
      </c>
      <c r="AC540" s="10">
        <f t="shared" si="149"/>
        <v>22</v>
      </c>
      <c r="AD540">
        <f t="shared" si="150"/>
        <v>1</v>
      </c>
      <c r="AE540" s="10">
        <f t="shared" si="151"/>
        <v>67</v>
      </c>
      <c r="AF540" s="5">
        <f t="shared" si="144"/>
        <v>1</v>
      </c>
      <c r="AG540" s="5">
        <f t="shared" si="145"/>
        <v>1</v>
      </c>
      <c r="AH540" s="5">
        <f t="shared" si="152"/>
        <v>0</v>
      </c>
      <c r="AI540">
        <f>IF(B540&lt;&gt;"", COUNTIFS($B$2:B540, B540), "")</f>
        <v>28</v>
      </c>
      <c r="AJ540">
        <f t="shared" si="153"/>
        <v>5</v>
      </c>
      <c r="AK540">
        <f t="shared" si="146"/>
        <v>4</v>
      </c>
      <c r="AL540">
        <f t="shared" si="154"/>
        <v>6</v>
      </c>
      <c r="AM540" t="str">
        <f t="shared" si="155"/>
        <v>June</v>
      </c>
      <c r="AN540">
        <f t="shared" si="156"/>
        <v>2023</v>
      </c>
      <c r="AO540" t="str">
        <f t="shared" si="157"/>
        <v>&gt;3</v>
      </c>
      <c r="AP540" t="str">
        <f t="shared" si="158"/>
        <v>&gt;3</v>
      </c>
      <c r="AQ540" t="str">
        <f t="shared" si="159"/>
        <v>&lt;=3</v>
      </c>
    </row>
    <row r="541" spans="1:43" x14ac:dyDescent="0.3">
      <c r="A541" t="s">
        <v>33</v>
      </c>
      <c r="B541" t="str">
        <f>B284</f>
        <v>Ami Enterprises</v>
      </c>
      <c r="C541" t="s">
        <v>329</v>
      </c>
      <c r="D541">
        <v>2740</v>
      </c>
      <c r="E541">
        <v>23210338</v>
      </c>
      <c r="F541" t="s">
        <v>528</v>
      </c>
      <c r="G541" t="s">
        <v>529</v>
      </c>
      <c r="H541">
        <v>4421</v>
      </c>
      <c r="I541">
        <v>27</v>
      </c>
      <c r="J541">
        <v>119367</v>
      </c>
      <c r="K541" s="7" t="str">
        <f>IFERROR(IF(B541&lt;&gt;"", TEXT(VLOOKUP(B541, 'Expected Date'!A:B, 2, FALSE) + DATE(RIGHT(C541,2),MID(C541,4,2),LEFT(C541,2)), "dd/mm/yy"), ""), "")</f>
        <v>05/07/23</v>
      </c>
      <c r="L541" t="s">
        <v>38</v>
      </c>
      <c r="M541" t="s">
        <v>39</v>
      </c>
      <c r="N541" t="s">
        <v>318</v>
      </c>
      <c r="O541" t="s">
        <v>139</v>
      </c>
      <c r="P541">
        <v>23290632</v>
      </c>
      <c r="Q541" t="s">
        <v>528</v>
      </c>
      <c r="R541" t="s">
        <v>529</v>
      </c>
      <c r="S541">
        <v>4421</v>
      </c>
      <c r="T541">
        <v>27</v>
      </c>
      <c r="U541">
        <v>119367</v>
      </c>
      <c r="V541" t="str">
        <f t="shared" si="143"/>
        <v>Dahej</v>
      </c>
      <c r="W541" t="str">
        <f>VLOOKUP(B541, Currency!A:B, 2, FALSE)</f>
        <v>INR</v>
      </c>
      <c r="X541" t="str">
        <f t="shared" si="160"/>
        <v>Accepted</v>
      </c>
      <c r="Y541">
        <f>IFERROR(VLOOKUP(N541, Payment_Terms!A:B, 2, FALSE), "Payment term not found!")</f>
        <v>30</v>
      </c>
      <c r="Z541" t="str">
        <f>IFERROR(VLOOKUP(R541, Item_Category!A:B, 2, FALSE), "Uncategorized")</f>
        <v>Liner</v>
      </c>
      <c r="AA541" s="5">
        <f t="shared" si="147"/>
        <v>0</v>
      </c>
      <c r="AB541">
        <f t="shared" si="148"/>
        <v>5</v>
      </c>
      <c r="AC541" s="10">
        <f t="shared" si="149"/>
        <v>-7</v>
      </c>
      <c r="AD541">
        <f t="shared" si="150"/>
        <v>5</v>
      </c>
      <c r="AE541" s="10">
        <f t="shared" si="151"/>
        <v>3</v>
      </c>
      <c r="AF541" s="5">
        <f t="shared" si="144"/>
        <v>1</v>
      </c>
      <c r="AG541" s="5">
        <f t="shared" si="145"/>
        <v>1</v>
      </c>
      <c r="AH541" s="5">
        <f t="shared" si="152"/>
        <v>0</v>
      </c>
      <c r="AI541">
        <f>IF(B541&lt;&gt;"", COUNTIFS($B$2:B541, B541), "")</f>
        <v>37</v>
      </c>
      <c r="AJ541">
        <f t="shared" si="153"/>
        <v>5</v>
      </c>
      <c r="AK541">
        <f t="shared" si="146"/>
        <v>5</v>
      </c>
      <c r="AL541">
        <f t="shared" si="154"/>
        <v>6</v>
      </c>
      <c r="AM541" t="str">
        <f t="shared" si="155"/>
        <v>June</v>
      </c>
      <c r="AN541">
        <f t="shared" si="156"/>
        <v>2023</v>
      </c>
      <c r="AO541" t="str">
        <f t="shared" si="157"/>
        <v>&gt;3</v>
      </c>
      <c r="AP541" t="str">
        <f t="shared" si="158"/>
        <v>&gt;3</v>
      </c>
      <c r="AQ541" t="str">
        <f t="shared" si="159"/>
        <v>&gt;3</v>
      </c>
    </row>
    <row r="542" spans="1:43" x14ac:dyDescent="0.3">
      <c r="A542" t="s">
        <v>33</v>
      </c>
      <c r="B542" t="s">
        <v>366</v>
      </c>
      <c r="C542" t="s">
        <v>87</v>
      </c>
      <c r="D542">
        <v>3042</v>
      </c>
      <c r="E542">
        <v>23210410</v>
      </c>
      <c r="F542" t="s">
        <v>392</v>
      </c>
      <c r="G542" t="s">
        <v>393</v>
      </c>
      <c r="H542">
        <v>200</v>
      </c>
      <c r="I542">
        <v>10200</v>
      </c>
      <c r="J542">
        <v>2040000</v>
      </c>
      <c r="K542" s="7" t="str">
        <f>IFERROR(IF(B542&lt;&gt;"", TEXT(VLOOKUP(B542, 'Expected Date'!A:B, 2, FALSE) + DATE(RIGHT(C542,2),MID(C542,4,2),LEFT(C542,2)), "dd/mm/yy"), ""), "")</f>
        <v>14/07/23</v>
      </c>
      <c r="L542" t="s">
        <v>68</v>
      </c>
      <c r="M542" t="s">
        <v>48</v>
      </c>
      <c r="N542" t="s">
        <v>370</v>
      </c>
      <c r="O542" t="s">
        <v>475</v>
      </c>
      <c r="P542">
        <v>23290836</v>
      </c>
      <c r="Q542" t="s">
        <v>392</v>
      </c>
      <c r="R542" t="s">
        <v>393</v>
      </c>
      <c r="S542">
        <v>27.33</v>
      </c>
      <c r="T542">
        <v>10200</v>
      </c>
      <c r="U542">
        <v>278766</v>
      </c>
      <c r="V542" t="str">
        <f t="shared" ref="V542:X605" si="161">V541</f>
        <v>Dahej</v>
      </c>
      <c r="W542" t="str">
        <f>VLOOKUP(B542, Currency!A:B, 2, FALSE)</f>
        <v>INR</v>
      </c>
      <c r="X542" t="str">
        <f t="shared" si="160"/>
        <v>Accepted</v>
      </c>
      <c r="Y542">
        <f>IFERROR(VLOOKUP(N542, Payment_Terms!A:B, 2, FALSE), "Payment term not found!")</f>
        <v>15</v>
      </c>
      <c r="Z542" t="str">
        <f>IFERROR(VLOOKUP(R542, Item_Category!A:B, 2, FALSE), "Uncategorized")</f>
        <v>Coal materials</v>
      </c>
      <c r="AA542" s="5">
        <f t="shared" si="147"/>
        <v>0.57009999999999994</v>
      </c>
      <c r="AB542">
        <f t="shared" si="148"/>
        <v>1</v>
      </c>
      <c r="AC542" s="10">
        <f t="shared" si="149"/>
        <v>5</v>
      </c>
      <c r="AD542">
        <f t="shared" si="150"/>
        <v>3</v>
      </c>
      <c r="AE542" s="10">
        <f t="shared" si="151"/>
        <v>7</v>
      </c>
      <c r="AF542" s="5">
        <f t="shared" si="144"/>
        <v>1</v>
      </c>
      <c r="AG542" s="5">
        <f t="shared" si="145"/>
        <v>1</v>
      </c>
      <c r="AH542" s="5">
        <f t="shared" si="152"/>
        <v>0</v>
      </c>
      <c r="AI542">
        <f>IF(B542&lt;&gt;"", COUNTIFS($B$2:B542, B542), "")</f>
        <v>49</v>
      </c>
      <c r="AJ542">
        <f t="shared" si="153"/>
        <v>5</v>
      </c>
      <c r="AK542">
        <f t="shared" si="146"/>
        <v>4</v>
      </c>
      <c r="AL542">
        <f t="shared" si="154"/>
        <v>7</v>
      </c>
      <c r="AM542" t="str">
        <f t="shared" si="155"/>
        <v>July</v>
      </c>
      <c r="AN542">
        <f t="shared" si="156"/>
        <v>2023</v>
      </c>
      <c r="AO542" t="str">
        <f t="shared" si="157"/>
        <v>&gt;3</v>
      </c>
      <c r="AP542" t="str">
        <f t="shared" si="158"/>
        <v>&lt;=3</v>
      </c>
      <c r="AQ542" t="str">
        <f t="shared" si="159"/>
        <v>&lt;=3</v>
      </c>
    </row>
    <row r="543" spans="1:43" x14ac:dyDescent="0.3">
      <c r="A543" t="s">
        <v>33</v>
      </c>
      <c r="B543" t="s">
        <v>429</v>
      </c>
      <c r="C543" t="s">
        <v>198</v>
      </c>
      <c r="D543">
        <v>3458</v>
      </c>
      <c r="E543">
        <v>23210474</v>
      </c>
      <c r="F543" t="s">
        <v>430</v>
      </c>
      <c r="G543" t="s">
        <v>431</v>
      </c>
      <c r="H543">
        <v>10000</v>
      </c>
      <c r="I543">
        <v>8.1999999999999993</v>
      </c>
      <c r="J543">
        <v>82000</v>
      </c>
      <c r="K543" s="7" t="str">
        <f>IFERROR(IF(B543&lt;&gt;"", TEXT(VLOOKUP(B543, 'Expected Date'!A:B, 2, FALSE) + DATE(RIGHT(C543,2),MID(C543,4,2),LEFT(C543,2)), "dd/mm/yy"), ""), "")</f>
        <v>05/08/23</v>
      </c>
      <c r="L543" t="s">
        <v>38</v>
      </c>
      <c r="M543" t="s">
        <v>48</v>
      </c>
      <c r="N543" t="s">
        <v>299</v>
      </c>
      <c r="O543" t="s">
        <v>207</v>
      </c>
      <c r="P543">
        <v>23291077</v>
      </c>
      <c r="Q543" t="s">
        <v>430</v>
      </c>
      <c r="R543" t="s">
        <v>431</v>
      </c>
      <c r="S543">
        <v>2565</v>
      </c>
      <c r="T543">
        <v>8.1999999999999993</v>
      </c>
      <c r="U543">
        <v>21033</v>
      </c>
      <c r="V543" t="str">
        <f t="shared" si="161"/>
        <v>Dahej</v>
      </c>
      <c r="W543" t="str">
        <f>VLOOKUP(B543, Currency!A:B, 2, FALSE)</f>
        <v>INR</v>
      </c>
      <c r="X543" t="str">
        <f t="shared" si="160"/>
        <v>Accepted</v>
      </c>
      <c r="Y543">
        <f>IFERROR(VLOOKUP(N543, Payment_Terms!A:B, 2, FALSE), "Payment term not found!")</f>
        <v>60</v>
      </c>
      <c r="Z543" t="str">
        <f>IFERROR(VLOOKUP(R543, Item_Category!A:B, 2, FALSE), "Uncategorized")</f>
        <v>Lime</v>
      </c>
      <c r="AA543" s="5">
        <f t="shared" si="147"/>
        <v>0</v>
      </c>
      <c r="AB543">
        <f t="shared" si="148"/>
        <v>5</v>
      </c>
      <c r="AC543" s="10">
        <f t="shared" si="149"/>
        <v>8</v>
      </c>
      <c r="AD543">
        <f t="shared" si="150"/>
        <v>2</v>
      </c>
      <c r="AE543" s="10">
        <f t="shared" si="151"/>
        <v>13</v>
      </c>
      <c r="AF543" s="5">
        <f t="shared" si="144"/>
        <v>1</v>
      </c>
      <c r="AG543" s="5">
        <f t="shared" si="145"/>
        <v>1</v>
      </c>
      <c r="AH543" s="5">
        <f t="shared" si="152"/>
        <v>0</v>
      </c>
      <c r="AI543">
        <f>IF(B543&lt;&gt;"", COUNTIFS($B$2:B543, B543), "")</f>
        <v>8</v>
      </c>
      <c r="AJ543">
        <f t="shared" si="153"/>
        <v>5</v>
      </c>
      <c r="AK543">
        <f t="shared" si="146"/>
        <v>5</v>
      </c>
      <c r="AL543">
        <f t="shared" si="154"/>
        <v>7</v>
      </c>
      <c r="AM543" t="str">
        <f t="shared" si="155"/>
        <v>July</v>
      </c>
      <c r="AN543">
        <f t="shared" si="156"/>
        <v>2023</v>
      </c>
      <c r="AO543" t="str">
        <f t="shared" si="157"/>
        <v>&gt;3</v>
      </c>
      <c r="AP543" t="str">
        <f t="shared" si="158"/>
        <v>&gt;3</v>
      </c>
      <c r="AQ543" t="str">
        <f t="shared" si="159"/>
        <v>&lt;=3</v>
      </c>
    </row>
    <row r="544" spans="1:43" x14ac:dyDescent="0.3">
      <c r="A544" t="s">
        <v>33</v>
      </c>
      <c r="B544" t="s">
        <v>122</v>
      </c>
      <c r="C544" t="s">
        <v>354</v>
      </c>
      <c r="D544">
        <v>2806</v>
      </c>
      <c r="E544">
        <v>23210359</v>
      </c>
      <c r="F544" t="s">
        <v>405</v>
      </c>
      <c r="G544" t="s">
        <v>406</v>
      </c>
      <c r="H544">
        <v>600</v>
      </c>
      <c r="I544">
        <v>930</v>
      </c>
      <c r="J544">
        <v>558000</v>
      </c>
      <c r="K544" s="7" t="str">
        <f>IFERROR(IF(B544&lt;&gt;"", TEXT(VLOOKUP(B544, 'Expected Date'!A:B, 2, FALSE) + DATE(RIGHT(C544,2),MID(C544,4,2),LEFT(C544,2)), "dd/mm/yy"), ""), "")</f>
        <v>18/07/23</v>
      </c>
      <c r="L544" t="s">
        <v>38</v>
      </c>
      <c r="M544" t="s">
        <v>48</v>
      </c>
      <c r="N544" t="s">
        <v>364</v>
      </c>
      <c r="O544" t="s">
        <v>476</v>
      </c>
      <c r="P544">
        <v>23291082</v>
      </c>
      <c r="Q544" t="s">
        <v>405</v>
      </c>
      <c r="R544" t="s">
        <v>406</v>
      </c>
      <c r="S544">
        <v>30</v>
      </c>
      <c r="T544">
        <v>930</v>
      </c>
      <c r="U544">
        <v>27900</v>
      </c>
      <c r="V544" t="str">
        <f t="shared" si="161"/>
        <v>Dahej</v>
      </c>
      <c r="W544" t="str">
        <f>VLOOKUP(B544, Currency!A:B, 2, FALSE)</f>
        <v>INR</v>
      </c>
      <c r="X544" t="str">
        <f t="shared" si="160"/>
        <v>Accepted</v>
      </c>
      <c r="Y544">
        <f>IFERROR(VLOOKUP(N544, Payment_Terms!A:B, 2, FALSE), "Payment term not found!")</f>
        <v>30</v>
      </c>
      <c r="Z544" t="str">
        <f>IFERROR(VLOOKUP(R544, Item_Category!A:B, 2, FALSE), "Uncategorized")</f>
        <v>Pallets</v>
      </c>
      <c r="AA544" s="5">
        <f t="shared" si="147"/>
        <v>0</v>
      </c>
      <c r="AB544">
        <f t="shared" si="148"/>
        <v>5</v>
      </c>
      <c r="AC544" s="10">
        <f t="shared" si="149"/>
        <v>28</v>
      </c>
      <c r="AD544">
        <f t="shared" si="150"/>
        <v>1</v>
      </c>
      <c r="AE544" s="10">
        <f t="shared" si="151"/>
        <v>43</v>
      </c>
      <c r="AF544" s="5">
        <f t="shared" si="144"/>
        <v>1</v>
      </c>
      <c r="AG544" s="5">
        <f t="shared" si="145"/>
        <v>1</v>
      </c>
      <c r="AH544" s="5">
        <f t="shared" si="152"/>
        <v>0</v>
      </c>
      <c r="AI544">
        <f>IF(B544&lt;&gt;"", COUNTIFS($B$2:B544, B544), "")</f>
        <v>29</v>
      </c>
      <c r="AJ544">
        <f t="shared" si="153"/>
        <v>5</v>
      </c>
      <c r="AK544">
        <f t="shared" si="146"/>
        <v>4</v>
      </c>
      <c r="AL544">
        <f t="shared" si="154"/>
        <v>7</v>
      </c>
      <c r="AM544" t="str">
        <f t="shared" si="155"/>
        <v>July</v>
      </c>
      <c r="AN544">
        <f t="shared" si="156"/>
        <v>2023</v>
      </c>
      <c r="AO544" t="str">
        <f t="shared" si="157"/>
        <v>&gt;3</v>
      </c>
      <c r="AP544" t="str">
        <f t="shared" si="158"/>
        <v>&gt;3</v>
      </c>
      <c r="AQ544" t="str">
        <f t="shared" si="159"/>
        <v>&lt;=3</v>
      </c>
    </row>
    <row r="545" spans="1:43" x14ac:dyDescent="0.3">
      <c r="A545" t="s">
        <v>33</v>
      </c>
      <c r="B545" t="s">
        <v>382</v>
      </c>
      <c r="C545" t="s">
        <v>279</v>
      </c>
      <c r="D545">
        <v>4449</v>
      </c>
      <c r="E545">
        <v>23210676</v>
      </c>
      <c r="F545" t="s">
        <v>412</v>
      </c>
      <c r="G545" t="s">
        <v>413</v>
      </c>
      <c r="H545">
        <v>1000</v>
      </c>
      <c r="I545">
        <v>19.2</v>
      </c>
      <c r="J545">
        <v>19200</v>
      </c>
      <c r="K545" s="7" t="str">
        <f>IFERROR(IF(B545&lt;&gt;"", TEXT(VLOOKUP(B545, 'Expected Date'!A:B, 2, FALSE) + DATE(RIGHT(C545,2),MID(C545,4,2),LEFT(C545,2)), "dd/mm/yy"), ""), "")</f>
        <v>29/09/23</v>
      </c>
      <c r="L545" t="s">
        <v>38</v>
      </c>
      <c r="M545" t="s">
        <v>48</v>
      </c>
      <c r="N545" t="s">
        <v>342</v>
      </c>
      <c r="O545" t="s">
        <v>181</v>
      </c>
      <c r="P545">
        <v>23291470</v>
      </c>
      <c r="Q545" t="s">
        <v>412</v>
      </c>
      <c r="R545" t="s">
        <v>413</v>
      </c>
      <c r="S545">
        <v>1000</v>
      </c>
      <c r="T545">
        <v>19.2</v>
      </c>
      <c r="U545">
        <v>19200</v>
      </c>
      <c r="V545" t="str">
        <f t="shared" si="161"/>
        <v>Dahej</v>
      </c>
      <c r="W545" t="str">
        <f>VLOOKUP(B545, Currency!A:B, 2, FALSE)</f>
        <v>INR</v>
      </c>
      <c r="X545" t="str">
        <f t="shared" si="160"/>
        <v>Accepted</v>
      </c>
      <c r="Y545">
        <f>IFERROR(VLOOKUP(N545, Payment_Terms!A:B, 2, FALSE), "Payment term not found!")</f>
        <v>30</v>
      </c>
      <c r="Z545" t="str">
        <f>IFERROR(VLOOKUP(R545, Item_Category!A:B, 2, FALSE), "Uncategorized")</f>
        <v>NON FERRIC ALUM</v>
      </c>
      <c r="AA545" s="5">
        <f t="shared" si="147"/>
        <v>0</v>
      </c>
      <c r="AB545">
        <f t="shared" si="148"/>
        <v>5</v>
      </c>
      <c r="AC545" s="10">
        <f t="shared" si="149"/>
        <v>-8</v>
      </c>
      <c r="AD545">
        <f t="shared" si="150"/>
        <v>5</v>
      </c>
      <c r="AE545" s="10">
        <f t="shared" si="151"/>
        <v>2</v>
      </c>
      <c r="AF545" s="5">
        <f t="shared" si="144"/>
        <v>1</v>
      </c>
      <c r="AG545" s="5">
        <f t="shared" si="145"/>
        <v>1</v>
      </c>
      <c r="AH545" s="5">
        <f t="shared" si="152"/>
        <v>0</v>
      </c>
      <c r="AI545">
        <f>IF(B545&lt;&gt;"", COUNTIFS($B$2:B545, B545), "")</f>
        <v>17</v>
      </c>
      <c r="AJ545">
        <f t="shared" si="153"/>
        <v>5</v>
      </c>
      <c r="AK545">
        <f t="shared" si="146"/>
        <v>5</v>
      </c>
      <c r="AL545">
        <f t="shared" si="154"/>
        <v>9</v>
      </c>
      <c r="AM545" t="str">
        <f t="shared" si="155"/>
        <v>September</v>
      </c>
      <c r="AN545">
        <f t="shared" si="156"/>
        <v>2023</v>
      </c>
      <c r="AO545" t="str">
        <f t="shared" si="157"/>
        <v>&gt;3</v>
      </c>
      <c r="AP545" t="str">
        <f t="shared" si="158"/>
        <v>&gt;3</v>
      </c>
      <c r="AQ545" t="str">
        <f t="shared" si="159"/>
        <v>&gt;3</v>
      </c>
    </row>
    <row r="546" spans="1:43" x14ac:dyDescent="0.3">
      <c r="A546" t="s">
        <v>33</v>
      </c>
      <c r="B546" t="s">
        <v>386</v>
      </c>
      <c r="C546" t="s">
        <v>103</v>
      </c>
      <c r="D546">
        <v>4319</v>
      </c>
      <c r="E546">
        <v>23210652</v>
      </c>
      <c r="F546" t="s">
        <v>437</v>
      </c>
      <c r="G546" t="s">
        <v>438</v>
      </c>
      <c r="H546">
        <v>5740</v>
      </c>
      <c r="I546">
        <v>9.3099000000000007</v>
      </c>
      <c r="J546">
        <v>53438.83</v>
      </c>
      <c r="K546" s="7" t="str">
        <f>IFERROR(IF(B546&lt;&gt;"", TEXT(VLOOKUP(B546, 'Expected Date'!A:B, 2, FALSE) + DATE(RIGHT(C546,2),MID(C546,4,2),LEFT(C546,2)), "dd/mm/yy"), ""), "")</f>
        <v>11/09/23</v>
      </c>
      <c r="L546" t="s">
        <v>38</v>
      </c>
      <c r="M546" t="s">
        <v>48</v>
      </c>
      <c r="N546" t="s">
        <v>318</v>
      </c>
      <c r="O546" t="s">
        <v>482</v>
      </c>
      <c r="P546">
        <v>23291399</v>
      </c>
      <c r="Q546" t="s">
        <v>437</v>
      </c>
      <c r="R546" t="s">
        <v>438</v>
      </c>
      <c r="S546">
        <v>5740</v>
      </c>
      <c r="T546">
        <v>9.3099000000000007</v>
      </c>
      <c r="U546">
        <v>53438.83</v>
      </c>
      <c r="V546" t="str">
        <f t="shared" si="161"/>
        <v>Dahej</v>
      </c>
      <c r="W546" t="str">
        <f>VLOOKUP(B546, Currency!A:B, 2, FALSE)</f>
        <v>INR</v>
      </c>
      <c r="X546" t="str">
        <f t="shared" si="160"/>
        <v>Accepted</v>
      </c>
      <c r="Y546">
        <f>IFERROR(VLOOKUP(N546, Payment_Terms!A:B, 2, FALSE), "Payment term not found!")</f>
        <v>30</v>
      </c>
      <c r="Z546" t="str">
        <f>IFERROR(VLOOKUP(R546, Item_Category!A:B, 2, FALSE), "Uncategorized")</f>
        <v>Liner</v>
      </c>
      <c r="AA546" s="5">
        <f t="shared" si="147"/>
        <v>0</v>
      </c>
      <c r="AB546">
        <f t="shared" si="148"/>
        <v>5</v>
      </c>
      <c r="AC546" s="10">
        <f t="shared" si="149"/>
        <v>-4</v>
      </c>
      <c r="AD546">
        <f t="shared" si="150"/>
        <v>5</v>
      </c>
      <c r="AE546" s="10">
        <f t="shared" si="151"/>
        <v>1</v>
      </c>
      <c r="AF546" s="5">
        <f t="shared" si="144"/>
        <v>1</v>
      </c>
      <c r="AG546" s="5">
        <f t="shared" si="145"/>
        <v>1</v>
      </c>
      <c r="AH546" s="5">
        <f t="shared" si="152"/>
        <v>0</v>
      </c>
      <c r="AI546">
        <f>IF(B546&lt;&gt;"", COUNTIFS($B$2:B546, B546), "")</f>
        <v>20</v>
      </c>
      <c r="AJ546">
        <f t="shared" si="153"/>
        <v>5</v>
      </c>
      <c r="AK546">
        <f t="shared" si="146"/>
        <v>5</v>
      </c>
      <c r="AL546">
        <f t="shared" si="154"/>
        <v>9</v>
      </c>
      <c r="AM546" t="str">
        <f t="shared" si="155"/>
        <v>September</v>
      </c>
      <c r="AN546">
        <f t="shared" si="156"/>
        <v>2023</v>
      </c>
      <c r="AO546" t="str">
        <f t="shared" si="157"/>
        <v>&gt;3</v>
      </c>
      <c r="AP546" t="str">
        <f t="shared" si="158"/>
        <v>&gt;3</v>
      </c>
      <c r="AQ546" t="str">
        <f t="shared" si="159"/>
        <v>&gt;3</v>
      </c>
    </row>
    <row r="547" spans="1:43" x14ac:dyDescent="0.3">
      <c r="A547" t="s">
        <v>33</v>
      </c>
      <c r="B547" t="s">
        <v>386</v>
      </c>
      <c r="C547" t="s">
        <v>206</v>
      </c>
      <c r="D547">
        <v>4383</v>
      </c>
      <c r="E547">
        <v>23210662</v>
      </c>
      <c r="F547" t="s">
        <v>494</v>
      </c>
      <c r="G547" t="s">
        <v>495</v>
      </c>
      <c r="H547">
        <v>120</v>
      </c>
      <c r="I547">
        <v>510</v>
      </c>
      <c r="J547">
        <v>61200</v>
      </c>
      <c r="K547" s="7" t="str">
        <f>IFERROR(IF(B547&lt;&gt;"", TEXT(VLOOKUP(B547, 'Expected Date'!A:B, 2, FALSE) + DATE(RIGHT(C547,2),MID(C547,4,2),LEFT(C547,2)), "dd/mm/yy"), ""), "")</f>
        <v>18/09/23</v>
      </c>
      <c r="L547" t="s">
        <v>38</v>
      </c>
      <c r="M547" t="s">
        <v>48</v>
      </c>
      <c r="N547" t="s">
        <v>342</v>
      </c>
      <c r="O547" t="s">
        <v>151</v>
      </c>
      <c r="P547">
        <v>23291419</v>
      </c>
      <c r="Q547" t="s">
        <v>494</v>
      </c>
      <c r="R547" t="s">
        <v>495</v>
      </c>
      <c r="S547">
        <v>120</v>
      </c>
      <c r="T547">
        <v>510</v>
      </c>
      <c r="U547">
        <v>61200</v>
      </c>
      <c r="V547" t="str">
        <f t="shared" si="161"/>
        <v>Dahej</v>
      </c>
      <c r="W547" t="str">
        <f>VLOOKUP(B547, Currency!A:B, 2, FALSE)</f>
        <v>INR</v>
      </c>
      <c r="X547" t="str">
        <f t="shared" si="160"/>
        <v>Accepted</v>
      </c>
      <c r="Y547">
        <f>IFERROR(VLOOKUP(N547, Payment_Terms!A:B, 2, FALSE), "Payment term not found!")</f>
        <v>30</v>
      </c>
      <c r="Z547" t="str">
        <f>IFERROR(VLOOKUP(R547, Item_Category!A:B, 2, FALSE), "Uncategorized")</f>
        <v>Strapping rolls</v>
      </c>
      <c r="AA547" s="5">
        <f t="shared" si="147"/>
        <v>0</v>
      </c>
      <c r="AB547">
        <f t="shared" si="148"/>
        <v>5</v>
      </c>
      <c r="AC547" s="10">
        <f t="shared" si="149"/>
        <v>-4</v>
      </c>
      <c r="AD547">
        <f t="shared" si="150"/>
        <v>5</v>
      </c>
      <c r="AE547" s="10">
        <f t="shared" si="151"/>
        <v>1</v>
      </c>
      <c r="AF547" s="5">
        <f t="shared" si="144"/>
        <v>1</v>
      </c>
      <c r="AG547" s="5">
        <f t="shared" si="145"/>
        <v>1</v>
      </c>
      <c r="AH547" s="5">
        <f t="shared" si="152"/>
        <v>0</v>
      </c>
      <c r="AI547">
        <f>IF(B547&lt;&gt;"", COUNTIFS($B$2:B547, B547), "")</f>
        <v>21</v>
      </c>
      <c r="AJ547">
        <f t="shared" si="153"/>
        <v>5</v>
      </c>
      <c r="AK547">
        <f t="shared" si="146"/>
        <v>5</v>
      </c>
      <c r="AL547">
        <f t="shared" si="154"/>
        <v>9</v>
      </c>
      <c r="AM547" t="str">
        <f t="shared" si="155"/>
        <v>September</v>
      </c>
      <c r="AN547">
        <f t="shared" si="156"/>
        <v>2023</v>
      </c>
      <c r="AO547" t="str">
        <f t="shared" si="157"/>
        <v>&gt;3</v>
      </c>
      <c r="AP547" t="str">
        <f t="shared" si="158"/>
        <v>&gt;3</v>
      </c>
      <c r="AQ547" t="str">
        <f t="shared" si="159"/>
        <v>&gt;3</v>
      </c>
    </row>
    <row r="548" spans="1:43" x14ac:dyDescent="0.3">
      <c r="A548" t="s">
        <v>33</v>
      </c>
      <c r="B548" t="s">
        <v>358</v>
      </c>
      <c r="C548" t="s">
        <v>229</v>
      </c>
      <c r="D548">
        <v>4730</v>
      </c>
      <c r="E548">
        <v>23220070</v>
      </c>
      <c r="F548" t="s">
        <v>443</v>
      </c>
      <c r="G548" t="s">
        <v>99</v>
      </c>
      <c r="H548">
        <v>40</v>
      </c>
      <c r="I548">
        <v>72090</v>
      </c>
      <c r="J548">
        <v>2883600</v>
      </c>
      <c r="K548" s="7" t="str">
        <f>IFERROR(IF(B548&lt;&gt;"", TEXT(VLOOKUP(B548, 'Expected Date'!A:B, 2, FALSE) + DATE(RIGHT(C548,2),MID(C548,4,2),LEFT(C548,2)), "dd/mm/yy"), ""), "")</f>
        <v>02/10/23</v>
      </c>
      <c r="L548" t="s">
        <v>38</v>
      </c>
      <c r="M548" t="s">
        <v>48</v>
      </c>
      <c r="N548" t="s">
        <v>361</v>
      </c>
      <c r="O548" t="s">
        <v>530</v>
      </c>
      <c r="P548">
        <v>23291672</v>
      </c>
      <c r="Q548" t="s">
        <v>443</v>
      </c>
      <c r="R548" t="s">
        <v>99</v>
      </c>
      <c r="S548">
        <v>20.32</v>
      </c>
      <c r="T548">
        <v>72090</v>
      </c>
      <c r="U548">
        <v>1464868.8</v>
      </c>
      <c r="V548" t="str">
        <f t="shared" si="161"/>
        <v>Dahej</v>
      </c>
      <c r="W548" t="str">
        <f>VLOOKUP(B548, Currency!A:B, 2, FALSE)</f>
        <v>INR</v>
      </c>
      <c r="X548" t="str">
        <f t="shared" si="160"/>
        <v>Accepted</v>
      </c>
      <c r="Y548">
        <f>IFERROR(VLOOKUP(N548, Payment_Terms!A:B, 2, FALSE), "Payment term not found!")</f>
        <v>0</v>
      </c>
      <c r="Z548" t="str">
        <f>IFERROR(VLOOKUP(R548, Item_Category!A:B, 2, FALSE), "Uncategorized")</f>
        <v>Wood pulp</v>
      </c>
      <c r="AA548" s="5">
        <f t="shared" si="147"/>
        <v>0</v>
      </c>
      <c r="AB548">
        <f t="shared" si="148"/>
        <v>5</v>
      </c>
      <c r="AC548" s="10">
        <f t="shared" si="149"/>
        <v>6</v>
      </c>
      <c r="AD548">
        <f t="shared" si="150"/>
        <v>3</v>
      </c>
      <c r="AE548" s="10">
        <f t="shared" si="151"/>
        <v>8</v>
      </c>
      <c r="AF548" s="5">
        <f t="shared" si="144"/>
        <v>1</v>
      </c>
      <c r="AG548" s="5">
        <f t="shared" si="145"/>
        <v>1</v>
      </c>
      <c r="AH548" s="5">
        <f t="shared" si="152"/>
        <v>0</v>
      </c>
      <c r="AI548">
        <f>IF(B548&lt;&gt;"", COUNTIFS($B$2:B548, B548), "")</f>
        <v>3</v>
      </c>
      <c r="AJ548">
        <f t="shared" si="153"/>
        <v>5</v>
      </c>
      <c r="AK548">
        <f t="shared" si="146"/>
        <v>5</v>
      </c>
      <c r="AL548">
        <f t="shared" si="154"/>
        <v>9</v>
      </c>
      <c r="AM548" t="str">
        <f t="shared" si="155"/>
        <v>September</v>
      </c>
      <c r="AN548">
        <f t="shared" si="156"/>
        <v>2023</v>
      </c>
      <c r="AO548" t="str">
        <f t="shared" si="157"/>
        <v>&gt;3</v>
      </c>
      <c r="AP548" t="str">
        <f t="shared" si="158"/>
        <v>&gt;3</v>
      </c>
      <c r="AQ548" t="str">
        <f t="shared" si="159"/>
        <v>&lt;=3</v>
      </c>
    </row>
    <row r="549" spans="1:43" x14ac:dyDescent="0.3">
      <c r="A549" t="s">
        <v>33</v>
      </c>
      <c r="B549" t="s">
        <v>366</v>
      </c>
      <c r="C549" t="s">
        <v>103</v>
      </c>
      <c r="D549">
        <v>4206</v>
      </c>
      <c r="E549">
        <v>23210622</v>
      </c>
      <c r="F549" t="s">
        <v>392</v>
      </c>
      <c r="G549" t="s">
        <v>393</v>
      </c>
      <c r="H549">
        <v>150</v>
      </c>
      <c r="I549">
        <v>9850</v>
      </c>
      <c r="J549">
        <v>1477500</v>
      </c>
      <c r="K549" s="7" t="str">
        <f>IFERROR(IF(B549&lt;&gt;"", TEXT(VLOOKUP(B549, 'Expected Date'!A:B, 2, FALSE) + DATE(RIGHT(C549,2),MID(C549,4,2),LEFT(C549,2)), "dd/mm/yy"), ""), "")</f>
        <v>08/09/23</v>
      </c>
      <c r="L549" t="s">
        <v>68</v>
      </c>
      <c r="M549" t="s">
        <v>48</v>
      </c>
      <c r="N549" t="s">
        <v>370</v>
      </c>
      <c r="O549" t="s">
        <v>531</v>
      </c>
      <c r="P549">
        <v>23291368</v>
      </c>
      <c r="Q549" t="s">
        <v>392</v>
      </c>
      <c r="R549" t="s">
        <v>393</v>
      </c>
      <c r="S549">
        <v>27.19</v>
      </c>
      <c r="T549">
        <v>9850</v>
      </c>
      <c r="U549">
        <v>267821.5</v>
      </c>
      <c r="V549" t="str">
        <f t="shared" si="161"/>
        <v>Dahej</v>
      </c>
      <c r="W549" t="str">
        <f>VLOOKUP(B549, Currency!A:B, 2, FALSE)</f>
        <v>INR</v>
      </c>
      <c r="X549" t="str">
        <f t="shared" si="160"/>
        <v>Accepted</v>
      </c>
      <c r="Y549">
        <f>IFERROR(VLOOKUP(N549, Payment_Terms!A:B, 2, FALSE), "Payment term not found!")</f>
        <v>15</v>
      </c>
      <c r="Z549" t="str">
        <f>IFERROR(VLOOKUP(R549, Item_Category!A:B, 2, FALSE), "Uncategorized")</f>
        <v>Coal materials</v>
      </c>
      <c r="AA549" s="5">
        <f t="shared" si="147"/>
        <v>0.81873333333333331</v>
      </c>
      <c r="AB549">
        <f t="shared" si="148"/>
        <v>1</v>
      </c>
      <c r="AC549" s="10">
        <f t="shared" si="149"/>
        <v>2</v>
      </c>
      <c r="AD549">
        <f t="shared" si="150"/>
        <v>5</v>
      </c>
      <c r="AE549" s="10">
        <f t="shared" si="151"/>
        <v>4</v>
      </c>
      <c r="AF549" s="5">
        <f t="shared" si="144"/>
        <v>1</v>
      </c>
      <c r="AG549" s="5">
        <f t="shared" si="145"/>
        <v>1</v>
      </c>
      <c r="AH549" s="5">
        <f t="shared" si="152"/>
        <v>0</v>
      </c>
      <c r="AI549">
        <f>IF(B549&lt;&gt;"", COUNTIFS($B$2:B549, B549), "")</f>
        <v>50</v>
      </c>
      <c r="AJ549">
        <f t="shared" si="153"/>
        <v>5</v>
      </c>
      <c r="AK549">
        <f t="shared" si="146"/>
        <v>4</v>
      </c>
      <c r="AL549">
        <f t="shared" si="154"/>
        <v>9</v>
      </c>
      <c r="AM549" t="str">
        <f t="shared" si="155"/>
        <v>September</v>
      </c>
      <c r="AN549">
        <f t="shared" si="156"/>
        <v>2023</v>
      </c>
      <c r="AO549" t="str">
        <f t="shared" si="157"/>
        <v>&gt;3</v>
      </c>
      <c r="AP549" t="str">
        <f t="shared" si="158"/>
        <v>&lt;=3</v>
      </c>
      <c r="AQ549" t="str">
        <f t="shared" si="159"/>
        <v>&gt;3</v>
      </c>
    </row>
    <row r="550" spans="1:43" x14ac:dyDescent="0.3">
      <c r="A550" t="s">
        <v>33</v>
      </c>
      <c r="B550" t="s">
        <v>366</v>
      </c>
      <c r="C550" t="s">
        <v>272</v>
      </c>
      <c r="D550">
        <v>4670</v>
      </c>
      <c r="E550">
        <v>23210706</v>
      </c>
      <c r="F550" t="s">
        <v>392</v>
      </c>
      <c r="G550" t="s">
        <v>393</v>
      </c>
      <c r="H550">
        <v>100</v>
      </c>
      <c r="I550">
        <v>8400</v>
      </c>
      <c r="J550">
        <v>840000</v>
      </c>
      <c r="K550" s="7" t="str">
        <f>IFERROR(IF(B550&lt;&gt;"", TEXT(VLOOKUP(B550, 'Expected Date'!A:B, 2, FALSE) + DATE(RIGHT(C550,2),MID(C550,4,2),LEFT(C550,2)), "dd/mm/yy"), ""), "")</f>
        <v>27/09/23</v>
      </c>
      <c r="L550" t="s">
        <v>38</v>
      </c>
      <c r="M550" t="s">
        <v>48</v>
      </c>
      <c r="N550" t="s">
        <v>532</v>
      </c>
      <c r="O550" t="s">
        <v>247</v>
      </c>
      <c r="P550">
        <v>23291601</v>
      </c>
      <c r="Q550" t="s">
        <v>392</v>
      </c>
      <c r="R550" t="s">
        <v>393</v>
      </c>
      <c r="S550">
        <v>10.18</v>
      </c>
      <c r="T550">
        <v>8400</v>
      </c>
      <c r="U550">
        <v>85512</v>
      </c>
      <c r="V550" t="str">
        <f t="shared" si="161"/>
        <v>Dahej</v>
      </c>
      <c r="W550" t="str">
        <f>VLOOKUP(B550, Currency!A:B, 2, FALSE)</f>
        <v>INR</v>
      </c>
      <c r="X550" t="str">
        <f t="shared" si="160"/>
        <v>Accepted</v>
      </c>
      <c r="Y550">
        <f>IFERROR(VLOOKUP(N550, Payment_Terms!A:B, 2, FALSE), "Payment term not found!")</f>
        <v>15</v>
      </c>
      <c r="Z550" t="str">
        <f>IFERROR(VLOOKUP(R550, Item_Category!A:B, 2, FALSE), "Uncategorized")</f>
        <v>Coal materials</v>
      </c>
      <c r="AA550" s="5">
        <f t="shared" si="147"/>
        <v>0</v>
      </c>
      <c r="AB550">
        <f t="shared" si="148"/>
        <v>5</v>
      </c>
      <c r="AC550" s="10">
        <f t="shared" si="149"/>
        <v>8</v>
      </c>
      <c r="AD550">
        <f t="shared" si="150"/>
        <v>2</v>
      </c>
      <c r="AE550" s="10">
        <f t="shared" si="151"/>
        <v>10</v>
      </c>
      <c r="AF550" s="5">
        <f t="shared" si="144"/>
        <v>1</v>
      </c>
      <c r="AG550" s="5">
        <f t="shared" si="145"/>
        <v>1</v>
      </c>
      <c r="AH550" s="5">
        <f t="shared" si="152"/>
        <v>0</v>
      </c>
      <c r="AI550">
        <f>IF(B550&lt;&gt;"", COUNTIFS($B$2:B550, B550), "")</f>
        <v>51</v>
      </c>
      <c r="AJ550">
        <f t="shared" si="153"/>
        <v>5</v>
      </c>
      <c r="AK550">
        <f t="shared" si="146"/>
        <v>5</v>
      </c>
      <c r="AL550">
        <f t="shared" si="154"/>
        <v>9</v>
      </c>
      <c r="AM550" t="str">
        <f t="shared" si="155"/>
        <v>September</v>
      </c>
      <c r="AN550">
        <f t="shared" si="156"/>
        <v>2023</v>
      </c>
      <c r="AO550" t="str">
        <f t="shared" si="157"/>
        <v>&gt;3</v>
      </c>
      <c r="AP550" t="str">
        <f t="shared" si="158"/>
        <v>&gt;3</v>
      </c>
      <c r="AQ550" t="str">
        <f t="shared" si="159"/>
        <v>&lt;=3</v>
      </c>
    </row>
    <row r="551" spans="1:43" x14ac:dyDescent="0.3">
      <c r="A551" t="s">
        <v>33</v>
      </c>
      <c r="B551" t="s">
        <v>533</v>
      </c>
      <c r="C551" t="s">
        <v>293</v>
      </c>
      <c r="D551">
        <v>3910</v>
      </c>
      <c r="E551">
        <v>23210566</v>
      </c>
      <c r="F551" t="s">
        <v>420</v>
      </c>
      <c r="G551" t="s">
        <v>421</v>
      </c>
      <c r="H551">
        <v>2000</v>
      </c>
      <c r="I551">
        <v>35</v>
      </c>
      <c r="J551">
        <v>70000</v>
      </c>
      <c r="K551" s="7" t="str">
        <f>IFERROR(IF(B551&lt;&gt;"", TEXT(VLOOKUP(B551, 'Expected Date'!A:B, 2, FALSE) + DATE(RIGHT(C551,2),MID(C551,4,2),LEFT(C551,2)), "dd/mm/yy"), ""), "")</f>
        <v>27/08/23</v>
      </c>
      <c r="L551" t="s">
        <v>38</v>
      </c>
      <c r="M551" t="s">
        <v>48</v>
      </c>
      <c r="N551" t="s">
        <v>342</v>
      </c>
      <c r="O551" t="s">
        <v>294</v>
      </c>
      <c r="P551">
        <v>23291203</v>
      </c>
      <c r="Q551" t="s">
        <v>420</v>
      </c>
      <c r="R551" t="s">
        <v>421</v>
      </c>
      <c r="S551">
        <v>2000</v>
      </c>
      <c r="T551">
        <v>35</v>
      </c>
      <c r="U551">
        <v>70000</v>
      </c>
      <c r="V551" t="str">
        <f t="shared" si="161"/>
        <v>Dahej</v>
      </c>
      <c r="W551" t="str">
        <f>VLOOKUP(B551, Currency!A:B, 2, FALSE)</f>
        <v>INR</v>
      </c>
      <c r="X551" t="str">
        <f t="shared" si="160"/>
        <v>Accepted</v>
      </c>
      <c r="Y551">
        <f>IFERROR(VLOOKUP(N551, Payment_Terms!A:B, 2, FALSE), "Payment term not found!")</f>
        <v>30</v>
      </c>
      <c r="Z551" t="str">
        <f>IFERROR(VLOOKUP(R551, Item_Category!A:B, 2, FALSE), "Uncategorized")</f>
        <v>Hydrogen Peroxide</v>
      </c>
      <c r="AA551" s="5">
        <f t="shared" si="147"/>
        <v>0</v>
      </c>
      <c r="AB551">
        <f t="shared" si="148"/>
        <v>5</v>
      </c>
      <c r="AC551" s="10">
        <f t="shared" si="149"/>
        <v>-4</v>
      </c>
      <c r="AD551">
        <f t="shared" si="150"/>
        <v>5</v>
      </c>
      <c r="AE551" s="10">
        <f t="shared" si="151"/>
        <v>1</v>
      </c>
      <c r="AF551" s="5">
        <f t="shared" si="144"/>
        <v>1</v>
      </c>
      <c r="AG551" s="5">
        <f t="shared" si="145"/>
        <v>1</v>
      </c>
      <c r="AH551" s="5">
        <f t="shared" si="152"/>
        <v>0</v>
      </c>
      <c r="AI551">
        <f>IF(B551&lt;&gt;"", COUNTIFS($B$2:B551, B551), "")</f>
        <v>1</v>
      </c>
      <c r="AJ551">
        <f t="shared" si="153"/>
        <v>5</v>
      </c>
      <c r="AK551">
        <f t="shared" si="146"/>
        <v>5</v>
      </c>
      <c r="AL551">
        <f t="shared" si="154"/>
        <v>8</v>
      </c>
      <c r="AM551" t="str">
        <f t="shared" si="155"/>
        <v>August</v>
      </c>
      <c r="AN551">
        <f t="shared" si="156"/>
        <v>2023</v>
      </c>
      <c r="AO551" t="str">
        <f t="shared" si="157"/>
        <v>&gt;3</v>
      </c>
      <c r="AP551" t="str">
        <f t="shared" si="158"/>
        <v>&gt;3</v>
      </c>
      <c r="AQ551" t="str">
        <f t="shared" si="159"/>
        <v>&gt;3</v>
      </c>
    </row>
    <row r="552" spans="1:43" x14ac:dyDescent="0.3">
      <c r="A552" t="s">
        <v>33</v>
      </c>
      <c r="B552" t="s">
        <v>366</v>
      </c>
      <c r="C552" t="s">
        <v>246</v>
      </c>
      <c r="D552">
        <v>4322</v>
      </c>
      <c r="E552">
        <v>23210653</v>
      </c>
      <c r="F552" t="s">
        <v>392</v>
      </c>
      <c r="G552" t="s">
        <v>393</v>
      </c>
      <c r="H552">
        <v>100</v>
      </c>
      <c r="I552">
        <v>11100</v>
      </c>
      <c r="J552">
        <v>1110000</v>
      </c>
      <c r="K552" s="7" t="str">
        <f>IFERROR(IF(B552&lt;&gt;"", TEXT(VLOOKUP(B552, 'Expected Date'!A:B, 2, FALSE) + DATE(RIGHT(C552,2),MID(C552,4,2),LEFT(C552,2)), "dd/mm/yy"), ""), "")</f>
        <v>14/09/23</v>
      </c>
      <c r="L552" t="s">
        <v>38</v>
      </c>
      <c r="M552" t="s">
        <v>48</v>
      </c>
      <c r="N552" t="s">
        <v>370</v>
      </c>
      <c r="O552" t="s">
        <v>206</v>
      </c>
      <c r="P552">
        <v>23291404</v>
      </c>
      <c r="Q552" t="s">
        <v>392</v>
      </c>
      <c r="R552" t="s">
        <v>393</v>
      </c>
      <c r="S552">
        <v>29.18</v>
      </c>
      <c r="T552">
        <v>11100</v>
      </c>
      <c r="U552">
        <v>323898</v>
      </c>
      <c r="V552" t="str">
        <f t="shared" si="161"/>
        <v>Dahej</v>
      </c>
      <c r="W552" t="str">
        <f>VLOOKUP(B552, Currency!A:B, 2, FALSE)</f>
        <v>INR</v>
      </c>
      <c r="X552" t="str">
        <f t="shared" si="160"/>
        <v>Accepted</v>
      </c>
      <c r="Y552">
        <f>IFERROR(VLOOKUP(N552, Payment_Terms!A:B, 2, FALSE), "Payment term not found!")</f>
        <v>15</v>
      </c>
      <c r="Z552" t="str">
        <f>IFERROR(VLOOKUP(R552, Item_Category!A:B, 2, FALSE), "Uncategorized")</f>
        <v>Coal materials</v>
      </c>
      <c r="AA552" s="5">
        <f t="shared" si="147"/>
        <v>0</v>
      </c>
      <c r="AB552">
        <f t="shared" si="148"/>
        <v>5</v>
      </c>
      <c r="AC552" s="10">
        <f t="shared" si="149"/>
        <v>-1</v>
      </c>
      <c r="AD552">
        <f t="shared" si="150"/>
        <v>5</v>
      </c>
      <c r="AE552" s="10">
        <f t="shared" si="151"/>
        <v>1</v>
      </c>
      <c r="AF552" s="5">
        <f t="shared" si="144"/>
        <v>1</v>
      </c>
      <c r="AG552" s="5">
        <f t="shared" si="145"/>
        <v>1</v>
      </c>
      <c r="AH552" s="5">
        <f t="shared" si="152"/>
        <v>0</v>
      </c>
      <c r="AI552">
        <f>IF(B552&lt;&gt;"", COUNTIFS($B$2:B552, B552), "")</f>
        <v>52</v>
      </c>
      <c r="AJ552">
        <f t="shared" si="153"/>
        <v>5</v>
      </c>
      <c r="AK552">
        <f t="shared" si="146"/>
        <v>5</v>
      </c>
      <c r="AL552">
        <f t="shared" si="154"/>
        <v>9</v>
      </c>
      <c r="AM552" t="str">
        <f t="shared" si="155"/>
        <v>September</v>
      </c>
      <c r="AN552">
        <f t="shared" si="156"/>
        <v>2023</v>
      </c>
      <c r="AO552" t="str">
        <f t="shared" si="157"/>
        <v>&gt;3</v>
      </c>
      <c r="AP552" t="str">
        <f t="shared" si="158"/>
        <v>&gt;3</v>
      </c>
      <c r="AQ552" t="str">
        <f t="shared" si="159"/>
        <v>&gt;3</v>
      </c>
    </row>
    <row r="553" spans="1:43" x14ac:dyDescent="0.3">
      <c r="A553" t="s">
        <v>33</v>
      </c>
      <c r="B553" t="s">
        <v>366</v>
      </c>
      <c r="C553" t="s">
        <v>246</v>
      </c>
      <c r="D553">
        <v>4322</v>
      </c>
      <c r="E553">
        <v>23210653</v>
      </c>
      <c r="F553" t="s">
        <v>392</v>
      </c>
      <c r="G553" t="s">
        <v>393</v>
      </c>
      <c r="H553">
        <v>100</v>
      </c>
      <c r="I553">
        <v>11100</v>
      </c>
      <c r="J553">
        <v>1110000</v>
      </c>
      <c r="K553" s="7" t="str">
        <f>IFERROR(IF(B553&lt;&gt;"", TEXT(VLOOKUP(B553, 'Expected Date'!A:B, 2, FALSE) + DATE(RIGHT(C553,2),MID(C553,4,2),LEFT(C553,2)), "dd/mm/yy"), ""), "")</f>
        <v>14/09/23</v>
      </c>
      <c r="L553" t="s">
        <v>38</v>
      </c>
      <c r="M553" t="s">
        <v>48</v>
      </c>
      <c r="N553" t="s">
        <v>370</v>
      </c>
      <c r="O553" t="s">
        <v>323</v>
      </c>
      <c r="P553">
        <v>23291416</v>
      </c>
      <c r="Q553" t="s">
        <v>392</v>
      </c>
      <c r="R553" t="s">
        <v>393</v>
      </c>
      <c r="S553">
        <v>29.38</v>
      </c>
      <c r="T553">
        <v>11100</v>
      </c>
      <c r="U553">
        <v>326118</v>
      </c>
      <c r="V553" t="str">
        <f t="shared" si="161"/>
        <v>Dahej</v>
      </c>
      <c r="W553" t="str">
        <f>VLOOKUP(B553, Currency!A:B, 2, FALSE)</f>
        <v>INR</v>
      </c>
      <c r="X553" t="str">
        <f t="shared" si="160"/>
        <v>Accepted</v>
      </c>
      <c r="Y553">
        <f>IFERROR(VLOOKUP(N553, Payment_Terms!A:B, 2, FALSE), "Payment term not found!")</f>
        <v>15</v>
      </c>
      <c r="Z553" t="str">
        <f>IFERROR(VLOOKUP(R553, Item_Category!A:B, 2, FALSE), "Uncategorized")</f>
        <v>Coal materials</v>
      </c>
      <c r="AA553" s="5">
        <f t="shared" si="147"/>
        <v>0</v>
      </c>
      <c r="AB553">
        <f t="shared" si="148"/>
        <v>5</v>
      </c>
      <c r="AC553" s="10">
        <f t="shared" si="149"/>
        <v>1</v>
      </c>
      <c r="AD553">
        <f t="shared" si="150"/>
        <v>5</v>
      </c>
      <c r="AE553" s="10">
        <f t="shared" si="151"/>
        <v>3</v>
      </c>
      <c r="AF553" s="5">
        <f t="shared" si="144"/>
        <v>1</v>
      </c>
      <c r="AG553" s="5">
        <f t="shared" si="145"/>
        <v>1</v>
      </c>
      <c r="AH553" s="5">
        <f t="shared" si="152"/>
        <v>0</v>
      </c>
      <c r="AI553">
        <f>IF(B553&lt;&gt;"", COUNTIFS($B$2:B553, B553), "")</f>
        <v>53</v>
      </c>
      <c r="AJ553">
        <f t="shared" si="153"/>
        <v>5</v>
      </c>
      <c r="AK553">
        <f t="shared" si="146"/>
        <v>5</v>
      </c>
      <c r="AL553">
        <f t="shared" si="154"/>
        <v>9</v>
      </c>
      <c r="AM553" t="str">
        <f t="shared" si="155"/>
        <v>September</v>
      </c>
      <c r="AN553">
        <f t="shared" si="156"/>
        <v>2023</v>
      </c>
      <c r="AO553" t="str">
        <f t="shared" si="157"/>
        <v>&gt;3</v>
      </c>
      <c r="AP553" t="str">
        <f t="shared" si="158"/>
        <v>&gt;3</v>
      </c>
      <c r="AQ553" t="str">
        <f t="shared" si="159"/>
        <v>&gt;3</v>
      </c>
    </row>
    <row r="554" spans="1:43" x14ac:dyDescent="0.3">
      <c r="A554" t="s">
        <v>33</v>
      </c>
      <c r="B554" t="s">
        <v>386</v>
      </c>
      <c r="C554" t="s">
        <v>206</v>
      </c>
      <c r="D554">
        <v>4383</v>
      </c>
      <c r="E554">
        <v>23210662</v>
      </c>
      <c r="F554" t="s">
        <v>510</v>
      </c>
      <c r="G554" t="s">
        <v>511</v>
      </c>
      <c r="H554">
        <v>100</v>
      </c>
      <c r="I554">
        <v>450</v>
      </c>
      <c r="J554">
        <v>45000</v>
      </c>
      <c r="K554" s="7" t="str">
        <f>IFERROR(IF(B554&lt;&gt;"", TEXT(VLOOKUP(B554, 'Expected Date'!A:B, 2, FALSE) + DATE(RIGHT(C554,2),MID(C554,4,2),LEFT(C554,2)), "dd/mm/yy"), ""), "")</f>
        <v>18/09/23</v>
      </c>
      <c r="L554" t="s">
        <v>38</v>
      </c>
      <c r="M554" t="s">
        <v>48</v>
      </c>
      <c r="N554" t="s">
        <v>342</v>
      </c>
      <c r="O554" t="s">
        <v>151</v>
      </c>
      <c r="P554">
        <v>23291419</v>
      </c>
      <c r="Q554" t="s">
        <v>510</v>
      </c>
      <c r="R554" t="s">
        <v>511</v>
      </c>
      <c r="S554">
        <v>100</v>
      </c>
      <c r="T554">
        <v>450</v>
      </c>
      <c r="U554">
        <v>45000</v>
      </c>
      <c r="V554" t="str">
        <f t="shared" si="161"/>
        <v>Dahej</v>
      </c>
      <c r="W554" t="str">
        <f>VLOOKUP(B554, Currency!A:B, 2, FALSE)</f>
        <v>INR</v>
      </c>
      <c r="X554" t="str">
        <f t="shared" si="160"/>
        <v>Accepted</v>
      </c>
      <c r="Y554">
        <f>IFERROR(VLOOKUP(N554, Payment_Terms!A:B, 2, FALSE), "Payment term not found!")</f>
        <v>30</v>
      </c>
      <c r="Z554" t="str">
        <f>IFERROR(VLOOKUP(R554, Item_Category!A:B, 2, FALSE), "Uncategorized")</f>
        <v>Ply sheets</v>
      </c>
      <c r="AA554" s="5">
        <f t="shared" si="147"/>
        <v>0</v>
      </c>
      <c r="AB554">
        <f t="shared" si="148"/>
        <v>5</v>
      </c>
      <c r="AC554" s="10">
        <f t="shared" si="149"/>
        <v>-4</v>
      </c>
      <c r="AD554">
        <f t="shared" si="150"/>
        <v>5</v>
      </c>
      <c r="AE554" s="10">
        <f t="shared" si="151"/>
        <v>1</v>
      </c>
      <c r="AF554" s="5">
        <f t="shared" si="144"/>
        <v>1</v>
      </c>
      <c r="AG554" s="5">
        <f t="shared" si="145"/>
        <v>1</v>
      </c>
      <c r="AH554" s="5">
        <f t="shared" si="152"/>
        <v>0</v>
      </c>
      <c r="AI554">
        <f>IF(B554&lt;&gt;"", COUNTIFS($B$2:B554, B554), "")</f>
        <v>22</v>
      </c>
      <c r="AJ554">
        <f t="shared" si="153"/>
        <v>5</v>
      </c>
      <c r="AK554">
        <f t="shared" si="146"/>
        <v>5</v>
      </c>
      <c r="AL554">
        <f t="shared" si="154"/>
        <v>9</v>
      </c>
      <c r="AM554" t="str">
        <f t="shared" si="155"/>
        <v>September</v>
      </c>
      <c r="AN554">
        <f t="shared" si="156"/>
        <v>2023</v>
      </c>
      <c r="AO554" t="str">
        <f t="shared" si="157"/>
        <v>&gt;3</v>
      </c>
      <c r="AP554" t="str">
        <f t="shared" si="158"/>
        <v>&gt;3</v>
      </c>
      <c r="AQ554" t="str">
        <f t="shared" si="159"/>
        <v>&gt;3</v>
      </c>
    </row>
    <row r="555" spans="1:43" x14ac:dyDescent="0.3">
      <c r="A555" t="s">
        <v>33</v>
      </c>
      <c r="B555" t="s">
        <v>366</v>
      </c>
      <c r="C555" t="s">
        <v>228</v>
      </c>
      <c r="D555">
        <v>4566</v>
      </c>
      <c r="E555">
        <v>23210689</v>
      </c>
      <c r="F555" t="s">
        <v>392</v>
      </c>
      <c r="G555" t="s">
        <v>393</v>
      </c>
      <c r="H555">
        <v>100</v>
      </c>
      <c r="I555">
        <v>11100</v>
      </c>
      <c r="J555">
        <v>1110000</v>
      </c>
      <c r="K555" s="7" t="str">
        <f>IFERROR(IF(B555&lt;&gt;"", TEXT(VLOOKUP(B555, 'Expected Date'!A:B, 2, FALSE) + DATE(RIGHT(C555,2),MID(C555,4,2),LEFT(C555,2)), "dd/mm/yy"), ""), "")</f>
        <v>24/09/23</v>
      </c>
      <c r="L555" t="s">
        <v>68</v>
      </c>
      <c r="M555" t="s">
        <v>48</v>
      </c>
      <c r="N555" t="s">
        <v>370</v>
      </c>
      <c r="O555" t="s">
        <v>330</v>
      </c>
      <c r="P555">
        <v>23291497</v>
      </c>
      <c r="Q555" t="s">
        <v>392</v>
      </c>
      <c r="R555" t="s">
        <v>393</v>
      </c>
      <c r="S555">
        <v>29.19</v>
      </c>
      <c r="T555">
        <v>11100</v>
      </c>
      <c r="U555">
        <v>324009</v>
      </c>
      <c r="V555" t="str">
        <f t="shared" si="161"/>
        <v>Dahej</v>
      </c>
      <c r="W555" t="str">
        <f>VLOOKUP(B555, Currency!A:B, 2, FALSE)</f>
        <v>INR</v>
      </c>
      <c r="X555" t="str">
        <f t="shared" si="160"/>
        <v>Accepted</v>
      </c>
      <c r="Y555">
        <f>IFERROR(VLOOKUP(N555, Payment_Terms!A:B, 2, FALSE), "Payment term not found!")</f>
        <v>15</v>
      </c>
      <c r="Z555" t="str">
        <f>IFERROR(VLOOKUP(R555, Item_Category!A:B, 2, FALSE), "Uncategorized")</f>
        <v>Coal materials</v>
      </c>
      <c r="AA555" s="5">
        <f t="shared" si="147"/>
        <v>0.41869999999999996</v>
      </c>
      <c r="AB555">
        <f t="shared" si="148"/>
        <v>1</v>
      </c>
      <c r="AC555" s="10">
        <f t="shared" si="149"/>
        <v>-1</v>
      </c>
      <c r="AD555">
        <f t="shared" si="150"/>
        <v>5</v>
      </c>
      <c r="AE555" s="10">
        <f t="shared" si="151"/>
        <v>1</v>
      </c>
      <c r="AF555" s="5">
        <f t="shared" si="144"/>
        <v>1</v>
      </c>
      <c r="AG555" s="5">
        <f t="shared" si="145"/>
        <v>1</v>
      </c>
      <c r="AH555" s="5">
        <f t="shared" si="152"/>
        <v>0</v>
      </c>
      <c r="AI555">
        <f>IF(B555&lt;&gt;"", COUNTIFS($B$2:B555, B555), "")</f>
        <v>54</v>
      </c>
      <c r="AJ555">
        <f t="shared" si="153"/>
        <v>5</v>
      </c>
      <c r="AK555">
        <f t="shared" si="146"/>
        <v>4</v>
      </c>
      <c r="AL555">
        <f t="shared" si="154"/>
        <v>9</v>
      </c>
      <c r="AM555" t="str">
        <f t="shared" si="155"/>
        <v>September</v>
      </c>
      <c r="AN555">
        <f t="shared" si="156"/>
        <v>2023</v>
      </c>
      <c r="AO555" t="str">
        <f t="shared" si="157"/>
        <v>&gt;3</v>
      </c>
      <c r="AP555" t="str">
        <f t="shared" si="158"/>
        <v>&lt;=3</v>
      </c>
      <c r="AQ555" t="str">
        <f t="shared" si="159"/>
        <v>&gt;3</v>
      </c>
    </row>
    <row r="556" spans="1:43" x14ac:dyDescent="0.3">
      <c r="A556" t="s">
        <v>33</v>
      </c>
      <c r="B556" t="s">
        <v>157</v>
      </c>
      <c r="C556" t="s">
        <v>439</v>
      </c>
      <c r="D556">
        <v>1408</v>
      </c>
      <c r="E556">
        <v>23210047</v>
      </c>
      <c r="F556" t="s">
        <v>433</v>
      </c>
      <c r="G556" t="s">
        <v>434</v>
      </c>
      <c r="H556">
        <v>600</v>
      </c>
      <c r="I556">
        <v>270</v>
      </c>
      <c r="J556">
        <v>162000</v>
      </c>
      <c r="K556" s="7" t="str">
        <f>IFERROR(IF(B556&lt;&gt;"", TEXT(VLOOKUP(B556, 'Expected Date'!A:B, 2, FALSE) + DATE(RIGHT(C556,2),MID(C556,4,2),LEFT(C556,2)), "dd/mm/yy"), ""), "")</f>
        <v>30/04/23</v>
      </c>
      <c r="L556" t="s">
        <v>38</v>
      </c>
      <c r="M556" t="s">
        <v>48</v>
      </c>
      <c r="N556" t="s">
        <v>435</v>
      </c>
      <c r="O556" t="s">
        <v>41</v>
      </c>
      <c r="P556">
        <v>23290168</v>
      </c>
      <c r="Q556" t="s">
        <v>433</v>
      </c>
      <c r="R556" t="s">
        <v>434</v>
      </c>
      <c r="S556">
        <v>600</v>
      </c>
      <c r="T556">
        <v>270</v>
      </c>
      <c r="U556">
        <v>162000</v>
      </c>
      <c r="V556" t="str">
        <f t="shared" si="161"/>
        <v>Dahej</v>
      </c>
      <c r="W556" t="str">
        <f>VLOOKUP(B556, Currency!A:B, 2, FALSE)</f>
        <v>INR</v>
      </c>
      <c r="X556" t="str">
        <f t="shared" si="160"/>
        <v>Accepted</v>
      </c>
      <c r="Y556">
        <f>IFERROR(VLOOKUP(N556, Payment_Terms!A:B, 2, FALSE), "Payment term not found!")</f>
        <v>0</v>
      </c>
      <c r="Z556" t="str">
        <f>IFERROR(VLOOKUP(R556, Item_Category!A:B, 2, FALSE), "Uncategorized")</f>
        <v>Sodium salts</v>
      </c>
      <c r="AA556" s="5">
        <f t="shared" si="147"/>
        <v>0</v>
      </c>
      <c r="AB556">
        <f t="shared" si="148"/>
        <v>5</v>
      </c>
      <c r="AC556" s="10">
        <f t="shared" si="149"/>
        <v>-1</v>
      </c>
      <c r="AD556">
        <f t="shared" si="150"/>
        <v>5</v>
      </c>
      <c r="AE556" s="10">
        <f t="shared" si="151"/>
        <v>9</v>
      </c>
      <c r="AF556" s="5">
        <f t="shared" si="144"/>
        <v>1</v>
      </c>
      <c r="AG556" s="5">
        <f t="shared" si="145"/>
        <v>1</v>
      </c>
      <c r="AH556" s="5">
        <f t="shared" si="152"/>
        <v>0</v>
      </c>
      <c r="AI556">
        <f>IF(B556&lt;&gt;"", COUNTIFS($B$2:B556, B556), "")</f>
        <v>7</v>
      </c>
      <c r="AJ556">
        <f t="shared" si="153"/>
        <v>5</v>
      </c>
      <c r="AK556">
        <f t="shared" si="146"/>
        <v>5</v>
      </c>
      <c r="AL556">
        <f t="shared" si="154"/>
        <v>4</v>
      </c>
      <c r="AM556" t="str">
        <f t="shared" si="155"/>
        <v>April</v>
      </c>
      <c r="AN556">
        <f t="shared" si="156"/>
        <v>2023</v>
      </c>
      <c r="AO556" t="str">
        <f t="shared" si="157"/>
        <v>&gt;3</v>
      </c>
      <c r="AP556" t="str">
        <f t="shared" si="158"/>
        <v>&gt;3</v>
      </c>
      <c r="AQ556" t="str">
        <f t="shared" si="159"/>
        <v>&gt;3</v>
      </c>
    </row>
    <row r="557" spans="1:43" x14ac:dyDescent="0.3">
      <c r="A557" t="s">
        <v>33</v>
      </c>
      <c r="B557" t="s">
        <v>386</v>
      </c>
      <c r="C557" t="s">
        <v>60</v>
      </c>
      <c r="D557">
        <v>2979</v>
      </c>
      <c r="E557">
        <v>23210398</v>
      </c>
      <c r="F557" t="s">
        <v>534</v>
      </c>
      <c r="G557" t="s">
        <v>535</v>
      </c>
      <c r="H557">
        <v>5747</v>
      </c>
      <c r="I557">
        <v>11.571300000000001</v>
      </c>
      <c r="J557">
        <v>66500.259999999995</v>
      </c>
      <c r="K557" s="7" t="str">
        <f>IFERROR(IF(B557&lt;&gt;"", TEXT(VLOOKUP(B557, 'Expected Date'!A:B, 2, FALSE) + DATE(RIGHT(C557,2),MID(C557,4,2),LEFT(C557,2)), "dd/mm/yy"), ""), "")</f>
        <v>01/07/23</v>
      </c>
      <c r="L557" t="s">
        <v>38</v>
      </c>
      <c r="M557" t="s">
        <v>48</v>
      </c>
      <c r="N557" t="s">
        <v>318</v>
      </c>
      <c r="O557" t="s">
        <v>252</v>
      </c>
      <c r="P557">
        <v>23290783</v>
      </c>
      <c r="Q557" t="s">
        <v>534</v>
      </c>
      <c r="R557" t="s">
        <v>535</v>
      </c>
      <c r="S557">
        <v>5747</v>
      </c>
      <c r="T557">
        <v>11.571300000000001</v>
      </c>
      <c r="U557">
        <v>66500.259999999995</v>
      </c>
      <c r="V557" t="str">
        <f t="shared" si="161"/>
        <v>Dahej</v>
      </c>
      <c r="W557" t="str">
        <f>VLOOKUP(B557, Currency!A:B, 2, FALSE)</f>
        <v>INR</v>
      </c>
      <c r="X557" t="str">
        <f t="shared" si="160"/>
        <v>Accepted</v>
      </c>
      <c r="Y557">
        <f>IFERROR(VLOOKUP(N557, Payment_Terms!A:B, 2, FALSE), "Payment term not found!")</f>
        <v>30</v>
      </c>
      <c r="Z557" t="str">
        <f>IFERROR(VLOOKUP(R557, Item_Category!A:B, 2, FALSE), "Uncategorized")</f>
        <v>Liner</v>
      </c>
      <c r="AA557" s="5">
        <f t="shared" si="147"/>
        <v>0</v>
      </c>
      <c r="AB557">
        <f t="shared" si="148"/>
        <v>5</v>
      </c>
      <c r="AC557" s="10">
        <f t="shared" si="149"/>
        <v>-1</v>
      </c>
      <c r="AD557">
        <f t="shared" si="150"/>
        <v>5</v>
      </c>
      <c r="AE557" s="10">
        <f t="shared" si="151"/>
        <v>4</v>
      </c>
      <c r="AF557" s="5">
        <f t="shared" si="144"/>
        <v>1</v>
      </c>
      <c r="AG557" s="5">
        <f t="shared" si="145"/>
        <v>1</v>
      </c>
      <c r="AH557" s="5">
        <f t="shared" si="152"/>
        <v>0</v>
      </c>
      <c r="AI557">
        <f>IF(B557&lt;&gt;"", COUNTIFS($B$2:B557, B557), "")</f>
        <v>23</v>
      </c>
      <c r="AJ557">
        <f t="shared" si="153"/>
        <v>5</v>
      </c>
      <c r="AK557">
        <f t="shared" si="146"/>
        <v>5</v>
      </c>
      <c r="AL557">
        <f t="shared" si="154"/>
        <v>6</v>
      </c>
      <c r="AM557" t="str">
        <f t="shared" si="155"/>
        <v>June</v>
      </c>
      <c r="AN557">
        <f t="shared" si="156"/>
        <v>2023</v>
      </c>
      <c r="AO557" t="str">
        <f t="shared" si="157"/>
        <v>&gt;3</v>
      </c>
      <c r="AP557" t="str">
        <f t="shared" si="158"/>
        <v>&gt;3</v>
      </c>
      <c r="AQ557" t="str">
        <f t="shared" si="159"/>
        <v>&gt;3</v>
      </c>
    </row>
    <row r="558" spans="1:43" x14ac:dyDescent="0.3">
      <c r="A558" t="s">
        <v>33</v>
      </c>
      <c r="B558" t="s">
        <v>122</v>
      </c>
      <c r="C558" t="s">
        <v>536</v>
      </c>
      <c r="D558">
        <v>4671</v>
      </c>
      <c r="E558">
        <v>23210707</v>
      </c>
      <c r="F558" t="s">
        <v>405</v>
      </c>
      <c r="G558" t="s">
        <v>406</v>
      </c>
      <c r="H558">
        <v>600</v>
      </c>
      <c r="I558">
        <v>930</v>
      </c>
      <c r="J558">
        <v>558000</v>
      </c>
      <c r="K558" s="7" t="str">
        <f>IFERROR(IF(B558&lt;&gt;"", TEXT(VLOOKUP(B558, 'Expected Date'!A:B, 2, FALSE) + DATE(RIGHT(C558,2),MID(C558,4,2),LEFT(C558,2)), "dd/mm/yy"), ""), "")</f>
        <v>12/10/23</v>
      </c>
      <c r="L558" t="s">
        <v>68</v>
      </c>
      <c r="M558" t="s">
        <v>48</v>
      </c>
      <c r="N558" t="s">
        <v>364</v>
      </c>
      <c r="O558" t="s">
        <v>537</v>
      </c>
      <c r="P558">
        <v>23291712</v>
      </c>
      <c r="Q558" t="s">
        <v>405</v>
      </c>
      <c r="R558" t="s">
        <v>406</v>
      </c>
      <c r="S558">
        <v>180</v>
      </c>
      <c r="T558">
        <v>930</v>
      </c>
      <c r="U558">
        <v>167400</v>
      </c>
      <c r="V558" t="str">
        <f t="shared" si="161"/>
        <v>Dahej</v>
      </c>
      <c r="W558" t="str">
        <f>VLOOKUP(B558, Currency!A:B, 2, FALSE)</f>
        <v>INR</v>
      </c>
      <c r="X558" t="str">
        <f t="shared" si="160"/>
        <v>Accepted</v>
      </c>
      <c r="Y558">
        <f>IFERROR(VLOOKUP(N558, Payment_Terms!A:B, 2, FALSE), "Payment term not found!")</f>
        <v>30</v>
      </c>
      <c r="Z558" t="str">
        <f>IFERROR(VLOOKUP(R558, Item_Category!A:B, 2, FALSE), "Uncategorized")</f>
        <v>Pallets</v>
      </c>
      <c r="AA558" s="5">
        <f t="shared" si="147"/>
        <v>0.28333333333333333</v>
      </c>
      <c r="AB558">
        <f t="shared" si="148"/>
        <v>1</v>
      </c>
      <c r="AC558" s="10">
        <f t="shared" si="149"/>
        <v>-1</v>
      </c>
      <c r="AD558">
        <f t="shared" si="150"/>
        <v>5</v>
      </c>
      <c r="AE558" s="10">
        <f t="shared" si="151"/>
        <v>14</v>
      </c>
      <c r="AF558" s="5">
        <f t="shared" si="144"/>
        <v>1</v>
      </c>
      <c r="AG558" s="5">
        <f t="shared" si="145"/>
        <v>1</v>
      </c>
      <c r="AH558" s="5">
        <f t="shared" si="152"/>
        <v>0</v>
      </c>
      <c r="AI558">
        <f>IF(B558&lt;&gt;"", COUNTIFS($B$2:B558, B558), "")</f>
        <v>30</v>
      </c>
      <c r="AJ558">
        <f t="shared" si="153"/>
        <v>5</v>
      </c>
      <c r="AK558">
        <f t="shared" si="146"/>
        <v>4</v>
      </c>
      <c r="AL558">
        <f t="shared" si="154"/>
        <v>9</v>
      </c>
      <c r="AM558" t="str">
        <f t="shared" si="155"/>
        <v>September</v>
      </c>
      <c r="AN558">
        <f t="shared" si="156"/>
        <v>2023</v>
      </c>
      <c r="AO558" t="str">
        <f t="shared" si="157"/>
        <v>&gt;3</v>
      </c>
      <c r="AP558" t="str">
        <f t="shared" si="158"/>
        <v>&lt;=3</v>
      </c>
      <c r="AQ558" t="str">
        <f t="shared" si="159"/>
        <v>&gt;3</v>
      </c>
    </row>
    <row r="559" spans="1:43" x14ac:dyDescent="0.3">
      <c r="A559" t="s">
        <v>33</v>
      </c>
      <c r="B559" t="s">
        <v>122</v>
      </c>
      <c r="C559" t="s">
        <v>519</v>
      </c>
      <c r="D559">
        <v>4691</v>
      </c>
      <c r="E559">
        <v>23210710</v>
      </c>
      <c r="F559" t="s">
        <v>362</v>
      </c>
      <c r="G559" t="s">
        <v>363</v>
      </c>
      <c r="H559">
        <v>400</v>
      </c>
      <c r="I559">
        <v>1900</v>
      </c>
      <c r="J559">
        <v>760000</v>
      </c>
      <c r="K559" s="7" t="str">
        <f>IFERROR(IF(B559&lt;&gt;"", TEXT(VLOOKUP(B559, 'Expected Date'!A:B, 2, FALSE) + DATE(RIGHT(C559,2),MID(C559,4,2),LEFT(C559,2)), "dd/mm/yy"), ""), "")</f>
        <v>14/10/23</v>
      </c>
      <c r="L559" t="s">
        <v>38</v>
      </c>
      <c r="M559" t="s">
        <v>48</v>
      </c>
      <c r="N559" t="s">
        <v>364</v>
      </c>
      <c r="O559" t="s">
        <v>254</v>
      </c>
      <c r="P559">
        <v>23291742</v>
      </c>
      <c r="Q559" t="s">
        <v>362</v>
      </c>
      <c r="R559" t="s">
        <v>363</v>
      </c>
      <c r="S559">
        <v>170</v>
      </c>
      <c r="T559">
        <v>1900</v>
      </c>
      <c r="U559">
        <v>323000</v>
      </c>
      <c r="V559" t="str">
        <f t="shared" si="161"/>
        <v>Dahej</v>
      </c>
      <c r="W559" t="str">
        <f>VLOOKUP(B559, Currency!A:B, 2, FALSE)</f>
        <v>INR</v>
      </c>
      <c r="X559" t="str">
        <f t="shared" si="160"/>
        <v>Accepted</v>
      </c>
      <c r="Y559">
        <f>IFERROR(VLOOKUP(N559, Payment_Terms!A:B, 2, FALSE), "Payment term not found!")</f>
        <v>30</v>
      </c>
      <c r="Z559" t="str">
        <f>IFERROR(VLOOKUP(R559, Item_Category!A:B, 2, FALSE), "Uncategorized")</f>
        <v>Pallets</v>
      </c>
      <c r="AA559" s="5">
        <f t="shared" si="147"/>
        <v>0</v>
      </c>
      <c r="AB559">
        <f t="shared" si="148"/>
        <v>5</v>
      </c>
      <c r="AC559" s="10">
        <f t="shared" si="149"/>
        <v>0</v>
      </c>
      <c r="AD559">
        <f t="shared" si="150"/>
        <v>5</v>
      </c>
      <c r="AE559" s="10">
        <f t="shared" si="151"/>
        <v>15</v>
      </c>
      <c r="AF559" s="5">
        <f t="shared" si="144"/>
        <v>1</v>
      </c>
      <c r="AG559" s="5">
        <f t="shared" si="145"/>
        <v>1</v>
      </c>
      <c r="AH559" s="5">
        <f t="shared" si="152"/>
        <v>0</v>
      </c>
      <c r="AI559">
        <f>IF(B559&lt;&gt;"", COUNTIFS($B$2:B559, B559), "")</f>
        <v>31</v>
      </c>
      <c r="AJ559">
        <f t="shared" si="153"/>
        <v>5</v>
      </c>
      <c r="AK559">
        <f t="shared" si="146"/>
        <v>5</v>
      </c>
      <c r="AL559">
        <f t="shared" si="154"/>
        <v>9</v>
      </c>
      <c r="AM559" t="str">
        <f t="shared" si="155"/>
        <v>September</v>
      </c>
      <c r="AN559">
        <f t="shared" si="156"/>
        <v>2023</v>
      </c>
      <c r="AO559" t="str">
        <f t="shared" si="157"/>
        <v>&gt;3</v>
      </c>
      <c r="AP559" t="str">
        <f t="shared" si="158"/>
        <v>&gt;3</v>
      </c>
      <c r="AQ559" t="str">
        <f t="shared" si="159"/>
        <v>&gt;3</v>
      </c>
    </row>
    <row r="560" spans="1:43" x14ac:dyDescent="0.3">
      <c r="A560" t="s">
        <v>33</v>
      </c>
      <c r="B560" t="s">
        <v>513</v>
      </c>
      <c r="C560" t="s">
        <v>194</v>
      </c>
      <c r="D560">
        <v>4639</v>
      </c>
      <c r="E560">
        <v>23210701</v>
      </c>
      <c r="F560" t="s">
        <v>514</v>
      </c>
      <c r="G560" t="s">
        <v>515</v>
      </c>
      <c r="H560">
        <v>10000</v>
      </c>
      <c r="I560">
        <v>19.5</v>
      </c>
      <c r="J560">
        <v>195000</v>
      </c>
      <c r="K560" s="7" t="str">
        <f>IFERROR(IF(B560&lt;&gt;"", TEXT(VLOOKUP(B560, 'Expected Date'!A:B, 2, FALSE) + DATE(RIGHT(C560,2),MID(C560,4,2),LEFT(C560,2)), "dd/mm/yy"), ""), "")</f>
        <v>28/09/23</v>
      </c>
      <c r="L560" t="s">
        <v>38</v>
      </c>
      <c r="M560" t="s">
        <v>48</v>
      </c>
      <c r="N560" t="s">
        <v>342</v>
      </c>
      <c r="O560" t="s">
        <v>519</v>
      </c>
      <c r="P560">
        <v>23291585</v>
      </c>
      <c r="Q560" t="s">
        <v>514</v>
      </c>
      <c r="R560" t="s">
        <v>515</v>
      </c>
      <c r="S560">
        <v>10070</v>
      </c>
      <c r="T560">
        <v>19.5</v>
      </c>
      <c r="U560">
        <v>196365</v>
      </c>
      <c r="V560" t="str">
        <f t="shared" si="161"/>
        <v>Dahej</v>
      </c>
      <c r="W560" t="str">
        <f>VLOOKUP(B560, Currency!A:B, 2, FALSE)</f>
        <v>INR</v>
      </c>
      <c r="X560" t="str">
        <f t="shared" si="160"/>
        <v>Accepted</v>
      </c>
      <c r="Y560">
        <f>IFERROR(VLOOKUP(N560, Payment_Terms!A:B, 2, FALSE), "Payment term not found!")</f>
        <v>30</v>
      </c>
      <c r="Z560" t="str">
        <f>IFERROR(VLOOKUP(R560, Item_Category!A:B, 2, FALSE), "Uncategorized")</f>
        <v xml:space="preserve">Caustic Soda </v>
      </c>
      <c r="AA560" s="5">
        <f t="shared" si="147"/>
        <v>0</v>
      </c>
      <c r="AB560">
        <f t="shared" si="148"/>
        <v>5</v>
      </c>
      <c r="AC560" s="10">
        <f t="shared" si="149"/>
        <v>1</v>
      </c>
      <c r="AD560">
        <f t="shared" si="150"/>
        <v>5</v>
      </c>
      <c r="AE560" s="10">
        <f t="shared" si="151"/>
        <v>3</v>
      </c>
      <c r="AF560" s="5">
        <f t="shared" si="144"/>
        <v>1</v>
      </c>
      <c r="AG560" s="5">
        <f t="shared" si="145"/>
        <v>1</v>
      </c>
      <c r="AH560" s="5">
        <f t="shared" si="152"/>
        <v>0</v>
      </c>
      <c r="AI560">
        <f>IF(B560&lt;&gt;"", COUNTIFS($B$2:B560, B560), "")</f>
        <v>2</v>
      </c>
      <c r="AJ560">
        <f t="shared" si="153"/>
        <v>5</v>
      </c>
      <c r="AK560">
        <f t="shared" si="146"/>
        <v>5</v>
      </c>
      <c r="AL560">
        <f t="shared" si="154"/>
        <v>9</v>
      </c>
      <c r="AM560" t="str">
        <f t="shared" si="155"/>
        <v>September</v>
      </c>
      <c r="AN560">
        <f t="shared" si="156"/>
        <v>2023</v>
      </c>
      <c r="AO560" t="str">
        <f t="shared" si="157"/>
        <v>&gt;3</v>
      </c>
      <c r="AP560" t="str">
        <f t="shared" si="158"/>
        <v>&gt;3</v>
      </c>
      <c r="AQ560" t="str">
        <f t="shared" si="159"/>
        <v>&gt;3</v>
      </c>
    </row>
    <row r="561" spans="1:43" x14ac:dyDescent="0.3">
      <c r="A561" t="str">
        <f>A540</f>
        <v>Woodpulp</v>
      </c>
      <c r="B561" t="s">
        <v>140</v>
      </c>
      <c r="C561" t="s">
        <v>193</v>
      </c>
      <c r="D561">
        <v>3161</v>
      </c>
      <c r="E561">
        <v>23220050</v>
      </c>
      <c r="F561" t="s">
        <v>359</v>
      </c>
      <c r="G561" t="s">
        <v>360</v>
      </c>
      <c r="H561">
        <v>125</v>
      </c>
      <c r="I561">
        <v>830</v>
      </c>
      <c r="J561">
        <v>8460812.5</v>
      </c>
      <c r="K561" s="7" t="str">
        <f>IFERROR(IF(B561&lt;&gt;"", TEXT(VLOOKUP(B561, 'Expected Date'!A:B, 2, FALSE) + DATE(RIGHT(C561,2),MID(C561,4,2),LEFT(C561,2)), "dd/mm/yy"), ""), "")</f>
        <v>31/08/23</v>
      </c>
      <c r="L561" t="s">
        <v>68</v>
      </c>
      <c r="M561" t="str">
        <f>M355</f>
        <v>MT</v>
      </c>
      <c r="N561" t="s">
        <v>144</v>
      </c>
      <c r="O561" t="s">
        <v>272</v>
      </c>
      <c r="P561">
        <v>23291587</v>
      </c>
      <c r="Q561" t="s">
        <v>359</v>
      </c>
      <c r="R561" t="s">
        <v>360</v>
      </c>
      <c r="S561">
        <v>122.675</v>
      </c>
      <c r="T561">
        <v>830</v>
      </c>
      <c r="U561">
        <v>8379806.5800000001</v>
      </c>
      <c r="V561" t="str">
        <f t="shared" si="161"/>
        <v>Dahej</v>
      </c>
      <c r="W561" t="str">
        <f>VLOOKUP(B561, Currency!A:B, 2, FALSE)</f>
        <v>USD</v>
      </c>
      <c r="X561" t="str">
        <f t="shared" si="160"/>
        <v>Accepted</v>
      </c>
      <c r="Y561">
        <f>IFERROR(VLOOKUP(N561, Payment_Terms!A:B, 2, FALSE), "Payment term not found!")</f>
        <v>30</v>
      </c>
      <c r="Z561" t="str">
        <f>IFERROR(VLOOKUP(R561, Item_Category!A:B, 2, FALSE), "Uncategorized")</f>
        <v>Wood pulp</v>
      </c>
      <c r="AA561" s="5">
        <f t="shared" si="147"/>
        <v>1.8600000000000023E-2</v>
      </c>
      <c r="AB561">
        <f t="shared" si="148"/>
        <v>4</v>
      </c>
      <c r="AC561" s="10">
        <f t="shared" si="149"/>
        <v>25</v>
      </c>
      <c r="AD561">
        <f t="shared" si="150"/>
        <v>1</v>
      </c>
      <c r="AE561" s="10">
        <f t="shared" si="151"/>
        <v>70</v>
      </c>
      <c r="AF561" s="5">
        <f t="shared" si="144"/>
        <v>1</v>
      </c>
      <c r="AG561" s="5">
        <f t="shared" si="145"/>
        <v>1</v>
      </c>
      <c r="AH561" s="5">
        <f t="shared" si="152"/>
        <v>0</v>
      </c>
      <c r="AI561">
        <f>IF(B561&lt;&gt;"", COUNTIFS($B$2:B561, B561), "")</f>
        <v>29</v>
      </c>
      <c r="AJ561">
        <f t="shared" si="153"/>
        <v>5</v>
      </c>
      <c r="AK561">
        <f t="shared" si="146"/>
        <v>4</v>
      </c>
      <c r="AL561">
        <f t="shared" si="154"/>
        <v>7</v>
      </c>
      <c r="AM561" t="str">
        <f t="shared" si="155"/>
        <v>July</v>
      </c>
      <c r="AN561">
        <f t="shared" si="156"/>
        <v>2023</v>
      </c>
      <c r="AO561" t="str">
        <f t="shared" si="157"/>
        <v>&gt;3</v>
      </c>
      <c r="AP561" t="str">
        <f t="shared" si="158"/>
        <v>&gt;3</v>
      </c>
      <c r="AQ561" t="str">
        <f t="shared" si="159"/>
        <v>&lt;=3</v>
      </c>
    </row>
    <row r="562" spans="1:43" x14ac:dyDescent="0.3">
      <c r="A562" t="str">
        <f>A304</f>
        <v>Woodpulp</v>
      </c>
      <c r="B562" t="s">
        <v>96</v>
      </c>
      <c r="C562" t="s">
        <v>97</v>
      </c>
      <c r="D562">
        <v>1236</v>
      </c>
      <c r="E562">
        <v>23220005</v>
      </c>
      <c r="F562" t="s">
        <v>443</v>
      </c>
      <c r="G562" t="s">
        <v>99</v>
      </c>
      <c r="H562">
        <v>52</v>
      </c>
      <c r="I562">
        <v>820</v>
      </c>
      <c r="J562">
        <v>3458104</v>
      </c>
      <c r="K562" s="7" t="str">
        <f>IFERROR(IF(B562&lt;&gt;"", TEXT(VLOOKUP(B562, 'Expected Date'!A:B, 2, FALSE) + DATE(RIGHT(C562,2),MID(C562,4,2),LEFT(C562,2)), "dd/mm/yy"), ""), "")</f>
        <v>10/06/23</v>
      </c>
      <c r="L562" t="s">
        <v>38</v>
      </c>
      <c r="M562" t="str">
        <f>M355</f>
        <v>MT</v>
      </c>
      <c r="N562" t="s">
        <v>102</v>
      </c>
      <c r="O562" t="s">
        <v>78</v>
      </c>
      <c r="P562">
        <v>23291206</v>
      </c>
      <c r="Q562" t="s">
        <v>443</v>
      </c>
      <c r="R562" t="s">
        <v>99</v>
      </c>
      <c r="S562">
        <v>52.771999999999998</v>
      </c>
      <c r="T562">
        <v>820</v>
      </c>
      <c r="U562">
        <v>3557043.89</v>
      </c>
      <c r="V562" t="str">
        <f t="shared" si="161"/>
        <v>Dahej</v>
      </c>
      <c r="W562" t="str">
        <f>VLOOKUP(B562, Currency!A:B, 2, FALSE)</f>
        <v>USD</v>
      </c>
      <c r="X562" t="str">
        <f t="shared" si="160"/>
        <v>Accepted</v>
      </c>
      <c r="Y562">
        <f>IFERROR(VLOOKUP(N562, Payment_Terms!A:B, 2, FALSE), "Payment term not found!")</f>
        <v>60</v>
      </c>
      <c r="Z562" t="str">
        <f>IFERROR(VLOOKUP(R562, Item_Category!A:B, 2, FALSE), "Uncategorized")</f>
        <v>Wood pulp</v>
      </c>
      <c r="AA562" s="5">
        <f t="shared" si="147"/>
        <v>0</v>
      </c>
      <c r="AB562">
        <f t="shared" si="148"/>
        <v>5</v>
      </c>
      <c r="AC562" s="10">
        <f t="shared" si="149"/>
        <v>75</v>
      </c>
      <c r="AD562">
        <f t="shared" si="150"/>
        <v>1</v>
      </c>
      <c r="AE562" s="10">
        <f t="shared" si="151"/>
        <v>135</v>
      </c>
      <c r="AF562" s="5">
        <f t="shared" si="144"/>
        <v>1</v>
      </c>
      <c r="AG562" s="5">
        <f t="shared" si="145"/>
        <v>1</v>
      </c>
      <c r="AH562" s="5">
        <f t="shared" si="152"/>
        <v>0</v>
      </c>
      <c r="AI562">
        <f>IF(B562&lt;&gt;"", COUNTIFS($B$2:B562, B562), "")</f>
        <v>13</v>
      </c>
      <c r="AJ562">
        <f t="shared" si="153"/>
        <v>5</v>
      </c>
      <c r="AK562">
        <f t="shared" si="146"/>
        <v>4</v>
      </c>
      <c r="AL562">
        <f t="shared" si="154"/>
        <v>4</v>
      </c>
      <c r="AM562" t="str">
        <f t="shared" si="155"/>
        <v>April</v>
      </c>
      <c r="AN562">
        <f t="shared" si="156"/>
        <v>2023</v>
      </c>
      <c r="AO562" t="str">
        <f t="shared" si="157"/>
        <v>&gt;3</v>
      </c>
      <c r="AP562" t="str">
        <f t="shared" si="158"/>
        <v>&gt;3</v>
      </c>
      <c r="AQ562" t="str">
        <f t="shared" si="159"/>
        <v>&lt;=3</v>
      </c>
    </row>
    <row r="563" spans="1:43" x14ac:dyDescent="0.3">
      <c r="A563" t="s">
        <v>33</v>
      </c>
      <c r="B563" t="s">
        <v>386</v>
      </c>
      <c r="C563" t="s">
        <v>206</v>
      </c>
      <c r="D563">
        <v>4383</v>
      </c>
      <c r="E563">
        <v>23210662</v>
      </c>
      <c r="F563" t="s">
        <v>437</v>
      </c>
      <c r="G563" t="s">
        <v>438</v>
      </c>
      <c r="H563">
        <v>11300</v>
      </c>
      <c r="I563">
        <v>9.31</v>
      </c>
      <c r="J563">
        <v>105203</v>
      </c>
      <c r="K563" s="7" t="str">
        <f>IFERROR(IF(B563&lt;&gt;"", TEXT(VLOOKUP(B563, 'Expected Date'!A:B, 2, FALSE) + DATE(RIGHT(C563,2),MID(C563,4,2),LEFT(C563,2)), "dd/mm/yy"), ""), "")</f>
        <v>18/09/23</v>
      </c>
      <c r="L563" t="s">
        <v>38</v>
      </c>
      <c r="M563" t="s">
        <v>48</v>
      </c>
      <c r="N563" t="s">
        <v>342</v>
      </c>
      <c r="O563" t="s">
        <v>151</v>
      </c>
      <c r="P563">
        <v>23291419</v>
      </c>
      <c r="Q563" t="s">
        <v>437</v>
      </c>
      <c r="R563" t="s">
        <v>438</v>
      </c>
      <c r="S563">
        <v>11300</v>
      </c>
      <c r="T563">
        <v>9.31</v>
      </c>
      <c r="U563">
        <v>105203</v>
      </c>
      <c r="V563" t="str">
        <f t="shared" si="161"/>
        <v>Dahej</v>
      </c>
      <c r="W563" t="str">
        <f>VLOOKUP(B563, Currency!A:B, 2, FALSE)</f>
        <v>INR</v>
      </c>
      <c r="X563" t="str">
        <f t="shared" si="160"/>
        <v>Accepted</v>
      </c>
      <c r="Y563">
        <f>IFERROR(VLOOKUP(N563, Payment_Terms!A:B, 2, FALSE), "Payment term not found!")</f>
        <v>30</v>
      </c>
      <c r="Z563" t="str">
        <f>IFERROR(VLOOKUP(R563, Item_Category!A:B, 2, FALSE), "Uncategorized")</f>
        <v>Liner</v>
      </c>
      <c r="AA563" s="5">
        <f t="shared" si="147"/>
        <v>0</v>
      </c>
      <c r="AB563">
        <f t="shared" si="148"/>
        <v>5</v>
      </c>
      <c r="AC563" s="10">
        <f t="shared" si="149"/>
        <v>-4</v>
      </c>
      <c r="AD563">
        <f t="shared" si="150"/>
        <v>5</v>
      </c>
      <c r="AE563" s="10">
        <f t="shared" si="151"/>
        <v>1</v>
      </c>
      <c r="AF563" s="5">
        <f t="shared" si="144"/>
        <v>1</v>
      </c>
      <c r="AG563" s="5">
        <f t="shared" si="145"/>
        <v>1</v>
      </c>
      <c r="AH563" s="5">
        <f t="shared" si="152"/>
        <v>0</v>
      </c>
      <c r="AI563">
        <f>IF(B563&lt;&gt;"", COUNTIFS($B$2:B563, B563), "")</f>
        <v>24</v>
      </c>
      <c r="AJ563">
        <f t="shared" si="153"/>
        <v>5</v>
      </c>
      <c r="AK563">
        <f t="shared" si="146"/>
        <v>5</v>
      </c>
      <c r="AL563">
        <f t="shared" si="154"/>
        <v>9</v>
      </c>
      <c r="AM563" t="str">
        <f t="shared" si="155"/>
        <v>September</v>
      </c>
      <c r="AN563">
        <f t="shared" si="156"/>
        <v>2023</v>
      </c>
      <c r="AO563" t="str">
        <f t="shared" si="157"/>
        <v>&gt;3</v>
      </c>
      <c r="AP563" t="str">
        <f t="shared" si="158"/>
        <v>&gt;3</v>
      </c>
      <c r="AQ563" t="str">
        <f t="shared" si="159"/>
        <v>&gt;3</v>
      </c>
    </row>
    <row r="564" spans="1:43" x14ac:dyDescent="0.3">
      <c r="A564" t="s">
        <v>33</v>
      </c>
      <c r="B564" t="s">
        <v>418</v>
      </c>
      <c r="C564" t="s">
        <v>257</v>
      </c>
      <c r="D564">
        <v>2655</v>
      </c>
      <c r="E564">
        <v>23210331</v>
      </c>
      <c r="F564" t="s">
        <v>420</v>
      </c>
      <c r="G564" t="s">
        <v>421</v>
      </c>
      <c r="H564">
        <v>2000</v>
      </c>
      <c r="I564">
        <v>34</v>
      </c>
      <c r="J564">
        <v>68000</v>
      </c>
      <c r="K564" s="7" t="str">
        <f>IFERROR(IF(B564&lt;&gt;"", TEXT(VLOOKUP(B564, 'Expected Date'!A:B, 2, FALSE) + DATE(RIGHT(C564,2),MID(C564,4,2),LEFT(C564,2)), "dd/mm/yy"), ""), "")</f>
        <v>02/07/23</v>
      </c>
      <c r="L564" t="s">
        <v>38</v>
      </c>
      <c r="M564" t="s">
        <v>48</v>
      </c>
      <c r="N564" t="s">
        <v>342</v>
      </c>
      <c r="O564" t="s">
        <v>162</v>
      </c>
      <c r="P564">
        <v>23290635</v>
      </c>
      <c r="Q564" t="s">
        <v>420</v>
      </c>
      <c r="R564" t="s">
        <v>421</v>
      </c>
      <c r="S564">
        <v>2000</v>
      </c>
      <c r="T564">
        <v>34</v>
      </c>
      <c r="U564">
        <v>68000</v>
      </c>
      <c r="V564" t="str">
        <f t="shared" si="161"/>
        <v>Dahej</v>
      </c>
      <c r="W564" t="str">
        <f>VLOOKUP(B564, Currency!A:B, 2, FALSE)</f>
        <v>INR</v>
      </c>
      <c r="X564" t="str">
        <f t="shared" si="160"/>
        <v>Accepted</v>
      </c>
      <c r="Y564">
        <f>IFERROR(VLOOKUP(N564, Payment_Terms!A:B, 2, FALSE), "Payment term not found!")</f>
        <v>30</v>
      </c>
      <c r="Z564" t="str">
        <f>IFERROR(VLOOKUP(R564, Item_Category!A:B, 2, FALSE), "Uncategorized")</f>
        <v>Hydrogen Peroxide</v>
      </c>
      <c r="AA564" s="5">
        <f t="shared" si="147"/>
        <v>0</v>
      </c>
      <c r="AB564">
        <f t="shared" si="148"/>
        <v>5</v>
      </c>
      <c r="AC564" s="10">
        <f t="shared" si="149"/>
        <v>-3</v>
      </c>
      <c r="AD564">
        <f t="shared" si="150"/>
        <v>5</v>
      </c>
      <c r="AE564" s="10">
        <f t="shared" si="151"/>
        <v>2</v>
      </c>
      <c r="AF564" s="5">
        <f t="shared" si="144"/>
        <v>1</v>
      </c>
      <c r="AG564" s="5">
        <f t="shared" si="145"/>
        <v>1</v>
      </c>
      <c r="AH564" s="5">
        <f t="shared" si="152"/>
        <v>0</v>
      </c>
      <c r="AI564">
        <f>IF(B564&lt;&gt;"", COUNTIFS($B$2:B564, B564), "")</f>
        <v>2</v>
      </c>
      <c r="AJ564">
        <f t="shared" si="153"/>
        <v>5</v>
      </c>
      <c r="AK564">
        <f t="shared" si="146"/>
        <v>5</v>
      </c>
      <c r="AL564">
        <f t="shared" si="154"/>
        <v>6</v>
      </c>
      <c r="AM564" t="str">
        <f t="shared" si="155"/>
        <v>June</v>
      </c>
      <c r="AN564">
        <f t="shared" si="156"/>
        <v>2023</v>
      </c>
      <c r="AO564" t="str">
        <f t="shared" si="157"/>
        <v>&gt;3</v>
      </c>
      <c r="AP564" t="str">
        <f t="shared" si="158"/>
        <v>&gt;3</v>
      </c>
      <c r="AQ564" t="str">
        <f t="shared" si="159"/>
        <v>&gt;3</v>
      </c>
    </row>
    <row r="565" spans="1:43" x14ac:dyDescent="0.3">
      <c r="A565" t="s">
        <v>33</v>
      </c>
      <c r="B565" t="s">
        <v>513</v>
      </c>
      <c r="C565" t="s">
        <v>193</v>
      </c>
      <c r="D565">
        <v>3147</v>
      </c>
      <c r="E565">
        <v>23210423</v>
      </c>
      <c r="F565" t="s">
        <v>514</v>
      </c>
      <c r="G565" t="s">
        <v>515</v>
      </c>
      <c r="H565">
        <v>10000</v>
      </c>
      <c r="I565">
        <v>18</v>
      </c>
      <c r="J565">
        <v>180000</v>
      </c>
      <c r="K565" s="7" t="str">
        <f>IFERROR(IF(B565&lt;&gt;"", TEXT(VLOOKUP(B565, 'Expected Date'!A:B, 2, FALSE) + DATE(RIGHT(C565,2),MID(C565,4,2),LEFT(C565,2)), "dd/mm/yy"), ""), "")</f>
        <v>19/07/23</v>
      </c>
      <c r="L565" t="s">
        <v>38</v>
      </c>
      <c r="M565" t="s">
        <v>48</v>
      </c>
      <c r="N565" t="s">
        <v>342</v>
      </c>
      <c r="O565" t="s">
        <v>116</v>
      </c>
      <c r="P565">
        <v>23290833</v>
      </c>
      <c r="Q565" t="s">
        <v>514</v>
      </c>
      <c r="R565" t="s">
        <v>515</v>
      </c>
      <c r="S565">
        <v>11010</v>
      </c>
      <c r="T565">
        <v>18</v>
      </c>
      <c r="U565">
        <v>198180</v>
      </c>
      <c r="V565" t="str">
        <f t="shared" si="161"/>
        <v>Dahej</v>
      </c>
      <c r="W565" t="str">
        <f>VLOOKUP(B565, Currency!A:B, 2, FALSE)</f>
        <v>INR</v>
      </c>
      <c r="X565" t="str">
        <f t="shared" si="160"/>
        <v>Accepted</v>
      </c>
      <c r="Y565">
        <f>IFERROR(VLOOKUP(N565, Payment_Terms!A:B, 2, FALSE), "Payment term not found!")</f>
        <v>30</v>
      </c>
      <c r="Z565" t="str">
        <f>IFERROR(VLOOKUP(R565, Item_Category!A:B, 2, FALSE), "Uncategorized")</f>
        <v xml:space="preserve">Caustic Soda </v>
      </c>
      <c r="AA565" s="5">
        <f t="shared" si="147"/>
        <v>0</v>
      </c>
      <c r="AB565">
        <f t="shared" si="148"/>
        <v>5</v>
      </c>
      <c r="AC565" s="10">
        <f t="shared" si="149"/>
        <v>-1</v>
      </c>
      <c r="AD565">
        <f t="shared" si="150"/>
        <v>5</v>
      </c>
      <c r="AE565" s="10">
        <f t="shared" si="151"/>
        <v>1</v>
      </c>
      <c r="AF565" s="5">
        <f t="shared" si="144"/>
        <v>1</v>
      </c>
      <c r="AG565" s="5">
        <f t="shared" si="145"/>
        <v>1</v>
      </c>
      <c r="AH565" s="5">
        <f t="shared" si="152"/>
        <v>0</v>
      </c>
      <c r="AI565">
        <f>IF(B565&lt;&gt;"", COUNTIFS($B$2:B565, B565), "")</f>
        <v>3</v>
      </c>
      <c r="AJ565">
        <f t="shared" si="153"/>
        <v>5</v>
      </c>
      <c r="AK565">
        <f t="shared" si="146"/>
        <v>5</v>
      </c>
      <c r="AL565">
        <f t="shared" si="154"/>
        <v>7</v>
      </c>
      <c r="AM565" t="str">
        <f t="shared" si="155"/>
        <v>July</v>
      </c>
      <c r="AN565">
        <f t="shared" si="156"/>
        <v>2023</v>
      </c>
      <c r="AO565" t="str">
        <f t="shared" si="157"/>
        <v>&gt;3</v>
      </c>
      <c r="AP565" t="str">
        <f t="shared" si="158"/>
        <v>&gt;3</v>
      </c>
      <c r="AQ565" t="str">
        <f t="shared" si="159"/>
        <v>&gt;3</v>
      </c>
    </row>
    <row r="566" spans="1:43" x14ac:dyDescent="0.3">
      <c r="A566" t="s">
        <v>33</v>
      </c>
      <c r="B566" t="s">
        <v>366</v>
      </c>
      <c r="C566" t="s">
        <v>202</v>
      </c>
      <c r="D566">
        <v>3640</v>
      </c>
      <c r="E566">
        <v>23210528</v>
      </c>
      <c r="F566" t="s">
        <v>368</v>
      </c>
      <c r="G566" t="s">
        <v>369</v>
      </c>
      <c r="H566">
        <v>100000</v>
      </c>
      <c r="I566">
        <v>7.55</v>
      </c>
      <c r="J566">
        <v>755000</v>
      </c>
      <c r="K566" s="7" t="str">
        <f>IFERROR(IF(B566&lt;&gt;"", TEXT(VLOOKUP(B566, 'Expected Date'!A:B, 2, FALSE) + DATE(RIGHT(C566,2),MID(C566,4,2),LEFT(C566,2)), "dd/mm/yy"), ""), "")</f>
        <v>11/08/23</v>
      </c>
      <c r="L566" t="s">
        <v>68</v>
      </c>
      <c r="M566" t="s">
        <v>48</v>
      </c>
      <c r="N566" t="s">
        <v>370</v>
      </c>
      <c r="O566" t="s">
        <v>121</v>
      </c>
      <c r="P566">
        <v>23291081</v>
      </c>
      <c r="Q566" t="s">
        <v>368</v>
      </c>
      <c r="R566" t="s">
        <v>369</v>
      </c>
      <c r="S566">
        <v>33790</v>
      </c>
      <c r="T566">
        <v>7.55</v>
      </c>
      <c r="U566">
        <v>255114.5</v>
      </c>
      <c r="V566" t="str">
        <f t="shared" si="161"/>
        <v>Dahej</v>
      </c>
      <c r="W566" t="str">
        <f>VLOOKUP(B566, Currency!A:B, 2, FALSE)</f>
        <v>INR</v>
      </c>
      <c r="X566" t="str">
        <f t="shared" si="160"/>
        <v>Accepted</v>
      </c>
      <c r="Y566">
        <f>IFERROR(VLOOKUP(N566, Payment_Terms!A:B, 2, FALSE), "Payment term not found!")</f>
        <v>15</v>
      </c>
      <c r="Z566" t="str">
        <f>IFERROR(VLOOKUP(R566, Item_Category!A:B, 2, FALSE), "Uncategorized")</f>
        <v>Coal materials</v>
      </c>
      <c r="AA566" s="5">
        <f t="shared" si="147"/>
        <v>0.66210000000000002</v>
      </c>
      <c r="AB566">
        <f t="shared" si="148"/>
        <v>1</v>
      </c>
      <c r="AC566" s="10">
        <f t="shared" si="149"/>
        <v>-1</v>
      </c>
      <c r="AD566">
        <f t="shared" si="150"/>
        <v>5</v>
      </c>
      <c r="AE566" s="10">
        <f t="shared" si="151"/>
        <v>1</v>
      </c>
      <c r="AF566" s="5">
        <f t="shared" si="144"/>
        <v>1</v>
      </c>
      <c r="AG566" s="5">
        <f t="shared" si="145"/>
        <v>1</v>
      </c>
      <c r="AH566" s="5">
        <f t="shared" si="152"/>
        <v>0</v>
      </c>
      <c r="AI566">
        <f>IF(B566&lt;&gt;"", COUNTIFS($B$2:B566, B566), "")</f>
        <v>55</v>
      </c>
      <c r="AJ566">
        <f t="shared" si="153"/>
        <v>5</v>
      </c>
      <c r="AK566">
        <f t="shared" si="146"/>
        <v>4</v>
      </c>
      <c r="AL566">
        <f t="shared" si="154"/>
        <v>8</v>
      </c>
      <c r="AM566" t="str">
        <f t="shared" si="155"/>
        <v>August</v>
      </c>
      <c r="AN566">
        <f t="shared" si="156"/>
        <v>2023</v>
      </c>
      <c r="AO566" t="str">
        <f t="shared" si="157"/>
        <v>&gt;3</v>
      </c>
      <c r="AP566" t="str">
        <f t="shared" si="158"/>
        <v>&lt;=3</v>
      </c>
      <c r="AQ566" t="str">
        <f t="shared" si="159"/>
        <v>&gt;3</v>
      </c>
    </row>
    <row r="567" spans="1:43" x14ac:dyDescent="0.3">
      <c r="A567" t="s">
        <v>33</v>
      </c>
      <c r="B567" t="s">
        <v>366</v>
      </c>
      <c r="C567" t="s">
        <v>246</v>
      </c>
      <c r="D567">
        <v>4322</v>
      </c>
      <c r="E567">
        <v>23210653</v>
      </c>
      <c r="F567" t="s">
        <v>392</v>
      </c>
      <c r="G567" t="s">
        <v>393</v>
      </c>
      <c r="H567">
        <v>100</v>
      </c>
      <c r="I567">
        <v>11100</v>
      </c>
      <c r="J567">
        <v>1110000</v>
      </c>
      <c r="K567" s="7" t="str">
        <f>IFERROR(IF(B567&lt;&gt;"", TEXT(VLOOKUP(B567, 'Expected Date'!A:B, 2, FALSE) + DATE(RIGHT(C567,2),MID(C567,4,2),LEFT(C567,2)), "dd/mm/yy"), ""), "")</f>
        <v>14/09/23</v>
      </c>
      <c r="L567" t="s">
        <v>38</v>
      </c>
      <c r="M567" t="s">
        <v>48</v>
      </c>
      <c r="N567" t="s">
        <v>370</v>
      </c>
      <c r="O567" t="s">
        <v>156</v>
      </c>
      <c r="P567">
        <v>23291465</v>
      </c>
      <c r="Q567" t="s">
        <v>392</v>
      </c>
      <c r="R567" t="s">
        <v>393</v>
      </c>
      <c r="S567">
        <v>30.94</v>
      </c>
      <c r="T567">
        <v>11100</v>
      </c>
      <c r="U567">
        <v>343434</v>
      </c>
      <c r="V567" t="str">
        <f t="shared" si="161"/>
        <v>Dahej</v>
      </c>
      <c r="W567" t="str">
        <f>VLOOKUP(B567, Currency!A:B, 2, FALSE)</f>
        <v>INR</v>
      </c>
      <c r="X567" t="str">
        <f t="shared" si="160"/>
        <v>Accepted</v>
      </c>
      <c r="Y567">
        <f>IFERROR(VLOOKUP(N567, Payment_Terms!A:B, 2, FALSE), "Payment term not found!")</f>
        <v>15</v>
      </c>
      <c r="Z567" t="str">
        <f>IFERROR(VLOOKUP(R567, Item_Category!A:B, 2, FALSE), "Uncategorized")</f>
        <v>Coal materials</v>
      </c>
      <c r="AA567" s="5">
        <f t="shared" si="147"/>
        <v>0</v>
      </c>
      <c r="AB567">
        <f t="shared" si="148"/>
        <v>5</v>
      </c>
      <c r="AC567" s="10">
        <f t="shared" si="149"/>
        <v>4</v>
      </c>
      <c r="AD567">
        <f t="shared" si="150"/>
        <v>4</v>
      </c>
      <c r="AE567" s="10">
        <f t="shared" si="151"/>
        <v>6</v>
      </c>
      <c r="AF567" s="5">
        <f t="shared" si="144"/>
        <v>1</v>
      </c>
      <c r="AG567" s="5">
        <f t="shared" si="145"/>
        <v>1</v>
      </c>
      <c r="AH567" s="5">
        <f t="shared" si="152"/>
        <v>0</v>
      </c>
      <c r="AI567">
        <f>IF(B567&lt;&gt;"", COUNTIFS($B$2:B567, B567), "")</f>
        <v>56</v>
      </c>
      <c r="AJ567">
        <f t="shared" si="153"/>
        <v>5</v>
      </c>
      <c r="AK567">
        <f t="shared" si="146"/>
        <v>5</v>
      </c>
      <c r="AL567">
        <f t="shared" si="154"/>
        <v>9</v>
      </c>
      <c r="AM567" t="str">
        <f t="shared" si="155"/>
        <v>September</v>
      </c>
      <c r="AN567">
        <f t="shared" si="156"/>
        <v>2023</v>
      </c>
      <c r="AO567" t="str">
        <f t="shared" si="157"/>
        <v>&gt;3</v>
      </c>
      <c r="AP567" t="str">
        <f t="shared" si="158"/>
        <v>&gt;3</v>
      </c>
      <c r="AQ567" t="str">
        <f t="shared" si="159"/>
        <v>&gt;3</v>
      </c>
    </row>
    <row r="568" spans="1:43" x14ac:dyDescent="0.3">
      <c r="A568" t="s">
        <v>111</v>
      </c>
      <c r="B568" t="s">
        <v>296</v>
      </c>
      <c r="C568" t="s">
        <v>194</v>
      </c>
      <c r="D568">
        <v>4661</v>
      </c>
      <c r="E568">
        <v>23220068</v>
      </c>
      <c r="F568" t="s">
        <v>375</v>
      </c>
      <c r="G568" t="s">
        <v>311</v>
      </c>
      <c r="H568">
        <v>100</v>
      </c>
      <c r="I568">
        <v>413</v>
      </c>
      <c r="J568">
        <v>41300</v>
      </c>
      <c r="K568" s="7" t="str">
        <f>IFERROR(IF(B568&lt;&gt;"", TEXT(VLOOKUP(B568, 'Expected Date'!A:B, 2, FALSE) + DATE(RIGHT(C568,2),MID(C568,4,2),LEFT(C568,2)), "dd/mm/yy"), ""), "")</f>
        <v>11/10/23</v>
      </c>
      <c r="L568" t="s">
        <v>38</v>
      </c>
      <c r="M568" t="s">
        <v>48</v>
      </c>
      <c r="N568" t="s">
        <v>538</v>
      </c>
      <c r="O568" t="s">
        <v>539</v>
      </c>
      <c r="P568">
        <v>23291687</v>
      </c>
      <c r="Q568" t="s">
        <v>375</v>
      </c>
      <c r="R568" t="s">
        <v>311</v>
      </c>
      <c r="S568">
        <v>100</v>
      </c>
      <c r="T568">
        <v>413</v>
      </c>
      <c r="U568">
        <v>41300</v>
      </c>
      <c r="V568" t="str">
        <f t="shared" si="161"/>
        <v>Dahej</v>
      </c>
      <c r="W568" t="str">
        <f>VLOOKUP(B568, Currency!A:B, 2, FALSE)</f>
        <v>INR</v>
      </c>
      <c r="X568" t="str">
        <f t="shared" si="160"/>
        <v>Accepted</v>
      </c>
      <c r="Y568">
        <f>IFERROR(VLOOKUP(N568, Payment_Terms!A:B, 2, FALSE), "Payment term not found!")</f>
        <v>60</v>
      </c>
      <c r="Z568" t="str">
        <f>IFERROR(VLOOKUP(R568, Item_Category!A:B, 2, FALSE), "Uncategorized")</f>
        <v>CROSSCARMELLOSE SODIUM</v>
      </c>
      <c r="AA568" s="5">
        <f t="shared" si="147"/>
        <v>0</v>
      </c>
      <c r="AB568">
        <f t="shared" si="148"/>
        <v>5</v>
      </c>
      <c r="AC568" s="10">
        <f t="shared" si="149"/>
        <v>1</v>
      </c>
      <c r="AD568">
        <f t="shared" si="150"/>
        <v>5</v>
      </c>
      <c r="AE568" s="10">
        <f t="shared" si="151"/>
        <v>16</v>
      </c>
      <c r="AF568" s="5">
        <f t="shared" si="144"/>
        <v>1</v>
      </c>
      <c r="AG568" s="5">
        <f t="shared" si="145"/>
        <v>1</v>
      </c>
      <c r="AH568" s="5">
        <f t="shared" si="152"/>
        <v>0</v>
      </c>
      <c r="AI568">
        <f>IF(B568&lt;&gt;"", COUNTIFS($B$2:B568, B568), "")</f>
        <v>10</v>
      </c>
      <c r="AJ568">
        <f t="shared" si="153"/>
        <v>5</v>
      </c>
      <c r="AK568">
        <f t="shared" si="146"/>
        <v>5</v>
      </c>
      <c r="AL568">
        <f t="shared" si="154"/>
        <v>9</v>
      </c>
      <c r="AM568" t="str">
        <f t="shared" si="155"/>
        <v>September</v>
      </c>
      <c r="AN568">
        <f t="shared" si="156"/>
        <v>2023</v>
      </c>
      <c r="AO568" t="str">
        <f t="shared" si="157"/>
        <v>&gt;3</v>
      </c>
      <c r="AP568" t="str">
        <f t="shared" si="158"/>
        <v>&gt;3</v>
      </c>
      <c r="AQ568" t="str">
        <f t="shared" si="159"/>
        <v>&gt;3</v>
      </c>
    </row>
    <row r="569" spans="1:43" x14ac:dyDescent="0.3">
      <c r="A569" t="s">
        <v>33</v>
      </c>
      <c r="B569" t="s">
        <v>366</v>
      </c>
      <c r="C569" t="s">
        <v>540</v>
      </c>
      <c r="D569">
        <v>4056</v>
      </c>
      <c r="E569">
        <v>23210591</v>
      </c>
      <c r="F569" t="s">
        <v>392</v>
      </c>
      <c r="G569" t="s">
        <v>393</v>
      </c>
      <c r="H569">
        <v>100</v>
      </c>
      <c r="I569">
        <v>9850</v>
      </c>
      <c r="J569">
        <v>985000</v>
      </c>
      <c r="K569" s="7" t="str">
        <f>IFERROR(IF(B569&lt;&gt;"", TEXT(VLOOKUP(B569, 'Expected Date'!A:B, 2, FALSE) + DATE(RIGHT(C569,2),MID(C569,4,2),LEFT(C569,2)), "dd/mm/yy"), ""), "")</f>
        <v>29/08/23</v>
      </c>
      <c r="L569" t="s">
        <v>38</v>
      </c>
      <c r="M569" t="s">
        <v>48</v>
      </c>
      <c r="N569" t="s">
        <v>370</v>
      </c>
      <c r="O569" t="s">
        <v>163</v>
      </c>
      <c r="P569">
        <v>23291266</v>
      </c>
      <c r="Q569" t="s">
        <v>392</v>
      </c>
      <c r="R569" t="s">
        <v>393</v>
      </c>
      <c r="S569">
        <v>28.84</v>
      </c>
      <c r="T569">
        <v>9850</v>
      </c>
      <c r="U569">
        <v>284074</v>
      </c>
      <c r="V569" t="str">
        <f t="shared" si="161"/>
        <v>Dahej</v>
      </c>
      <c r="W569" t="str">
        <f>VLOOKUP(B569, Currency!A:B, 2, FALSE)</f>
        <v>INR</v>
      </c>
      <c r="X569" t="str">
        <f t="shared" si="160"/>
        <v>Accepted</v>
      </c>
      <c r="Y569">
        <f>IFERROR(VLOOKUP(N569, Payment_Terms!A:B, 2, FALSE), "Payment term not found!")</f>
        <v>15</v>
      </c>
      <c r="Z569" t="str">
        <f>IFERROR(VLOOKUP(R569, Item_Category!A:B, 2, FALSE), "Uncategorized")</f>
        <v>Coal materials</v>
      </c>
      <c r="AA569" s="5">
        <f t="shared" si="147"/>
        <v>0</v>
      </c>
      <c r="AB569">
        <f t="shared" si="148"/>
        <v>5</v>
      </c>
      <c r="AC569" s="10">
        <f t="shared" si="149"/>
        <v>1</v>
      </c>
      <c r="AD569">
        <f t="shared" si="150"/>
        <v>5</v>
      </c>
      <c r="AE569" s="10">
        <f t="shared" si="151"/>
        <v>3</v>
      </c>
      <c r="AF569" s="5">
        <f t="shared" si="144"/>
        <v>1</v>
      </c>
      <c r="AG569" s="5">
        <f t="shared" si="145"/>
        <v>1</v>
      </c>
      <c r="AH569" s="5">
        <f t="shared" si="152"/>
        <v>0</v>
      </c>
      <c r="AI569">
        <f>IF(B569&lt;&gt;"", COUNTIFS($B$2:B569, B569), "")</f>
        <v>57</v>
      </c>
      <c r="AJ569">
        <f t="shared" si="153"/>
        <v>5</v>
      </c>
      <c r="AK569">
        <f t="shared" si="146"/>
        <v>5</v>
      </c>
      <c r="AL569">
        <f t="shared" si="154"/>
        <v>8</v>
      </c>
      <c r="AM569" t="str">
        <f t="shared" si="155"/>
        <v>August</v>
      </c>
      <c r="AN569">
        <f t="shared" si="156"/>
        <v>2023</v>
      </c>
      <c r="AO569" t="str">
        <f t="shared" si="157"/>
        <v>&gt;3</v>
      </c>
      <c r="AP569" t="str">
        <f t="shared" si="158"/>
        <v>&gt;3</v>
      </c>
      <c r="AQ569" t="str">
        <f t="shared" si="159"/>
        <v>&gt;3</v>
      </c>
    </row>
    <row r="570" spans="1:43" x14ac:dyDescent="0.3">
      <c r="A570" t="s">
        <v>33</v>
      </c>
      <c r="B570" t="s">
        <v>366</v>
      </c>
      <c r="C570" t="s">
        <v>540</v>
      </c>
      <c r="D570">
        <v>4056</v>
      </c>
      <c r="E570">
        <v>23210591</v>
      </c>
      <c r="F570" t="s">
        <v>392</v>
      </c>
      <c r="G570" t="s">
        <v>393</v>
      </c>
      <c r="H570">
        <v>100</v>
      </c>
      <c r="I570">
        <v>9850</v>
      </c>
      <c r="J570">
        <v>985000</v>
      </c>
      <c r="K570" s="7" t="str">
        <f>IFERROR(IF(B570&lt;&gt;"", TEXT(VLOOKUP(B570, 'Expected Date'!A:B, 2, FALSE) + DATE(RIGHT(C570,2),MID(C570,4,2),LEFT(C570,2)), "dd/mm/yy"), ""), "")</f>
        <v>29/08/23</v>
      </c>
      <c r="L570" t="s">
        <v>38</v>
      </c>
      <c r="M570" t="s">
        <v>48</v>
      </c>
      <c r="N570" t="s">
        <v>370</v>
      </c>
      <c r="O570" t="s">
        <v>191</v>
      </c>
      <c r="P570">
        <v>23291269</v>
      </c>
      <c r="Q570" t="s">
        <v>392</v>
      </c>
      <c r="R570" t="s">
        <v>393</v>
      </c>
      <c r="S570">
        <v>28.55</v>
      </c>
      <c r="T570">
        <v>9850</v>
      </c>
      <c r="U570">
        <v>281217.5</v>
      </c>
      <c r="V570" t="str">
        <f t="shared" si="161"/>
        <v>Dahej</v>
      </c>
      <c r="W570" t="str">
        <f>VLOOKUP(B570, Currency!A:B, 2, FALSE)</f>
        <v>INR</v>
      </c>
      <c r="X570" t="str">
        <f t="shared" si="160"/>
        <v>Accepted</v>
      </c>
      <c r="Y570">
        <f>IFERROR(VLOOKUP(N570, Payment_Terms!A:B, 2, FALSE), "Payment term not found!")</f>
        <v>15</v>
      </c>
      <c r="Z570" t="str">
        <f>IFERROR(VLOOKUP(R570, Item_Category!A:B, 2, FALSE), "Uncategorized")</f>
        <v>Coal materials</v>
      </c>
      <c r="AA570" s="5">
        <f t="shared" si="147"/>
        <v>0</v>
      </c>
      <c r="AB570">
        <f t="shared" si="148"/>
        <v>5</v>
      </c>
      <c r="AC570" s="10">
        <f t="shared" si="149"/>
        <v>-1</v>
      </c>
      <c r="AD570">
        <f t="shared" si="150"/>
        <v>5</v>
      </c>
      <c r="AE570" s="10">
        <f t="shared" si="151"/>
        <v>1</v>
      </c>
      <c r="AF570" s="5">
        <f t="shared" si="144"/>
        <v>1</v>
      </c>
      <c r="AG570" s="5">
        <f t="shared" si="145"/>
        <v>1</v>
      </c>
      <c r="AH570" s="5">
        <f t="shared" si="152"/>
        <v>0</v>
      </c>
      <c r="AI570">
        <f>IF(B570&lt;&gt;"", COUNTIFS($B$2:B570, B570), "")</f>
        <v>58</v>
      </c>
      <c r="AJ570">
        <f t="shared" si="153"/>
        <v>5</v>
      </c>
      <c r="AK570">
        <f t="shared" si="146"/>
        <v>5</v>
      </c>
      <c r="AL570">
        <f t="shared" si="154"/>
        <v>8</v>
      </c>
      <c r="AM570" t="str">
        <f t="shared" si="155"/>
        <v>August</v>
      </c>
      <c r="AN570">
        <f t="shared" si="156"/>
        <v>2023</v>
      </c>
      <c r="AO570" t="str">
        <f t="shared" si="157"/>
        <v>&gt;3</v>
      </c>
      <c r="AP570" t="str">
        <f t="shared" si="158"/>
        <v>&gt;3</v>
      </c>
      <c r="AQ570" t="str">
        <f t="shared" si="159"/>
        <v>&gt;3</v>
      </c>
    </row>
    <row r="571" spans="1:43" x14ac:dyDescent="0.3">
      <c r="A571" t="s">
        <v>33</v>
      </c>
      <c r="B571" t="str">
        <f>B284</f>
        <v>Ami Enterprises</v>
      </c>
      <c r="C571" t="s">
        <v>270</v>
      </c>
      <c r="D571">
        <v>4418</v>
      </c>
      <c r="E571">
        <v>23210671</v>
      </c>
      <c r="F571" t="s">
        <v>460</v>
      </c>
      <c r="G571" t="s">
        <v>461</v>
      </c>
      <c r="H571">
        <v>15000</v>
      </c>
      <c r="I571">
        <v>33.5</v>
      </c>
      <c r="J571">
        <v>502500</v>
      </c>
      <c r="K571" s="7" t="str">
        <f>IFERROR(IF(B571&lt;&gt;"", TEXT(VLOOKUP(B571, 'Expected Date'!A:B, 2, FALSE) + DATE(RIGHT(C571,2),MID(C571,4,2),LEFT(C571,2)), "dd/mm/yy"), ""), "")</f>
        <v>26/09/23</v>
      </c>
      <c r="L571" t="s">
        <v>38</v>
      </c>
      <c r="M571" t="s">
        <v>39</v>
      </c>
      <c r="N571" t="s">
        <v>318</v>
      </c>
      <c r="O571" t="s">
        <v>156</v>
      </c>
      <c r="P571">
        <v>23291466</v>
      </c>
      <c r="Q571" t="s">
        <v>460</v>
      </c>
      <c r="R571" t="s">
        <v>461</v>
      </c>
      <c r="S571">
        <v>15200</v>
      </c>
      <c r="T571">
        <v>33.5</v>
      </c>
      <c r="U571">
        <v>509200</v>
      </c>
      <c r="V571" t="str">
        <f t="shared" si="161"/>
        <v>Dahej</v>
      </c>
      <c r="W571" t="str">
        <f>VLOOKUP(B571, Currency!A:B, 2, FALSE)</f>
        <v>INR</v>
      </c>
      <c r="X571" t="str">
        <f t="shared" si="160"/>
        <v>Accepted</v>
      </c>
      <c r="Y571">
        <f>IFERROR(VLOOKUP(N571, Payment_Terms!A:B, 2, FALSE), "Payment term not found!")</f>
        <v>30</v>
      </c>
      <c r="Z571" t="str">
        <f>IFERROR(VLOOKUP(R571, Item_Category!A:B, 2, FALSE), "Uncategorized")</f>
        <v>Bags</v>
      </c>
      <c r="AA571" s="5">
        <f t="shared" si="147"/>
        <v>0</v>
      </c>
      <c r="AB571">
        <f t="shared" si="148"/>
        <v>5</v>
      </c>
      <c r="AC571" s="10">
        <f t="shared" si="149"/>
        <v>-8</v>
      </c>
      <c r="AD571">
        <f t="shared" si="150"/>
        <v>5</v>
      </c>
      <c r="AE571" s="10">
        <f t="shared" si="151"/>
        <v>2</v>
      </c>
      <c r="AF571" s="5">
        <f t="shared" si="144"/>
        <v>1</v>
      </c>
      <c r="AG571" s="5">
        <f t="shared" si="145"/>
        <v>1</v>
      </c>
      <c r="AH571" s="5">
        <f t="shared" si="152"/>
        <v>0</v>
      </c>
      <c r="AI571">
        <f>IF(B571&lt;&gt;"", COUNTIFS($B$2:B571, B571), "")</f>
        <v>38</v>
      </c>
      <c r="AJ571">
        <f t="shared" si="153"/>
        <v>5</v>
      </c>
      <c r="AK571">
        <f t="shared" si="146"/>
        <v>5</v>
      </c>
      <c r="AL571">
        <f t="shared" si="154"/>
        <v>9</v>
      </c>
      <c r="AM571" t="str">
        <f t="shared" si="155"/>
        <v>September</v>
      </c>
      <c r="AN571">
        <f t="shared" si="156"/>
        <v>2023</v>
      </c>
      <c r="AO571" t="str">
        <f t="shared" si="157"/>
        <v>&gt;3</v>
      </c>
      <c r="AP571" t="str">
        <f t="shared" si="158"/>
        <v>&gt;3</v>
      </c>
      <c r="AQ571" t="str">
        <f t="shared" si="159"/>
        <v>&gt;3</v>
      </c>
    </row>
    <row r="572" spans="1:43" x14ac:dyDescent="0.3">
      <c r="A572" t="s">
        <v>111</v>
      </c>
      <c r="B572" t="s">
        <v>296</v>
      </c>
      <c r="C572" t="s">
        <v>41</v>
      </c>
      <c r="D572">
        <v>1620</v>
      </c>
      <c r="E572">
        <v>23220013</v>
      </c>
      <c r="F572" t="s">
        <v>375</v>
      </c>
      <c r="G572" t="s">
        <v>311</v>
      </c>
      <c r="H572">
        <v>6000</v>
      </c>
      <c r="I572">
        <v>413</v>
      </c>
      <c r="J572">
        <v>2478000</v>
      </c>
      <c r="K572" s="7" t="str">
        <f>IFERROR(IF(B572&lt;&gt;"", TEXT(VLOOKUP(B572, 'Expected Date'!A:B, 2, FALSE) + DATE(RIGHT(C572,2),MID(C572,4,2),LEFT(C572,2)), "dd/mm/yy"), ""), "")</f>
        <v>14/05/23</v>
      </c>
      <c r="L572" t="s">
        <v>68</v>
      </c>
      <c r="M572" t="s">
        <v>48</v>
      </c>
      <c r="N572" t="s">
        <v>541</v>
      </c>
      <c r="O572" t="s">
        <v>539</v>
      </c>
      <c r="P572">
        <v>23291687</v>
      </c>
      <c r="Q572" t="s">
        <v>375</v>
      </c>
      <c r="R572" t="s">
        <v>311</v>
      </c>
      <c r="S572">
        <v>2000</v>
      </c>
      <c r="T572">
        <v>413</v>
      </c>
      <c r="U572">
        <v>826000</v>
      </c>
      <c r="V572" t="str">
        <f t="shared" si="161"/>
        <v>Dahej</v>
      </c>
      <c r="W572" t="str">
        <f>VLOOKUP(B572, Currency!A:B, 2, FALSE)</f>
        <v>INR</v>
      </c>
      <c r="X572" t="str">
        <f t="shared" si="160"/>
        <v>Accepted</v>
      </c>
      <c r="Y572">
        <f>IFERROR(VLOOKUP(N572, Payment_Terms!A:B, 2, FALSE), "Payment term not found!")</f>
        <v>60</v>
      </c>
      <c r="Z572" t="str">
        <f>IFERROR(VLOOKUP(R572, Item_Category!A:B, 2, FALSE), "Uncategorized")</f>
        <v>CROSSCARMELLOSE SODIUM</v>
      </c>
      <c r="AA572" s="5">
        <f t="shared" si="147"/>
        <v>0.33333333333333331</v>
      </c>
      <c r="AB572">
        <f t="shared" si="148"/>
        <v>1</v>
      </c>
      <c r="AC572" s="10">
        <f t="shared" si="149"/>
        <v>151</v>
      </c>
      <c r="AD572">
        <f t="shared" si="150"/>
        <v>1</v>
      </c>
      <c r="AE572" s="10">
        <f t="shared" si="151"/>
        <v>166</v>
      </c>
      <c r="AF572" s="5">
        <f t="shared" si="144"/>
        <v>1</v>
      </c>
      <c r="AG572" s="5">
        <f t="shared" si="145"/>
        <v>1</v>
      </c>
      <c r="AH572" s="5">
        <f t="shared" si="152"/>
        <v>0</v>
      </c>
      <c r="AI572">
        <f>IF(B572&lt;&gt;"", COUNTIFS($B$2:B572, B572), "")</f>
        <v>11</v>
      </c>
      <c r="AJ572">
        <f t="shared" si="153"/>
        <v>5</v>
      </c>
      <c r="AK572">
        <f t="shared" si="146"/>
        <v>3</v>
      </c>
      <c r="AL572">
        <f t="shared" si="154"/>
        <v>4</v>
      </c>
      <c r="AM572" t="str">
        <f t="shared" si="155"/>
        <v>April</v>
      </c>
      <c r="AN572">
        <f t="shared" si="156"/>
        <v>2023</v>
      </c>
      <c r="AO572" t="str">
        <f t="shared" si="157"/>
        <v>&gt;3</v>
      </c>
      <c r="AP572" t="str">
        <f t="shared" si="158"/>
        <v>&lt;=3</v>
      </c>
      <c r="AQ572" t="str">
        <f t="shared" si="159"/>
        <v>&lt;=3</v>
      </c>
    </row>
    <row r="573" spans="1:43" x14ac:dyDescent="0.3">
      <c r="A573" t="s">
        <v>33</v>
      </c>
      <c r="B573" t="s">
        <v>382</v>
      </c>
      <c r="C573" t="s">
        <v>542</v>
      </c>
      <c r="D573">
        <v>3356</v>
      </c>
      <c r="E573">
        <v>23210455</v>
      </c>
      <c r="F573" t="s">
        <v>383</v>
      </c>
      <c r="G573" t="s">
        <v>384</v>
      </c>
      <c r="H573">
        <v>250</v>
      </c>
      <c r="I573">
        <v>96</v>
      </c>
      <c r="J573">
        <v>24000</v>
      </c>
      <c r="K573" s="7" t="str">
        <f>IFERROR(IF(B573&lt;&gt;"", TEXT(VLOOKUP(B573, 'Expected Date'!A:B, 2, FALSE) + DATE(RIGHT(C573,2),MID(C573,4,2),LEFT(C573,2)), "dd/mm/yy"), ""), "")</f>
        <v>06/08/23</v>
      </c>
      <c r="L573" t="s">
        <v>38</v>
      </c>
      <c r="M573" t="s">
        <v>48</v>
      </c>
      <c r="N573" t="s">
        <v>342</v>
      </c>
      <c r="O573" t="s">
        <v>543</v>
      </c>
      <c r="P573">
        <v>23290936</v>
      </c>
      <c r="Q573" t="s">
        <v>383</v>
      </c>
      <c r="R573" t="s">
        <v>384</v>
      </c>
      <c r="S573">
        <v>250</v>
      </c>
      <c r="T573">
        <v>96</v>
      </c>
      <c r="U573">
        <v>24000</v>
      </c>
      <c r="V573" t="str">
        <f t="shared" si="161"/>
        <v>Dahej</v>
      </c>
      <c r="W573" t="str">
        <f>VLOOKUP(B573, Currency!A:B, 2, FALSE)</f>
        <v>INR</v>
      </c>
      <c r="X573" t="str">
        <f t="shared" si="160"/>
        <v>Accepted</v>
      </c>
      <c r="Y573">
        <f>IFERROR(VLOOKUP(N573, Payment_Terms!A:B, 2, FALSE), "Payment term not found!")</f>
        <v>30</v>
      </c>
      <c r="Z573" t="str">
        <f>IFERROR(VLOOKUP(R573, Item_Category!A:B, 2, FALSE), "Uncategorized")</f>
        <v>Gas</v>
      </c>
      <c r="AA573" s="5">
        <f t="shared" si="147"/>
        <v>0</v>
      </c>
      <c r="AB573">
        <f t="shared" si="148"/>
        <v>5</v>
      </c>
      <c r="AC573" s="10">
        <f t="shared" si="149"/>
        <v>-9</v>
      </c>
      <c r="AD573">
        <f t="shared" si="150"/>
        <v>5</v>
      </c>
      <c r="AE573" s="10">
        <f t="shared" si="151"/>
        <v>1</v>
      </c>
      <c r="AF573" s="5">
        <f t="shared" si="144"/>
        <v>1</v>
      </c>
      <c r="AG573" s="5">
        <f t="shared" si="145"/>
        <v>1</v>
      </c>
      <c r="AH573" s="5">
        <f t="shared" si="152"/>
        <v>0</v>
      </c>
      <c r="AI573">
        <f>IF(B573&lt;&gt;"", COUNTIFS($B$2:B573, B573), "")</f>
        <v>18</v>
      </c>
      <c r="AJ573">
        <f t="shared" si="153"/>
        <v>5</v>
      </c>
      <c r="AK573">
        <f t="shared" si="146"/>
        <v>5</v>
      </c>
      <c r="AL573">
        <f t="shared" si="154"/>
        <v>7</v>
      </c>
      <c r="AM573" t="str">
        <f t="shared" si="155"/>
        <v>July</v>
      </c>
      <c r="AN573">
        <f t="shared" si="156"/>
        <v>2023</v>
      </c>
      <c r="AO573" t="str">
        <f t="shared" si="157"/>
        <v>&gt;3</v>
      </c>
      <c r="AP573" t="str">
        <f t="shared" si="158"/>
        <v>&gt;3</v>
      </c>
      <c r="AQ573" t="str">
        <f t="shared" si="159"/>
        <v>&gt;3</v>
      </c>
    </row>
    <row r="574" spans="1:43" x14ac:dyDescent="0.3">
      <c r="A574" t="str">
        <f>A561</f>
        <v>Woodpulp</v>
      </c>
      <c r="B574" t="s">
        <v>140</v>
      </c>
      <c r="C574" t="s">
        <v>198</v>
      </c>
      <c r="D574">
        <v>3453</v>
      </c>
      <c r="E574">
        <v>23220052</v>
      </c>
      <c r="F574" t="s">
        <v>359</v>
      </c>
      <c r="G574" t="s">
        <v>360</v>
      </c>
      <c r="H574">
        <v>100</v>
      </c>
      <c r="I574">
        <v>830</v>
      </c>
      <c r="J574">
        <v>6739600</v>
      </c>
      <c r="K574" s="7" t="str">
        <f>IFERROR(IF(B574&lt;&gt;"", TEXT(VLOOKUP(B574, 'Expected Date'!A:B, 2, FALSE) + DATE(RIGHT(C574,2),MID(C574,4,2),LEFT(C574,2)), "dd/mm/yy"), ""), "")</f>
        <v>14/09/23</v>
      </c>
      <c r="L574" t="s">
        <v>68</v>
      </c>
      <c r="M574" t="str">
        <f>M355</f>
        <v>MT</v>
      </c>
      <c r="N574" t="s">
        <v>245</v>
      </c>
      <c r="O574" t="s">
        <v>94</v>
      </c>
      <c r="P574">
        <v>23291102</v>
      </c>
      <c r="Q574" t="s">
        <v>359</v>
      </c>
      <c r="R574" t="s">
        <v>360</v>
      </c>
      <c r="S574">
        <v>98.307000000000002</v>
      </c>
      <c r="T574">
        <v>830</v>
      </c>
      <c r="U574">
        <v>6682614.9400000004</v>
      </c>
      <c r="V574" t="str">
        <f t="shared" si="161"/>
        <v>Dahej</v>
      </c>
      <c r="W574" t="str">
        <f>VLOOKUP(B574, Currency!A:B, 2, FALSE)</f>
        <v>USD</v>
      </c>
      <c r="X574" t="str">
        <f t="shared" si="160"/>
        <v>Accepted</v>
      </c>
      <c r="Y574">
        <f>IFERROR(VLOOKUP(N574, Payment_Terms!A:B, 2, FALSE), "Payment term not found!")</f>
        <v>0</v>
      </c>
      <c r="Z574" t="str">
        <f>IFERROR(VLOOKUP(R574, Item_Category!A:B, 2, FALSE), "Uncategorized")</f>
        <v>Wood pulp</v>
      </c>
      <c r="AA574" s="5">
        <f t="shared" si="147"/>
        <v>1.692999999999998E-2</v>
      </c>
      <c r="AB574">
        <f t="shared" si="148"/>
        <v>4</v>
      </c>
      <c r="AC574" s="10">
        <f t="shared" si="149"/>
        <v>-38</v>
      </c>
      <c r="AD574">
        <f t="shared" si="150"/>
        <v>5</v>
      </c>
      <c r="AE574" s="10">
        <f t="shared" si="151"/>
        <v>7</v>
      </c>
      <c r="AF574" s="5">
        <f t="shared" si="144"/>
        <v>1</v>
      </c>
      <c r="AG574" s="5">
        <f t="shared" si="145"/>
        <v>1</v>
      </c>
      <c r="AH574" s="5">
        <f t="shared" si="152"/>
        <v>0</v>
      </c>
      <c r="AI574">
        <f>IF(B574&lt;&gt;"", COUNTIFS($B$2:B574, B574), "")</f>
        <v>30</v>
      </c>
      <c r="AJ574">
        <f t="shared" si="153"/>
        <v>5</v>
      </c>
      <c r="AK574">
        <f t="shared" si="146"/>
        <v>5</v>
      </c>
      <c r="AL574">
        <f t="shared" si="154"/>
        <v>7</v>
      </c>
      <c r="AM574" t="str">
        <f t="shared" si="155"/>
        <v>July</v>
      </c>
      <c r="AN574">
        <f t="shared" si="156"/>
        <v>2023</v>
      </c>
      <c r="AO574" t="str">
        <f t="shared" si="157"/>
        <v>&gt;3</v>
      </c>
      <c r="AP574" t="str">
        <f t="shared" si="158"/>
        <v>&gt;3</v>
      </c>
      <c r="AQ574" t="str">
        <f t="shared" si="159"/>
        <v>&gt;3</v>
      </c>
    </row>
    <row r="575" spans="1:43" x14ac:dyDescent="0.3">
      <c r="A575" t="s">
        <v>33</v>
      </c>
      <c r="B575" t="s">
        <v>395</v>
      </c>
      <c r="C575" t="s">
        <v>501</v>
      </c>
      <c r="D575">
        <v>4036</v>
      </c>
      <c r="E575">
        <v>23210586</v>
      </c>
      <c r="F575" t="s">
        <v>392</v>
      </c>
      <c r="G575" t="s">
        <v>393</v>
      </c>
      <c r="H575">
        <v>100</v>
      </c>
      <c r="I575">
        <v>10425</v>
      </c>
      <c r="J575">
        <v>1042500</v>
      </c>
      <c r="K575" s="7" t="str">
        <f>IFERROR(IF(B575&lt;&gt;"", TEXT(VLOOKUP(B575, 'Expected Date'!A:B, 2, FALSE) + DATE(RIGHT(C575,2),MID(C575,4,2),LEFT(C575,2)), "dd/mm/yy"), ""), "")</f>
        <v>25/08/23</v>
      </c>
      <c r="L575" t="s">
        <v>68</v>
      </c>
      <c r="M575" t="s">
        <v>48</v>
      </c>
      <c r="N575" t="s">
        <v>370</v>
      </c>
      <c r="O575" t="s">
        <v>164</v>
      </c>
      <c r="P575">
        <v>23291352</v>
      </c>
      <c r="Q575" t="s">
        <v>392</v>
      </c>
      <c r="R575" t="s">
        <v>393</v>
      </c>
      <c r="S575">
        <v>23.36</v>
      </c>
      <c r="T575">
        <v>10425</v>
      </c>
      <c r="U575">
        <v>243528</v>
      </c>
      <c r="V575" t="str">
        <f t="shared" si="161"/>
        <v>Dahej</v>
      </c>
      <c r="W575" t="str">
        <f>VLOOKUP(B575, Currency!A:B, 2, FALSE)</f>
        <v>INR</v>
      </c>
      <c r="X575" t="str">
        <f t="shared" si="160"/>
        <v>Accepted</v>
      </c>
      <c r="Y575">
        <f>IFERROR(VLOOKUP(N575, Payment_Terms!A:B, 2, FALSE), "Payment term not found!")</f>
        <v>15</v>
      </c>
      <c r="Z575" t="str">
        <f>IFERROR(VLOOKUP(R575, Item_Category!A:B, 2, FALSE), "Uncategorized")</f>
        <v>Coal materials</v>
      </c>
      <c r="AA575" s="5">
        <f t="shared" si="147"/>
        <v>0.22800000000000012</v>
      </c>
      <c r="AB575">
        <f t="shared" si="148"/>
        <v>1</v>
      </c>
      <c r="AC575" s="10">
        <f t="shared" si="149"/>
        <v>14</v>
      </c>
      <c r="AD575">
        <f t="shared" si="150"/>
        <v>1</v>
      </c>
      <c r="AE575" s="10">
        <f t="shared" si="151"/>
        <v>19</v>
      </c>
      <c r="AF575" s="5">
        <f t="shared" si="144"/>
        <v>1</v>
      </c>
      <c r="AG575" s="5">
        <f t="shared" si="145"/>
        <v>1</v>
      </c>
      <c r="AH575" s="5">
        <f t="shared" si="152"/>
        <v>0</v>
      </c>
      <c r="AI575">
        <f>IF(B575&lt;&gt;"", COUNTIFS($B$2:B575, B575), "")</f>
        <v>24</v>
      </c>
      <c r="AJ575">
        <f t="shared" si="153"/>
        <v>5</v>
      </c>
      <c r="AK575">
        <f t="shared" si="146"/>
        <v>3</v>
      </c>
      <c r="AL575">
        <f t="shared" si="154"/>
        <v>8</v>
      </c>
      <c r="AM575" t="str">
        <f t="shared" si="155"/>
        <v>August</v>
      </c>
      <c r="AN575">
        <f t="shared" si="156"/>
        <v>2023</v>
      </c>
      <c r="AO575" t="str">
        <f t="shared" si="157"/>
        <v>&gt;3</v>
      </c>
      <c r="AP575" t="str">
        <f t="shared" si="158"/>
        <v>&lt;=3</v>
      </c>
      <c r="AQ575" t="str">
        <f t="shared" si="159"/>
        <v>&lt;=3</v>
      </c>
    </row>
    <row r="576" spans="1:43" x14ac:dyDescent="0.3">
      <c r="A576" t="s">
        <v>33</v>
      </c>
      <c r="B576" t="s">
        <v>395</v>
      </c>
      <c r="C576" t="s">
        <v>501</v>
      </c>
      <c r="D576">
        <v>4036</v>
      </c>
      <c r="E576">
        <v>23210586</v>
      </c>
      <c r="F576" t="s">
        <v>392</v>
      </c>
      <c r="G576" t="s">
        <v>393</v>
      </c>
      <c r="H576">
        <v>100</v>
      </c>
      <c r="I576">
        <v>10425</v>
      </c>
      <c r="J576">
        <v>1042500</v>
      </c>
      <c r="K576" s="7" t="str">
        <f>IFERROR(IF(B576&lt;&gt;"", TEXT(VLOOKUP(B576, 'Expected Date'!A:B, 2, FALSE) + DATE(RIGHT(C576,2),MID(C576,4,2),LEFT(C576,2)), "dd/mm/yy"), ""), "")</f>
        <v>25/08/23</v>
      </c>
      <c r="L576" t="s">
        <v>68</v>
      </c>
      <c r="M576" t="s">
        <v>48</v>
      </c>
      <c r="N576" t="s">
        <v>370</v>
      </c>
      <c r="O576" t="s">
        <v>226</v>
      </c>
      <c r="P576">
        <v>23291396</v>
      </c>
      <c r="Q576" t="s">
        <v>392</v>
      </c>
      <c r="R576" t="s">
        <v>393</v>
      </c>
      <c r="S576">
        <v>29.93</v>
      </c>
      <c r="T576">
        <v>10425</v>
      </c>
      <c r="U576">
        <v>312020.25</v>
      </c>
      <c r="V576" t="str">
        <f t="shared" si="161"/>
        <v>Dahej</v>
      </c>
      <c r="W576" t="str">
        <f>VLOOKUP(B576, Currency!A:B, 2, FALSE)</f>
        <v>INR</v>
      </c>
      <c r="X576" t="str">
        <f t="shared" si="160"/>
        <v>Accepted</v>
      </c>
      <c r="Y576">
        <f>IFERROR(VLOOKUP(N576, Payment_Terms!A:B, 2, FALSE), "Payment term not found!")</f>
        <v>15</v>
      </c>
      <c r="Z576" t="str">
        <f>IFERROR(VLOOKUP(R576, Item_Category!A:B, 2, FALSE), "Uncategorized")</f>
        <v>Coal materials</v>
      </c>
      <c r="AA576" s="5">
        <f t="shared" si="147"/>
        <v>0.22800000000000012</v>
      </c>
      <c r="AB576">
        <f t="shared" si="148"/>
        <v>1</v>
      </c>
      <c r="AC576" s="10">
        <f t="shared" si="149"/>
        <v>17</v>
      </c>
      <c r="AD576">
        <f t="shared" si="150"/>
        <v>1</v>
      </c>
      <c r="AE576" s="10">
        <f t="shared" si="151"/>
        <v>22</v>
      </c>
      <c r="AF576" s="5">
        <f t="shared" si="144"/>
        <v>1</v>
      </c>
      <c r="AG576" s="5">
        <f t="shared" si="145"/>
        <v>1</v>
      </c>
      <c r="AH576" s="5">
        <f t="shared" si="152"/>
        <v>0</v>
      </c>
      <c r="AI576">
        <f>IF(B576&lt;&gt;"", COUNTIFS($B$2:B576, B576), "")</f>
        <v>25</v>
      </c>
      <c r="AJ576">
        <f t="shared" si="153"/>
        <v>5</v>
      </c>
      <c r="AK576">
        <f t="shared" si="146"/>
        <v>3</v>
      </c>
      <c r="AL576">
        <f t="shared" si="154"/>
        <v>8</v>
      </c>
      <c r="AM576" t="str">
        <f t="shared" si="155"/>
        <v>August</v>
      </c>
      <c r="AN576">
        <f t="shared" si="156"/>
        <v>2023</v>
      </c>
      <c r="AO576" t="str">
        <f t="shared" si="157"/>
        <v>&gt;3</v>
      </c>
      <c r="AP576" t="str">
        <f t="shared" si="158"/>
        <v>&lt;=3</v>
      </c>
      <c r="AQ576" t="str">
        <f t="shared" si="159"/>
        <v>&lt;=3</v>
      </c>
    </row>
    <row r="577" spans="1:43" x14ac:dyDescent="0.3">
      <c r="A577" t="str">
        <f>A574</f>
        <v>Woodpulp</v>
      </c>
      <c r="B577" t="s">
        <v>140</v>
      </c>
      <c r="C577" t="s">
        <v>193</v>
      </c>
      <c r="D577">
        <v>3160</v>
      </c>
      <c r="E577">
        <v>23220049</v>
      </c>
      <c r="F577" t="s">
        <v>359</v>
      </c>
      <c r="G577" t="s">
        <v>360</v>
      </c>
      <c r="H577">
        <v>125</v>
      </c>
      <c r="I577">
        <v>830</v>
      </c>
      <c r="J577">
        <v>8460812.5</v>
      </c>
      <c r="K577" s="7" t="str">
        <f>IFERROR(IF(B577&lt;&gt;"", TEXT(VLOOKUP(B577, 'Expected Date'!A:B, 2, FALSE) + DATE(RIGHT(C577,2),MID(C577,4,2),LEFT(C577,2)), "dd/mm/yy"), ""), "")</f>
        <v>31/08/23</v>
      </c>
      <c r="L577" t="s">
        <v>68</v>
      </c>
      <c r="M577" t="str">
        <f>M355</f>
        <v>MT</v>
      </c>
      <c r="N577" t="s">
        <v>144</v>
      </c>
      <c r="O577" t="s">
        <v>246</v>
      </c>
      <c r="P577">
        <v>23291401</v>
      </c>
      <c r="Q577" t="s">
        <v>359</v>
      </c>
      <c r="R577" t="s">
        <v>360</v>
      </c>
      <c r="S577">
        <v>120.03100000000001</v>
      </c>
      <c r="T577">
        <v>830</v>
      </c>
      <c r="U577">
        <v>8189235.0099999998</v>
      </c>
      <c r="V577" t="str">
        <f t="shared" si="161"/>
        <v>Dahej</v>
      </c>
      <c r="W577" t="str">
        <f>VLOOKUP(B577, Currency!A:B, 2, FALSE)</f>
        <v>USD</v>
      </c>
      <c r="X577" t="str">
        <f t="shared" si="160"/>
        <v>Accepted</v>
      </c>
      <c r="Y577">
        <f>IFERROR(VLOOKUP(N577, Payment_Terms!A:B, 2, FALSE), "Payment term not found!")</f>
        <v>30</v>
      </c>
      <c r="Z577" t="str">
        <f>IFERROR(VLOOKUP(R577, Item_Category!A:B, 2, FALSE), "Uncategorized")</f>
        <v>Wood pulp</v>
      </c>
      <c r="AA577" s="5">
        <f t="shared" si="147"/>
        <v>3.9751999999999954E-2</v>
      </c>
      <c r="AB577">
        <f t="shared" si="148"/>
        <v>3</v>
      </c>
      <c r="AC577" s="10">
        <f t="shared" si="149"/>
        <v>12</v>
      </c>
      <c r="AD577">
        <f t="shared" si="150"/>
        <v>1</v>
      </c>
      <c r="AE577" s="10">
        <f t="shared" si="151"/>
        <v>57</v>
      </c>
      <c r="AF577" s="5">
        <f t="shared" si="144"/>
        <v>1</v>
      </c>
      <c r="AG577" s="5">
        <f t="shared" si="145"/>
        <v>1</v>
      </c>
      <c r="AH577" s="5">
        <f t="shared" si="152"/>
        <v>0</v>
      </c>
      <c r="AI577">
        <f>IF(B577&lt;&gt;"", COUNTIFS($B$2:B577, B577), "")</f>
        <v>31</v>
      </c>
      <c r="AJ577">
        <f t="shared" si="153"/>
        <v>5</v>
      </c>
      <c r="AK577">
        <f t="shared" si="146"/>
        <v>4</v>
      </c>
      <c r="AL577">
        <f t="shared" si="154"/>
        <v>7</v>
      </c>
      <c r="AM577" t="str">
        <f t="shared" si="155"/>
        <v>July</v>
      </c>
      <c r="AN577">
        <f t="shared" si="156"/>
        <v>2023</v>
      </c>
      <c r="AO577" t="str">
        <f t="shared" si="157"/>
        <v>&gt;3</v>
      </c>
      <c r="AP577" t="str">
        <f t="shared" si="158"/>
        <v>&lt;=3</v>
      </c>
      <c r="AQ577" t="str">
        <f t="shared" si="159"/>
        <v>&lt;=3</v>
      </c>
    </row>
    <row r="578" spans="1:43" x14ac:dyDescent="0.3">
      <c r="A578" t="s">
        <v>33</v>
      </c>
      <c r="B578" t="s">
        <v>395</v>
      </c>
      <c r="C578" t="s">
        <v>88</v>
      </c>
      <c r="D578">
        <v>2928</v>
      </c>
      <c r="E578">
        <v>23210383</v>
      </c>
      <c r="F578" t="s">
        <v>392</v>
      </c>
      <c r="G578" t="s">
        <v>393</v>
      </c>
      <c r="H578">
        <v>200</v>
      </c>
      <c r="I578">
        <v>10700</v>
      </c>
      <c r="J578">
        <v>2140000</v>
      </c>
      <c r="K578" s="7" t="str">
        <f>IFERROR(IF(B578&lt;&gt;"", TEXT(VLOOKUP(B578, 'Expected Date'!A:B, 2, FALSE) + DATE(RIGHT(C578,2),MID(C578,4,2),LEFT(C578,2)), "dd/mm/yy"), ""), "")</f>
        <v>09/07/23</v>
      </c>
      <c r="L578" t="s">
        <v>68</v>
      </c>
      <c r="M578" t="s">
        <v>48</v>
      </c>
      <c r="N578" t="s">
        <v>370</v>
      </c>
      <c r="O578" t="s">
        <v>391</v>
      </c>
      <c r="P578">
        <v>23290786</v>
      </c>
      <c r="Q578" t="s">
        <v>392</v>
      </c>
      <c r="R578" t="s">
        <v>393</v>
      </c>
      <c r="S578">
        <v>30.5</v>
      </c>
      <c r="T578">
        <v>10700</v>
      </c>
      <c r="U578">
        <v>326350</v>
      </c>
      <c r="V578" t="str">
        <f t="shared" si="161"/>
        <v>Dahej</v>
      </c>
      <c r="W578" t="str">
        <f>VLOOKUP(B578, Currency!A:B, 2, FALSE)</f>
        <v>INR</v>
      </c>
      <c r="X578" t="str">
        <f t="shared" si="160"/>
        <v>Accepted</v>
      </c>
      <c r="Y578">
        <f>IFERROR(VLOOKUP(N578, Payment_Terms!A:B, 2, FALSE), "Payment term not found!")</f>
        <v>15</v>
      </c>
      <c r="Z578" t="str">
        <f>IFERROR(VLOOKUP(R578, Item_Category!A:B, 2, FALSE), "Uncategorized")</f>
        <v>Coal materials</v>
      </c>
      <c r="AA578" s="5">
        <f t="shared" si="147"/>
        <v>5.1500000000000053E-3</v>
      </c>
      <c r="AB578">
        <f t="shared" si="148"/>
        <v>4</v>
      </c>
      <c r="AC578" s="10">
        <f t="shared" si="149"/>
        <v>5</v>
      </c>
      <c r="AD578">
        <f t="shared" si="150"/>
        <v>3</v>
      </c>
      <c r="AE578" s="10">
        <f t="shared" si="151"/>
        <v>10</v>
      </c>
      <c r="AF578" s="5">
        <f t="shared" ref="AF578:AF641" si="162">IF(X578="Accepted",1,0)</f>
        <v>1</v>
      </c>
      <c r="AG578" s="5">
        <f t="shared" ref="AG578:AG641" si="163">ROUNDUP((SUMIFS(S:S, B:B, B578, X:X, "Accepted")/SUMIF(B:B,B578,S:S)),2)</f>
        <v>1</v>
      </c>
      <c r="AH578" s="5">
        <f t="shared" si="152"/>
        <v>0</v>
      </c>
      <c r="AI578">
        <f>IF(B578&lt;&gt;"", COUNTIFS($B$2:B578, B578), "")</f>
        <v>26</v>
      </c>
      <c r="AJ578">
        <f t="shared" si="153"/>
        <v>5</v>
      </c>
      <c r="AK578">
        <f t="shared" ref="AK578:AK641" si="164">_xlfn.CEILING.MATH(((0.4*AJ578)+(0.3*AD578)+(0.3*AB578)),1)</f>
        <v>5</v>
      </c>
      <c r="AL578">
        <f t="shared" si="154"/>
        <v>7</v>
      </c>
      <c r="AM578" t="str">
        <f t="shared" si="155"/>
        <v>July</v>
      </c>
      <c r="AN578">
        <f t="shared" si="156"/>
        <v>2023</v>
      </c>
      <c r="AO578" t="str">
        <f t="shared" si="157"/>
        <v>&gt;3</v>
      </c>
      <c r="AP578" t="str">
        <f t="shared" si="158"/>
        <v>&gt;3</v>
      </c>
      <c r="AQ578" t="str">
        <f t="shared" si="159"/>
        <v>&lt;=3</v>
      </c>
    </row>
    <row r="579" spans="1:43" x14ac:dyDescent="0.3">
      <c r="A579" t="s">
        <v>33</v>
      </c>
      <c r="B579" t="s">
        <v>395</v>
      </c>
      <c r="C579" t="s">
        <v>120</v>
      </c>
      <c r="D579">
        <v>3445</v>
      </c>
      <c r="E579">
        <v>23210471</v>
      </c>
      <c r="F579" t="s">
        <v>392</v>
      </c>
      <c r="G579" t="s">
        <v>393</v>
      </c>
      <c r="H579">
        <v>200</v>
      </c>
      <c r="I579">
        <v>10500</v>
      </c>
      <c r="J579">
        <v>2100000</v>
      </c>
      <c r="K579" s="7" t="str">
        <f>IFERROR(IF(B579&lt;&gt;"", TEXT(VLOOKUP(B579, 'Expected Date'!A:B, 2, FALSE) + DATE(RIGHT(C579,2),MID(C579,4,2),LEFT(C579,2)), "dd/mm/yy"), ""), "")</f>
        <v>25/07/23</v>
      </c>
      <c r="L579" t="s">
        <v>68</v>
      </c>
      <c r="M579" t="s">
        <v>48</v>
      </c>
      <c r="N579" t="s">
        <v>370</v>
      </c>
      <c r="O579" t="s">
        <v>74</v>
      </c>
      <c r="P579">
        <v>23291093</v>
      </c>
      <c r="Q579" t="s">
        <v>392</v>
      </c>
      <c r="R579" t="s">
        <v>393</v>
      </c>
      <c r="S579">
        <v>29.27</v>
      </c>
      <c r="T579">
        <v>10500</v>
      </c>
      <c r="U579">
        <v>307335</v>
      </c>
      <c r="V579" t="str">
        <f t="shared" si="161"/>
        <v>Dahej</v>
      </c>
      <c r="W579" t="str">
        <f>VLOOKUP(B579, Currency!A:B, 2, FALSE)</f>
        <v>INR</v>
      </c>
      <c r="X579" t="str">
        <f t="shared" si="160"/>
        <v>Accepted</v>
      </c>
      <c r="Y579">
        <f>IFERROR(VLOOKUP(N579, Payment_Terms!A:B, 2, FALSE), "Payment term not found!")</f>
        <v>15</v>
      </c>
      <c r="Z579" t="str">
        <f>IFERROR(VLOOKUP(R579, Item_Category!A:B, 2, FALSE), "Uncategorized")</f>
        <v>Coal materials</v>
      </c>
      <c r="AA579" s="5">
        <f t="shared" ref="AA579:AA642" si="165">IFERROR(IF(AND(E579&lt;&gt;"", G579&lt;&gt;""), MAX(0, (H579-SUMIFS(S:S, E:E, E579, G:G, G579))/H579), ""), (H579-S579)/H579)</f>
        <v>4.2950000000000016E-2</v>
      </c>
      <c r="AB579">
        <f t="shared" ref="AB579:AB642" si="166">IF(AA579&lt;=0%,5,(IF(AND(AA579&gt;0%,AA579&lt;=2%),4,IF(AND(AA579&gt;2%,AA579&lt;=5%),3,IF(AND(AA579&gt;5%,AA579&lt;10%),2,1)))))</f>
        <v>3</v>
      </c>
      <c r="AC579" s="10">
        <f t="shared" ref="AC579:AC642" si="167">DATE(RIGHT(O579,2),MID(O579,4,2),LEFT(O579,2)) - DATE(RIGHT(K579,2),MID(K579,4,2),LEFT(K579,2))</f>
        <v>17</v>
      </c>
      <c r="AD579">
        <f t="shared" ref="AD579:AD642" si="168">IF(AC579 &lt;= 2, 5, IF(AC579 &lt;= 4, 4, IF(AC579 &lt;= 7, 3, IF(AC579&lt;=10,2,1))))</f>
        <v>1</v>
      </c>
      <c r="AE579" s="10">
        <f t="shared" ref="AE579:AE642" si="169">ABS(DATE(RIGHT(O579,2),MID(O579,4,2),LEFT(O579,2)) - DATE(RIGHT(C579,2),MID(C579,4,2),LEFT(C579,2)))</f>
        <v>22</v>
      </c>
      <c r="AF579" s="5">
        <f t="shared" si="162"/>
        <v>1</v>
      </c>
      <c r="AG579" s="5">
        <f t="shared" si="163"/>
        <v>1</v>
      </c>
      <c r="AH579" s="5">
        <f t="shared" ref="AH579:AH642" si="170">ROUNDUP(ABS(100%-AG579),2)</f>
        <v>0</v>
      </c>
      <c r="AI579">
        <f>IF(B579&lt;&gt;"", COUNTIFS($B$2:B579, B579), "")</f>
        <v>27</v>
      </c>
      <c r="AJ579">
        <f t="shared" ref="AJ579:AJ642" si="171">IF(AH579=0%,5,IF(AND(AH579&gt;0%,AH579&lt;=2%),4,IF(AND(AH579&gt;2%,AH579&lt;=5%),3,IF(AND(AH579&gt;5%,AH579&lt;10%),2,1))))</f>
        <v>5</v>
      </c>
      <c r="AK579">
        <f t="shared" si="164"/>
        <v>4</v>
      </c>
      <c r="AL579">
        <f t="shared" ref="AL579:AL642" si="172">MONTH(DATE(RIGHT(C579,2),MID(C579,4,2),LEFT(C579,2)))</f>
        <v>7</v>
      </c>
      <c r="AM579" t="str">
        <f t="shared" ref="AM579:AM642" si="173">TEXT(DATE(RIGHT(C579,2),MID(C579,4,2),LEFT(C579,2)),"mmmm")</f>
        <v>July</v>
      </c>
      <c r="AN579">
        <f t="shared" ref="AN579:AN642" si="174">YEAR(DATE(VALUE(MID(C579,7,2))+2000, MID(C579,4,2), MID(C579,1,2)))</f>
        <v>2023</v>
      </c>
      <c r="AO579" t="str">
        <f t="shared" ref="AO579:AO642" si="175">IF(AJ579&lt;=3,"&lt;=3","&gt;3")</f>
        <v>&gt;3</v>
      </c>
      <c r="AP579" t="str">
        <f t="shared" ref="AP579:AP642" si="176">IF(AB579&lt;=3,"&lt;=3","&gt;3")</f>
        <v>&lt;=3</v>
      </c>
      <c r="AQ579" t="str">
        <f t="shared" ref="AQ579:AQ642" si="177">IF(AD579&lt;=3,"&lt;=3","&gt;3")</f>
        <v>&lt;=3</v>
      </c>
    </row>
    <row r="580" spans="1:43" x14ac:dyDescent="0.3">
      <c r="A580" t="str">
        <f>A304</f>
        <v>Woodpulp</v>
      </c>
      <c r="B580" t="s">
        <v>96</v>
      </c>
      <c r="C580" t="s">
        <v>97</v>
      </c>
      <c r="D580">
        <v>1244</v>
      </c>
      <c r="E580">
        <v>23220008</v>
      </c>
      <c r="F580" t="s">
        <v>389</v>
      </c>
      <c r="G580" t="s">
        <v>390</v>
      </c>
      <c r="H580">
        <v>75</v>
      </c>
      <c r="I580">
        <v>1025</v>
      </c>
      <c r="J580">
        <v>6234562.5</v>
      </c>
      <c r="K580" s="7" t="str">
        <f>IFERROR(IF(B580&lt;&gt;"", TEXT(VLOOKUP(B580, 'Expected Date'!A:B, 2, FALSE) + DATE(RIGHT(C580,2),MID(C580,4,2),LEFT(C580,2)), "dd/mm/yy"), ""), "")</f>
        <v>10/06/23</v>
      </c>
      <c r="L580" t="s">
        <v>68</v>
      </c>
      <c r="M580" t="str">
        <f>M355</f>
        <v>MT</v>
      </c>
      <c r="N580" t="s">
        <v>102</v>
      </c>
      <c r="O580" t="s">
        <v>496</v>
      </c>
      <c r="P580">
        <v>23291304</v>
      </c>
      <c r="Q580" t="s">
        <v>389</v>
      </c>
      <c r="R580" t="s">
        <v>390</v>
      </c>
      <c r="S580">
        <v>72.891000000000005</v>
      </c>
      <c r="T580">
        <v>1025</v>
      </c>
      <c r="U580">
        <v>6141431.6200000001</v>
      </c>
      <c r="V580" t="str">
        <f t="shared" si="161"/>
        <v>Dahej</v>
      </c>
      <c r="W580" t="str">
        <f>VLOOKUP(B580, Currency!A:B, 2, FALSE)</f>
        <v>USD</v>
      </c>
      <c r="X580" t="str">
        <f t="shared" si="160"/>
        <v>Accepted</v>
      </c>
      <c r="Y580">
        <f>IFERROR(VLOOKUP(N580, Payment_Terms!A:B, 2, FALSE), "Payment term not found!")</f>
        <v>60</v>
      </c>
      <c r="Z580" t="str">
        <f>IFERROR(VLOOKUP(R580, Item_Category!A:B, 2, FALSE), "Uncategorized")</f>
        <v>Wood pulp</v>
      </c>
      <c r="AA580" s="5">
        <f t="shared" si="165"/>
        <v>2.811999999999993E-2</v>
      </c>
      <c r="AB580">
        <f t="shared" si="166"/>
        <v>3</v>
      </c>
      <c r="AC580" s="10">
        <f t="shared" si="167"/>
        <v>84</v>
      </c>
      <c r="AD580">
        <f t="shared" si="168"/>
        <v>1</v>
      </c>
      <c r="AE580" s="10">
        <f t="shared" si="169"/>
        <v>144</v>
      </c>
      <c r="AF580" s="5">
        <f t="shared" si="162"/>
        <v>1</v>
      </c>
      <c r="AG580" s="5">
        <f t="shared" si="163"/>
        <v>1</v>
      </c>
      <c r="AH580" s="5">
        <f t="shared" si="170"/>
        <v>0</v>
      </c>
      <c r="AI580">
        <f>IF(B580&lt;&gt;"", COUNTIFS($B$2:B580, B580), "")</f>
        <v>14</v>
      </c>
      <c r="AJ580">
        <f t="shared" si="171"/>
        <v>5</v>
      </c>
      <c r="AK580">
        <f t="shared" si="164"/>
        <v>4</v>
      </c>
      <c r="AL580">
        <f t="shared" si="172"/>
        <v>4</v>
      </c>
      <c r="AM580" t="str">
        <f t="shared" si="173"/>
        <v>April</v>
      </c>
      <c r="AN580">
        <f t="shared" si="174"/>
        <v>2023</v>
      </c>
      <c r="AO580" t="str">
        <f t="shared" si="175"/>
        <v>&gt;3</v>
      </c>
      <c r="AP580" t="str">
        <f t="shared" si="176"/>
        <v>&lt;=3</v>
      </c>
      <c r="AQ580" t="str">
        <f t="shared" si="177"/>
        <v>&lt;=3</v>
      </c>
    </row>
    <row r="581" spans="1:43" x14ac:dyDescent="0.3">
      <c r="A581" t="s">
        <v>33</v>
      </c>
      <c r="B581" t="s">
        <v>366</v>
      </c>
      <c r="C581" t="s">
        <v>246</v>
      </c>
      <c r="D581">
        <v>4322</v>
      </c>
      <c r="E581">
        <v>23210653</v>
      </c>
      <c r="F581" t="s">
        <v>392</v>
      </c>
      <c r="G581" t="s">
        <v>393</v>
      </c>
      <c r="H581">
        <v>100</v>
      </c>
      <c r="I581">
        <v>11100</v>
      </c>
      <c r="J581">
        <v>1110000</v>
      </c>
      <c r="K581" s="7" t="str">
        <f>IFERROR(IF(B581&lt;&gt;"", TEXT(VLOOKUP(B581, 'Expected Date'!A:B, 2, FALSE) + DATE(RIGHT(C581,2),MID(C581,4,2),LEFT(C581,2)), "dd/mm/yy"), ""), "")</f>
        <v>14/09/23</v>
      </c>
      <c r="L581" t="s">
        <v>38</v>
      </c>
      <c r="M581" t="s">
        <v>48</v>
      </c>
      <c r="N581" t="s">
        <v>370</v>
      </c>
      <c r="O581" t="s">
        <v>154</v>
      </c>
      <c r="P581">
        <v>23291492</v>
      </c>
      <c r="Q581" t="s">
        <v>392</v>
      </c>
      <c r="R581" t="s">
        <v>393</v>
      </c>
      <c r="S581">
        <v>29.19</v>
      </c>
      <c r="T581">
        <v>11100</v>
      </c>
      <c r="U581">
        <v>324009</v>
      </c>
      <c r="V581" t="str">
        <f t="shared" si="161"/>
        <v>Dahej</v>
      </c>
      <c r="W581" t="str">
        <f>VLOOKUP(B581, Currency!A:B, 2, FALSE)</f>
        <v>INR</v>
      </c>
      <c r="X581" t="str">
        <f t="shared" si="160"/>
        <v>Accepted</v>
      </c>
      <c r="Y581">
        <f>IFERROR(VLOOKUP(N581, Payment_Terms!A:B, 2, FALSE), "Payment term not found!")</f>
        <v>15</v>
      </c>
      <c r="Z581" t="str">
        <f>IFERROR(VLOOKUP(R581, Item_Category!A:B, 2, FALSE), "Uncategorized")</f>
        <v>Coal materials</v>
      </c>
      <c r="AA581" s="5">
        <f t="shared" si="165"/>
        <v>0</v>
      </c>
      <c r="AB581">
        <f t="shared" si="166"/>
        <v>5</v>
      </c>
      <c r="AC581" s="10">
        <f t="shared" si="167"/>
        <v>6</v>
      </c>
      <c r="AD581">
        <f t="shared" si="168"/>
        <v>3</v>
      </c>
      <c r="AE581" s="10">
        <f t="shared" si="169"/>
        <v>8</v>
      </c>
      <c r="AF581" s="5">
        <f t="shared" si="162"/>
        <v>1</v>
      </c>
      <c r="AG581" s="5">
        <f t="shared" si="163"/>
        <v>1</v>
      </c>
      <c r="AH581" s="5">
        <f t="shared" si="170"/>
        <v>0</v>
      </c>
      <c r="AI581">
        <f>IF(B581&lt;&gt;"", COUNTIFS($B$2:B581, B581), "")</f>
        <v>59</v>
      </c>
      <c r="AJ581">
        <f t="shared" si="171"/>
        <v>5</v>
      </c>
      <c r="AK581">
        <f t="shared" si="164"/>
        <v>5</v>
      </c>
      <c r="AL581">
        <f t="shared" si="172"/>
        <v>9</v>
      </c>
      <c r="AM581" t="str">
        <f t="shared" si="173"/>
        <v>September</v>
      </c>
      <c r="AN581">
        <f t="shared" si="174"/>
        <v>2023</v>
      </c>
      <c r="AO581" t="str">
        <f t="shared" si="175"/>
        <v>&gt;3</v>
      </c>
      <c r="AP581" t="str">
        <f t="shared" si="176"/>
        <v>&gt;3</v>
      </c>
      <c r="AQ581" t="str">
        <f t="shared" si="177"/>
        <v>&lt;=3</v>
      </c>
    </row>
    <row r="582" spans="1:43" x14ac:dyDescent="0.3">
      <c r="A582" t="s">
        <v>111</v>
      </c>
      <c r="B582" t="s">
        <v>296</v>
      </c>
      <c r="C582" t="s">
        <v>41</v>
      </c>
      <c r="D582">
        <v>1620</v>
      </c>
      <c r="E582">
        <v>23220013</v>
      </c>
      <c r="F582" t="s">
        <v>375</v>
      </c>
      <c r="G582" t="s">
        <v>311</v>
      </c>
      <c r="H582">
        <v>6000</v>
      </c>
      <c r="I582">
        <v>413</v>
      </c>
      <c r="J582">
        <v>2478000</v>
      </c>
      <c r="K582" s="7" t="str">
        <f>IFERROR(IF(B582&lt;&gt;"", TEXT(VLOOKUP(B582, 'Expected Date'!A:B, 2, FALSE) + DATE(RIGHT(C582,2),MID(C582,4,2),LEFT(C582,2)), "dd/mm/yy"), ""), "")</f>
        <v>14/05/23</v>
      </c>
      <c r="L582" t="s">
        <v>68</v>
      </c>
      <c r="M582" t="s">
        <v>48</v>
      </c>
      <c r="N582" t="s">
        <v>541</v>
      </c>
      <c r="O582" t="s">
        <v>254</v>
      </c>
      <c r="P582">
        <v>23291744</v>
      </c>
      <c r="Q582" t="s">
        <v>375</v>
      </c>
      <c r="R582" t="s">
        <v>311</v>
      </c>
      <c r="S582">
        <v>2000</v>
      </c>
      <c r="T582">
        <v>413</v>
      </c>
      <c r="U582">
        <v>826000</v>
      </c>
      <c r="V582" t="str">
        <f t="shared" si="161"/>
        <v>Dahej</v>
      </c>
      <c r="W582" t="str">
        <f>VLOOKUP(B582, Currency!A:B, 2, FALSE)</f>
        <v>INR</v>
      </c>
      <c r="X582" t="str">
        <f t="shared" si="160"/>
        <v>Accepted</v>
      </c>
      <c r="Y582">
        <f>IFERROR(VLOOKUP(N582, Payment_Terms!A:B, 2, FALSE), "Payment term not found!")</f>
        <v>60</v>
      </c>
      <c r="Z582" t="str">
        <f>IFERROR(VLOOKUP(R582, Item_Category!A:B, 2, FALSE), "Uncategorized")</f>
        <v>CROSSCARMELLOSE SODIUM</v>
      </c>
      <c r="AA582" s="5">
        <f t="shared" si="165"/>
        <v>0.33333333333333331</v>
      </c>
      <c r="AB582">
        <f t="shared" si="166"/>
        <v>1</v>
      </c>
      <c r="AC582" s="10">
        <f t="shared" si="167"/>
        <v>153</v>
      </c>
      <c r="AD582">
        <f t="shared" si="168"/>
        <v>1</v>
      </c>
      <c r="AE582" s="10">
        <f t="shared" si="169"/>
        <v>168</v>
      </c>
      <c r="AF582" s="5">
        <f t="shared" si="162"/>
        <v>1</v>
      </c>
      <c r="AG582" s="5">
        <f t="shared" si="163"/>
        <v>1</v>
      </c>
      <c r="AH582" s="5">
        <f t="shared" si="170"/>
        <v>0</v>
      </c>
      <c r="AI582">
        <f>IF(B582&lt;&gt;"", COUNTIFS($B$2:B582, B582), "")</f>
        <v>12</v>
      </c>
      <c r="AJ582">
        <f t="shared" si="171"/>
        <v>5</v>
      </c>
      <c r="AK582">
        <f t="shared" si="164"/>
        <v>3</v>
      </c>
      <c r="AL582">
        <f t="shared" si="172"/>
        <v>4</v>
      </c>
      <c r="AM582" t="str">
        <f t="shared" si="173"/>
        <v>April</v>
      </c>
      <c r="AN582">
        <f t="shared" si="174"/>
        <v>2023</v>
      </c>
      <c r="AO582" t="str">
        <f t="shared" si="175"/>
        <v>&gt;3</v>
      </c>
      <c r="AP582" t="str">
        <f t="shared" si="176"/>
        <v>&lt;=3</v>
      </c>
      <c r="AQ582" t="str">
        <f t="shared" si="177"/>
        <v>&lt;=3</v>
      </c>
    </row>
    <row r="583" spans="1:43" x14ac:dyDescent="0.3">
      <c r="A583" t="s">
        <v>33</v>
      </c>
      <c r="B583" t="s">
        <v>366</v>
      </c>
      <c r="C583" t="s">
        <v>540</v>
      </c>
      <c r="D583">
        <v>4056</v>
      </c>
      <c r="E583">
        <v>23210591</v>
      </c>
      <c r="F583" t="s">
        <v>392</v>
      </c>
      <c r="G583" t="s">
        <v>393</v>
      </c>
      <c r="H583">
        <v>100</v>
      </c>
      <c r="I583">
        <v>9850</v>
      </c>
      <c r="J583">
        <v>985000</v>
      </c>
      <c r="K583" s="7" t="str">
        <f>IFERROR(IF(B583&lt;&gt;"", TEXT(VLOOKUP(B583, 'Expected Date'!A:B, 2, FALSE) + DATE(RIGHT(C583,2),MID(C583,4,2),LEFT(C583,2)), "dd/mm/yy"), ""), "")</f>
        <v>29/08/23</v>
      </c>
      <c r="L583" t="s">
        <v>38</v>
      </c>
      <c r="M583" t="s">
        <v>48</v>
      </c>
      <c r="N583" t="s">
        <v>370</v>
      </c>
      <c r="O583" t="s">
        <v>286</v>
      </c>
      <c r="P583">
        <v>23291280</v>
      </c>
      <c r="Q583" t="s">
        <v>392</v>
      </c>
      <c r="R583" t="s">
        <v>393</v>
      </c>
      <c r="S583">
        <v>29.19</v>
      </c>
      <c r="T583">
        <v>9850</v>
      </c>
      <c r="U583">
        <v>287521.5</v>
      </c>
      <c r="V583" t="str">
        <f t="shared" si="161"/>
        <v>Dahej</v>
      </c>
      <c r="W583" t="str">
        <f>VLOOKUP(B583, Currency!A:B, 2, FALSE)</f>
        <v>INR</v>
      </c>
      <c r="X583" t="str">
        <f t="shared" si="160"/>
        <v>Accepted</v>
      </c>
      <c r="Y583">
        <f>IFERROR(VLOOKUP(N583, Payment_Terms!A:B, 2, FALSE), "Payment term not found!")</f>
        <v>15</v>
      </c>
      <c r="Z583" t="str">
        <f>IFERROR(VLOOKUP(R583, Item_Category!A:B, 2, FALSE), "Uncategorized")</f>
        <v>Coal materials</v>
      </c>
      <c r="AA583" s="5">
        <f t="shared" si="165"/>
        <v>0</v>
      </c>
      <c r="AB583">
        <f t="shared" si="166"/>
        <v>5</v>
      </c>
      <c r="AC583" s="10">
        <f t="shared" si="167"/>
        <v>2</v>
      </c>
      <c r="AD583">
        <f t="shared" si="168"/>
        <v>5</v>
      </c>
      <c r="AE583" s="10">
        <f t="shared" si="169"/>
        <v>4</v>
      </c>
      <c r="AF583" s="5">
        <f t="shared" si="162"/>
        <v>1</v>
      </c>
      <c r="AG583" s="5">
        <f t="shared" si="163"/>
        <v>1</v>
      </c>
      <c r="AH583" s="5">
        <f t="shared" si="170"/>
        <v>0</v>
      </c>
      <c r="AI583">
        <f>IF(B583&lt;&gt;"", COUNTIFS($B$2:B583, B583), "")</f>
        <v>60</v>
      </c>
      <c r="AJ583">
        <f t="shared" si="171"/>
        <v>5</v>
      </c>
      <c r="AK583">
        <f t="shared" si="164"/>
        <v>5</v>
      </c>
      <c r="AL583">
        <f t="shared" si="172"/>
        <v>8</v>
      </c>
      <c r="AM583" t="str">
        <f t="shared" si="173"/>
        <v>August</v>
      </c>
      <c r="AN583">
        <f t="shared" si="174"/>
        <v>2023</v>
      </c>
      <c r="AO583" t="str">
        <f t="shared" si="175"/>
        <v>&gt;3</v>
      </c>
      <c r="AP583" t="str">
        <f t="shared" si="176"/>
        <v>&gt;3</v>
      </c>
      <c r="AQ583" t="str">
        <f t="shared" si="177"/>
        <v>&gt;3</v>
      </c>
    </row>
    <row r="584" spans="1:43" x14ac:dyDescent="0.3">
      <c r="A584" t="str">
        <f>A304</f>
        <v>Woodpulp</v>
      </c>
      <c r="B584" t="s">
        <v>96</v>
      </c>
      <c r="C584" t="s">
        <v>71</v>
      </c>
      <c r="D584">
        <v>2701</v>
      </c>
      <c r="E584">
        <v>23220028</v>
      </c>
      <c r="F584" t="s">
        <v>443</v>
      </c>
      <c r="G584" t="s">
        <v>99</v>
      </c>
      <c r="H584">
        <v>52</v>
      </c>
      <c r="I584">
        <v>670</v>
      </c>
      <c r="J584">
        <v>2846428</v>
      </c>
      <c r="K584" s="7" t="str">
        <f>IFERROR(IF(B584&lt;&gt;"", TEXT(VLOOKUP(B584, 'Expected Date'!A:B, 2, FALSE) + DATE(RIGHT(C584,2),MID(C584,4,2),LEFT(C584,2)), "dd/mm/yy"), ""), "")</f>
        <v>21/08/23</v>
      </c>
      <c r="L584" t="s">
        <v>68</v>
      </c>
      <c r="M584" t="str">
        <f>M355</f>
        <v>MT</v>
      </c>
      <c r="N584" t="s">
        <v>102</v>
      </c>
      <c r="O584" t="s">
        <v>544</v>
      </c>
      <c r="P584">
        <v>23291832</v>
      </c>
      <c r="Q584" t="s">
        <v>443</v>
      </c>
      <c r="R584" t="s">
        <v>99</v>
      </c>
      <c r="S584">
        <v>51.406999999999996</v>
      </c>
      <c r="T584">
        <v>670</v>
      </c>
      <c r="U584">
        <v>2838077.66</v>
      </c>
      <c r="V584" t="str">
        <f t="shared" si="161"/>
        <v>Dahej</v>
      </c>
      <c r="W584" t="str">
        <f>VLOOKUP(B584, Currency!A:B, 2, FALSE)</f>
        <v>USD</v>
      </c>
      <c r="X584" t="str">
        <f t="shared" si="160"/>
        <v>Accepted</v>
      </c>
      <c r="Y584">
        <f>IFERROR(VLOOKUP(N584, Payment_Terms!A:B, 2, FALSE), "Payment term not found!")</f>
        <v>60</v>
      </c>
      <c r="Z584" t="str">
        <f>IFERROR(VLOOKUP(R584, Item_Category!A:B, 2, FALSE), "Uncategorized")</f>
        <v>Wood pulp</v>
      </c>
      <c r="AA584" s="5">
        <f t="shared" si="165"/>
        <v>1.1403846153846221E-2</v>
      </c>
      <c r="AB584">
        <f t="shared" si="166"/>
        <v>4</v>
      </c>
      <c r="AC584" s="10">
        <f t="shared" si="167"/>
        <v>60</v>
      </c>
      <c r="AD584">
        <f t="shared" si="168"/>
        <v>1</v>
      </c>
      <c r="AE584" s="10">
        <f t="shared" si="169"/>
        <v>120</v>
      </c>
      <c r="AF584" s="5">
        <f t="shared" si="162"/>
        <v>1</v>
      </c>
      <c r="AG584" s="5">
        <f t="shared" si="163"/>
        <v>1</v>
      </c>
      <c r="AH584" s="5">
        <f t="shared" si="170"/>
        <v>0</v>
      </c>
      <c r="AI584">
        <f>IF(B584&lt;&gt;"", COUNTIFS($B$2:B584, B584), "")</f>
        <v>15</v>
      </c>
      <c r="AJ584">
        <f t="shared" si="171"/>
        <v>5</v>
      </c>
      <c r="AK584">
        <f t="shared" si="164"/>
        <v>4</v>
      </c>
      <c r="AL584">
        <f t="shared" si="172"/>
        <v>6</v>
      </c>
      <c r="AM584" t="str">
        <f t="shared" si="173"/>
        <v>June</v>
      </c>
      <c r="AN584">
        <f t="shared" si="174"/>
        <v>2023</v>
      </c>
      <c r="AO584" t="str">
        <f t="shared" si="175"/>
        <v>&gt;3</v>
      </c>
      <c r="AP584" t="str">
        <f t="shared" si="176"/>
        <v>&gt;3</v>
      </c>
      <c r="AQ584" t="str">
        <f t="shared" si="177"/>
        <v>&lt;=3</v>
      </c>
    </row>
    <row r="585" spans="1:43" x14ac:dyDescent="0.3">
      <c r="A585" t="s">
        <v>33</v>
      </c>
      <c r="B585" t="str">
        <f>B284</f>
        <v>Ami Enterprises</v>
      </c>
      <c r="C585" t="s">
        <v>182</v>
      </c>
      <c r="D585">
        <v>2978</v>
      </c>
      <c r="E585">
        <v>23210397</v>
      </c>
      <c r="F585" t="s">
        <v>460</v>
      </c>
      <c r="G585" t="s">
        <v>461</v>
      </c>
      <c r="H585">
        <v>7000</v>
      </c>
      <c r="I585">
        <v>35</v>
      </c>
      <c r="J585">
        <v>245000</v>
      </c>
      <c r="K585" s="7" t="str">
        <f>IFERROR(IF(B585&lt;&gt;"", TEXT(VLOOKUP(B585, 'Expected Date'!A:B, 2, FALSE) + DATE(RIGHT(C585,2),MID(C585,4,2),LEFT(C585,2)), "dd/mm/yy"), ""), "")</f>
        <v>23/06/23</v>
      </c>
      <c r="L585" t="s">
        <v>38</v>
      </c>
      <c r="M585" t="s">
        <v>39</v>
      </c>
      <c r="N585" t="s">
        <v>318</v>
      </c>
      <c r="O585" t="s">
        <v>328</v>
      </c>
      <c r="P585">
        <v>23290782</v>
      </c>
      <c r="Q585" t="s">
        <v>460</v>
      </c>
      <c r="R585" t="s">
        <v>461</v>
      </c>
      <c r="S585">
        <v>7000</v>
      </c>
      <c r="T585">
        <v>35</v>
      </c>
      <c r="U585">
        <v>245000</v>
      </c>
      <c r="V585" t="str">
        <f t="shared" si="161"/>
        <v>Dahej</v>
      </c>
      <c r="W585" t="str">
        <f>VLOOKUP(B585, Currency!A:B, 2, FALSE)</f>
        <v>INR</v>
      </c>
      <c r="X585" t="str">
        <f t="shared" si="160"/>
        <v>Accepted</v>
      </c>
      <c r="Y585">
        <f>IFERROR(VLOOKUP(N585, Payment_Terms!A:B, 2, FALSE), "Payment term not found!")</f>
        <v>30</v>
      </c>
      <c r="Z585" t="str">
        <f>IFERROR(VLOOKUP(R585, Item_Category!A:B, 2, FALSE), "Uncategorized")</f>
        <v>Bags</v>
      </c>
      <c r="AA585" s="5">
        <f t="shared" si="165"/>
        <v>0</v>
      </c>
      <c r="AB585">
        <f t="shared" si="166"/>
        <v>5</v>
      </c>
      <c r="AC585" s="10">
        <f t="shared" si="167"/>
        <v>-9</v>
      </c>
      <c r="AD585">
        <f t="shared" si="168"/>
        <v>5</v>
      </c>
      <c r="AE585" s="10">
        <f t="shared" si="169"/>
        <v>1</v>
      </c>
      <c r="AF585" s="5">
        <f t="shared" si="162"/>
        <v>1</v>
      </c>
      <c r="AG585" s="5">
        <f t="shared" si="163"/>
        <v>1</v>
      </c>
      <c r="AH585" s="5">
        <f t="shared" si="170"/>
        <v>0</v>
      </c>
      <c r="AI585">
        <f>IF(B585&lt;&gt;"", COUNTIFS($B$2:B585, B585), "")</f>
        <v>39</v>
      </c>
      <c r="AJ585">
        <f t="shared" si="171"/>
        <v>5</v>
      </c>
      <c r="AK585">
        <f t="shared" si="164"/>
        <v>5</v>
      </c>
      <c r="AL585">
        <f t="shared" si="172"/>
        <v>6</v>
      </c>
      <c r="AM585" t="str">
        <f t="shared" si="173"/>
        <v>June</v>
      </c>
      <c r="AN585">
        <f t="shared" si="174"/>
        <v>2023</v>
      </c>
      <c r="AO585" t="str">
        <f t="shared" si="175"/>
        <v>&gt;3</v>
      </c>
      <c r="AP585" t="str">
        <f t="shared" si="176"/>
        <v>&gt;3</v>
      </c>
      <c r="AQ585" t="str">
        <f t="shared" si="177"/>
        <v>&gt;3</v>
      </c>
    </row>
    <row r="586" spans="1:43" x14ac:dyDescent="0.3">
      <c r="A586" t="s">
        <v>33</v>
      </c>
      <c r="B586" t="s">
        <v>492</v>
      </c>
      <c r="C586" t="s">
        <v>89</v>
      </c>
      <c r="D586">
        <v>3006</v>
      </c>
      <c r="E586">
        <v>23210408</v>
      </c>
      <c r="F586" t="s">
        <v>450</v>
      </c>
      <c r="G586" t="s">
        <v>451</v>
      </c>
      <c r="H586">
        <v>440</v>
      </c>
      <c r="I586">
        <v>38</v>
      </c>
      <c r="J586">
        <v>16720</v>
      </c>
      <c r="K586" s="7" t="str">
        <f>IFERROR(IF(B586&lt;&gt;"", TEXT(VLOOKUP(B586, 'Expected Date'!A:B, 2, FALSE) + DATE(RIGHT(C586,2),MID(C586,4,2),LEFT(C586,2)), "dd/mm/yy"), ""), "")</f>
        <v>10/07/23</v>
      </c>
      <c r="L586" t="s">
        <v>38</v>
      </c>
      <c r="M586" t="s">
        <v>39</v>
      </c>
      <c r="N586" t="s">
        <v>342</v>
      </c>
      <c r="O586" t="s">
        <v>117</v>
      </c>
      <c r="P586">
        <v>23290784</v>
      </c>
      <c r="Q586" t="s">
        <v>450</v>
      </c>
      <c r="R586" t="s">
        <v>451</v>
      </c>
      <c r="S586">
        <v>440</v>
      </c>
      <c r="T586">
        <v>38</v>
      </c>
      <c r="U586">
        <v>16720</v>
      </c>
      <c r="V586" t="str">
        <f t="shared" si="161"/>
        <v>Dahej</v>
      </c>
      <c r="W586" t="str">
        <f>VLOOKUP(B586, Currency!A:B, 2, FALSE)</f>
        <v>INR</v>
      </c>
      <c r="X586" t="str">
        <f t="shared" si="160"/>
        <v>Accepted</v>
      </c>
      <c r="Y586">
        <f>IFERROR(VLOOKUP(N586, Payment_Terms!A:B, 2, FALSE), "Payment term not found!")</f>
        <v>30</v>
      </c>
      <c r="Z586" t="str">
        <f>IFERROR(VLOOKUP(R586, Item_Category!A:B, 2, FALSE), "Uncategorized")</f>
        <v>PP thread</v>
      </c>
      <c r="AA586" s="5">
        <f t="shared" si="165"/>
        <v>0</v>
      </c>
      <c r="AB586">
        <f t="shared" si="166"/>
        <v>5</v>
      </c>
      <c r="AC586" s="10">
        <f t="shared" si="167"/>
        <v>-3</v>
      </c>
      <c r="AD586">
        <f t="shared" si="168"/>
        <v>5</v>
      </c>
      <c r="AE586" s="10">
        <f t="shared" si="169"/>
        <v>2</v>
      </c>
      <c r="AF586" s="5">
        <f t="shared" si="162"/>
        <v>1</v>
      </c>
      <c r="AG586" s="5">
        <f t="shared" si="163"/>
        <v>1</v>
      </c>
      <c r="AH586" s="5">
        <f t="shared" si="170"/>
        <v>0</v>
      </c>
      <c r="AI586">
        <f>IF(B586&lt;&gt;"", COUNTIFS($B$2:B586, B586), "")</f>
        <v>3</v>
      </c>
      <c r="AJ586">
        <f t="shared" si="171"/>
        <v>5</v>
      </c>
      <c r="AK586">
        <f t="shared" si="164"/>
        <v>5</v>
      </c>
      <c r="AL586">
        <f t="shared" si="172"/>
        <v>7</v>
      </c>
      <c r="AM586" t="str">
        <f t="shared" si="173"/>
        <v>July</v>
      </c>
      <c r="AN586">
        <f t="shared" si="174"/>
        <v>2023</v>
      </c>
      <c r="AO586" t="str">
        <f t="shared" si="175"/>
        <v>&gt;3</v>
      </c>
      <c r="AP586" t="str">
        <f t="shared" si="176"/>
        <v>&gt;3</v>
      </c>
      <c r="AQ586" t="str">
        <f t="shared" si="177"/>
        <v>&gt;3</v>
      </c>
    </row>
    <row r="587" spans="1:43" x14ac:dyDescent="0.3">
      <c r="A587" t="s">
        <v>33</v>
      </c>
      <c r="B587" t="s">
        <v>492</v>
      </c>
      <c r="C587" t="s">
        <v>89</v>
      </c>
      <c r="D587">
        <v>3006</v>
      </c>
      <c r="E587">
        <v>23210408</v>
      </c>
      <c r="F587" t="s">
        <v>494</v>
      </c>
      <c r="G587" t="s">
        <v>495</v>
      </c>
      <c r="H587">
        <v>120</v>
      </c>
      <c r="I587">
        <v>510</v>
      </c>
      <c r="J587">
        <v>61200</v>
      </c>
      <c r="K587" s="7" t="str">
        <f>IFERROR(IF(B587&lt;&gt;"", TEXT(VLOOKUP(B587, 'Expected Date'!A:B, 2, FALSE) + DATE(RIGHT(C587,2),MID(C587,4,2),LEFT(C587,2)), "dd/mm/yy"), ""), "")</f>
        <v>10/07/23</v>
      </c>
      <c r="L587" t="s">
        <v>38</v>
      </c>
      <c r="M587" t="s">
        <v>48</v>
      </c>
      <c r="N587" t="s">
        <v>342</v>
      </c>
      <c r="O587" t="s">
        <v>117</v>
      </c>
      <c r="P587">
        <v>23290784</v>
      </c>
      <c r="Q587" t="s">
        <v>494</v>
      </c>
      <c r="R587" t="s">
        <v>495</v>
      </c>
      <c r="S587">
        <v>120</v>
      </c>
      <c r="T587">
        <v>510</v>
      </c>
      <c r="U587">
        <v>61200</v>
      </c>
      <c r="V587" t="str">
        <f t="shared" si="161"/>
        <v>Dahej</v>
      </c>
      <c r="W587" t="str">
        <f>VLOOKUP(B587, Currency!A:B, 2, FALSE)</f>
        <v>INR</v>
      </c>
      <c r="X587" t="str">
        <f t="shared" si="160"/>
        <v>Accepted</v>
      </c>
      <c r="Y587">
        <f>IFERROR(VLOOKUP(N587, Payment_Terms!A:B, 2, FALSE), "Payment term not found!")</f>
        <v>30</v>
      </c>
      <c r="Z587" t="str">
        <f>IFERROR(VLOOKUP(R587, Item_Category!A:B, 2, FALSE), "Uncategorized")</f>
        <v>Strapping rolls</v>
      </c>
      <c r="AA587" s="5">
        <f t="shared" si="165"/>
        <v>0</v>
      </c>
      <c r="AB587">
        <f t="shared" si="166"/>
        <v>5</v>
      </c>
      <c r="AC587" s="10">
        <f t="shared" si="167"/>
        <v>-3</v>
      </c>
      <c r="AD587">
        <f t="shared" si="168"/>
        <v>5</v>
      </c>
      <c r="AE587" s="10">
        <f t="shared" si="169"/>
        <v>2</v>
      </c>
      <c r="AF587" s="5">
        <f t="shared" si="162"/>
        <v>1</v>
      </c>
      <c r="AG587" s="5">
        <f t="shared" si="163"/>
        <v>1</v>
      </c>
      <c r="AH587" s="5">
        <f t="shared" si="170"/>
        <v>0</v>
      </c>
      <c r="AI587">
        <f>IF(B587&lt;&gt;"", COUNTIFS($B$2:B587, B587), "")</f>
        <v>4</v>
      </c>
      <c r="AJ587">
        <f t="shared" si="171"/>
        <v>5</v>
      </c>
      <c r="AK587">
        <f t="shared" si="164"/>
        <v>5</v>
      </c>
      <c r="AL587">
        <f t="shared" si="172"/>
        <v>7</v>
      </c>
      <c r="AM587" t="str">
        <f t="shared" si="173"/>
        <v>July</v>
      </c>
      <c r="AN587">
        <f t="shared" si="174"/>
        <v>2023</v>
      </c>
      <c r="AO587" t="str">
        <f t="shared" si="175"/>
        <v>&gt;3</v>
      </c>
      <c r="AP587" t="str">
        <f t="shared" si="176"/>
        <v>&gt;3</v>
      </c>
      <c r="AQ587" t="str">
        <f t="shared" si="177"/>
        <v>&gt;3</v>
      </c>
    </row>
    <row r="588" spans="1:43" x14ac:dyDescent="0.3">
      <c r="A588" t="s">
        <v>33</v>
      </c>
      <c r="B588" t="s">
        <v>386</v>
      </c>
      <c r="C588" t="s">
        <v>178</v>
      </c>
      <c r="D588">
        <v>4141</v>
      </c>
      <c r="E588">
        <v>23210604</v>
      </c>
      <c r="F588" t="s">
        <v>545</v>
      </c>
      <c r="G588" t="s">
        <v>546</v>
      </c>
      <c r="H588">
        <v>50</v>
      </c>
      <c r="I588">
        <v>28</v>
      </c>
      <c r="J588">
        <v>1400</v>
      </c>
      <c r="K588" s="7" t="str">
        <f>IFERROR(IF(B588&lt;&gt;"", TEXT(VLOOKUP(B588, 'Expected Date'!A:B, 2, FALSE) + DATE(RIGHT(C588,2),MID(C588,4,2),LEFT(C588,2)), "dd/mm/yy"), ""), "")</f>
        <v>06/09/23</v>
      </c>
      <c r="L588" t="s">
        <v>38</v>
      </c>
      <c r="M588" t="s">
        <v>48</v>
      </c>
      <c r="N588" t="s">
        <v>342</v>
      </c>
      <c r="O588" t="s">
        <v>496</v>
      </c>
      <c r="P588">
        <v>23291303</v>
      </c>
      <c r="Q588" t="s">
        <v>545</v>
      </c>
      <c r="R588" t="s">
        <v>546</v>
      </c>
      <c r="S588">
        <v>50</v>
      </c>
      <c r="T588">
        <v>28</v>
      </c>
      <c r="U588">
        <v>1400</v>
      </c>
      <c r="V588" t="str">
        <f t="shared" si="161"/>
        <v>Dahej</v>
      </c>
      <c r="W588" t="str">
        <f>VLOOKUP(B588, Currency!A:B, 2, FALSE)</f>
        <v>INR</v>
      </c>
      <c r="X588" t="str">
        <f t="shared" si="160"/>
        <v>Accepted</v>
      </c>
      <c r="Y588">
        <f>IFERROR(VLOOKUP(N588, Payment_Terms!A:B, 2, FALSE), "Payment term not found!")</f>
        <v>30</v>
      </c>
      <c r="Z588" t="str">
        <f>IFERROR(VLOOKUP(R588, Item_Category!A:B, 2, FALSE), "Uncategorized")</f>
        <v>Cotton waste</v>
      </c>
      <c r="AA588" s="5">
        <f t="shared" si="165"/>
        <v>0</v>
      </c>
      <c r="AB588">
        <f t="shared" si="166"/>
        <v>5</v>
      </c>
      <c r="AC588" s="10">
        <f t="shared" si="167"/>
        <v>-4</v>
      </c>
      <c r="AD588">
        <f t="shared" si="168"/>
        <v>5</v>
      </c>
      <c r="AE588" s="10">
        <f t="shared" si="169"/>
        <v>1</v>
      </c>
      <c r="AF588" s="5">
        <f t="shared" si="162"/>
        <v>1</v>
      </c>
      <c r="AG588" s="5">
        <f t="shared" si="163"/>
        <v>1</v>
      </c>
      <c r="AH588" s="5">
        <f t="shared" si="170"/>
        <v>0</v>
      </c>
      <c r="AI588">
        <f>IF(B588&lt;&gt;"", COUNTIFS($B$2:B588, B588), "")</f>
        <v>25</v>
      </c>
      <c r="AJ588">
        <f t="shared" si="171"/>
        <v>5</v>
      </c>
      <c r="AK588">
        <f t="shared" si="164"/>
        <v>5</v>
      </c>
      <c r="AL588">
        <f t="shared" si="172"/>
        <v>9</v>
      </c>
      <c r="AM588" t="str">
        <f t="shared" si="173"/>
        <v>September</v>
      </c>
      <c r="AN588">
        <f t="shared" si="174"/>
        <v>2023</v>
      </c>
      <c r="AO588" t="str">
        <f t="shared" si="175"/>
        <v>&gt;3</v>
      </c>
      <c r="AP588" t="str">
        <f t="shared" si="176"/>
        <v>&gt;3</v>
      </c>
      <c r="AQ588" t="str">
        <f t="shared" si="177"/>
        <v>&gt;3</v>
      </c>
    </row>
    <row r="589" spans="1:43" x14ac:dyDescent="0.3">
      <c r="A589" t="s">
        <v>33</v>
      </c>
      <c r="B589" t="s">
        <v>386</v>
      </c>
      <c r="C589" t="s">
        <v>323</v>
      </c>
      <c r="D589">
        <v>4413</v>
      </c>
      <c r="E589">
        <v>23210667</v>
      </c>
      <c r="F589" t="s">
        <v>534</v>
      </c>
      <c r="G589" t="s">
        <v>535</v>
      </c>
      <c r="H589">
        <v>6626</v>
      </c>
      <c r="I589">
        <v>11.305</v>
      </c>
      <c r="J589">
        <v>74906.929999999993</v>
      </c>
      <c r="K589" s="7" t="str">
        <f>IFERROR(IF(B589&lt;&gt;"", TEXT(VLOOKUP(B589, 'Expected Date'!A:B, 2, FALSE) + DATE(RIGHT(C589,2),MID(C589,4,2),LEFT(C589,2)), "dd/mm/yy"), ""), "")</f>
        <v>20/09/23</v>
      </c>
      <c r="L589" t="s">
        <v>38</v>
      </c>
      <c r="M589" t="s">
        <v>48</v>
      </c>
      <c r="N589" t="s">
        <v>342</v>
      </c>
      <c r="O589" t="s">
        <v>323</v>
      </c>
      <c r="P589">
        <v>23291417</v>
      </c>
      <c r="Q589" t="s">
        <v>534</v>
      </c>
      <c r="R589" t="s">
        <v>535</v>
      </c>
      <c r="S589">
        <v>6626</v>
      </c>
      <c r="T589">
        <v>11.305</v>
      </c>
      <c r="U589">
        <v>74906.929999999993</v>
      </c>
      <c r="V589" t="str">
        <f t="shared" si="161"/>
        <v>Dahej</v>
      </c>
      <c r="W589" t="str">
        <f>VLOOKUP(B589, Currency!A:B, 2, FALSE)</f>
        <v>INR</v>
      </c>
      <c r="X589" t="str">
        <f t="shared" si="160"/>
        <v>Accepted</v>
      </c>
      <c r="Y589">
        <f>IFERROR(VLOOKUP(N589, Payment_Terms!A:B, 2, FALSE), "Payment term not found!")</f>
        <v>30</v>
      </c>
      <c r="Z589" t="str">
        <f>IFERROR(VLOOKUP(R589, Item_Category!A:B, 2, FALSE), "Uncategorized")</f>
        <v>Liner</v>
      </c>
      <c r="AA589" s="5">
        <f t="shared" si="165"/>
        <v>0</v>
      </c>
      <c r="AB589">
        <f t="shared" si="166"/>
        <v>5</v>
      </c>
      <c r="AC589" s="10">
        <f t="shared" si="167"/>
        <v>-5</v>
      </c>
      <c r="AD589">
        <f t="shared" si="168"/>
        <v>5</v>
      </c>
      <c r="AE589" s="10">
        <f t="shared" si="169"/>
        <v>0</v>
      </c>
      <c r="AF589" s="5">
        <f t="shared" si="162"/>
        <v>1</v>
      </c>
      <c r="AG589" s="5">
        <f t="shared" si="163"/>
        <v>1</v>
      </c>
      <c r="AH589" s="5">
        <f t="shared" si="170"/>
        <v>0</v>
      </c>
      <c r="AI589">
        <f>IF(B589&lt;&gt;"", COUNTIFS($B$2:B589, B589), "")</f>
        <v>26</v>
      </c>
      <c r="AJ589">
        <f t="shared" si="171"/>
        <v>5</v>
      </c>
      <c r="AK589">
        <f t="shared" si="164"/>
        <v>5</v>
      </c>
      <c r="AL589">
        <f t="shared" si="172"/>
        <v>9</v>
      </c>
      <c r="AM589" t="str">
        <f t="shared" si="173"/>
        <v>September</v>
      </c>
      <c r="AN589">
        <f t="shared" si="174"/>
        <v>2023</v>
      </c>
      <c r="AO589" t="str">
        <f t="shared" si="175"/>
        <v>&gt;3</v>
      </c>
      <c r="AP589" t="str">
        <f t="shared" si="176"/>
        <v>&gt;3</v>
      </c>
      <c r="AQ589" t="str">
        <f t="shared" si="177"/>
        <v>&gt;3</v>
      </c>
    </row>
    <row r="590" spans="1:43" x14ac:dyDescent="0.3">
      <c r="A590" t="s">
        <v>33</v>
      </c>
      <c r="B590" t="s">
        <v>429</v>
      </c>
      <c r="C590" t="s">
        <v>164</v>
      </c>
      <c r="D590">
        <v>4244</v>
      </c>
      <c r="E590">
        <v>23210633</v>
      </c>
      <c r="F590" t="s">
        <v>430</v>
      </c>
      <c r="G590" t="s">
        <v>431</v>
      </c>
      <c r="H590">
        <v>5000</v>
      </c>
      <c r="I590">
        <v>8.3000000000000007</v>
      </c>
      <c r="J590">
        <v>41500</v>
      </c>
      <c r="K590" s="7" t="str">
        <f>IFERROR(IF(B590&lt;&gt;"", TEXT(VLOOKUP(B590, 'Expected Date'!A:B, 2, FALSE) + DATE(RIGHT(C590,2),MID(C590,4,2),LEFT(C590,2)), "dd/mm/yy"), ""), "")</f>
        <v>13/09/23</v>
      </c>
      <c r="L590" t="s">
        <v>38</v>
      </c>
      <c r="M590" t="s">
        <v>48</v>
      </c>
      <c r="N590" t="s">
        <v>299</v>
      </c>
      <c r="O590" t="s">
        <v>512</v>
      </c>
      <c r="P590">
        <v>23291498</v>
      </c>
      <c r="Q590" t="s">
        <v>430</v>
      </c>
      <c r="R590" t="s">
        <v>431</v>
      </c>
      <c r="S590">
        <v>2580</v>
      </c>
      <c r="T590">
        <v>8.3000000000000007</v>
      </c>
      <c r="U590">
        <v>21414</v>
      </c>
      <c r="V590" t="str">
        <f t="shared" si="161"/>
        <v>Dahej</v>
      </c>
      <c r="W590" t="str">
        <f>VLOOKUP(B590, Currency!A:B, 2, FALSE)</f>
        <v>INR</v>
      </c>
      <c r="X590" t="str">
        <f t="shared" si="160"/>
        <v>Accepted</v>
      </c>
      <c r="Y590">
        <f>IFERROR(VLOOKUP(N590, Payment_Terms!A:B, 2, FALSE), "Payment term not found!")</f>
        <v>60</v>
      </c>
      <c r="Z590" t="str">
        <f>IFERROR(VLOOKUP(R590, Item_Category!A:B, 2, FALSE), "Uncategorized")</f>
        <v>Lime</v>
      </c>
      <c r="AA590" s="5">
        <f t="shared" si="165"/>
        <v>0</v>
      </c>
      <c r="AB590">
        <f t="shared" si="166"/>
        <v>5</v>
      </c>
      <c r="AC590" s="10">
        <f t="shared" si="167"/>
        <v>11</v>
      </c>
      <c r="AD590">
        <f t="shared" si="168"/>
        <v>1</v>
      </c>
      <c r="AE590" s="10">
        <f t="shared" si="169"/>
        <v>16</v>
      </c>
      <c r="AF590" s="5">
        <f t="shared" si="162"/>
        <v>1</v>
      </c>
      <c r="AG590" s="5">
        <f t="shared" si="163"/>
        <v>1</v>
      </c>
      <c r="AH590" s="5">
        <f t="shared" si="170"/>
        <v>0</v>
      </c>
      <c r="AI590">
        <f>IF(B590&lt;&gt;"", COUNTIFS($B$2:B590, B590), "")</f>
        <v>9</v>
      </c>
      <c r="AJ590">
        <f t="shared" si="171"/>
        <v>5</v>
      </c>
      <c r="AK590">
        <f t="shared" si="164"/>
        <v>4</v>
      </c>
      <c r="AL590">
        <f t="shared" si="172"/>
        <v>9</v>
      </c>
      <c r="AM590" t="str">
        <f t="shared" si="173"/>
        <v>September</v>
      </c>
      <c r="AN590">
        <f t="shared" si="174"/>
        <v>2023</v>
      </c>
      <c r="AO590" t="str">
        <f t="shared" si="175"/>
        <v>&gt;3</v>
      </c>
      <c r="AP590" t="str">
        <f t="shared" si="176"/>
        <v>&gt;3</v>
      </c>
      <c r="AQ590" t="str">
        <f t="shared" si="177"/>
        <v>&lt;=3</v>
      </c>
    </row>
    <row r="591" spans="1:43" x14ac:dyDescent="0.3">
      <c r="A591" t="s">
        <v>33</v>
      </c>
      <c r="B591" t="s">
        <v>382</v>
      </c>
      <c r="C591" t="s">
        <v>221</v>
      </c>
      <c r="D591">
        <v>3889</v>
      </c>
      <c r="E591">
        <v>23210559</v>
      </c>
      <c r="F591" t="s">
        <v>383</v>
      </c>
      <c r="G591" t="s">
        <v>384</v>
      </c>
      <c r="H591">
        <v>250</v>
      </c>
      <c r="I591">
        <v>96</v>
      </c>
      <c r="J591">
        <v>24000</v>
      </c>
      <c r="K591" s="7" t="str">
        <f>IFERROR(IF(B591&lt;&gt;"", TEXT(VLOOKUP(B591, 'Expected Date'!A:B, 2, FALSE) + DATE(RIGHT(C591,2),MID(C591,4,2),LEFT(C591,2)), "dd/mm/yy"), ""), "")</f>
        <v>31/08/23</v>
      </c>
      <c r="L591" t="s">
        <v>38</v>
      </c>
      <c r="M591" t="s">
        <v>48</v>
      </c>
      <c r="N591" t="s">
        <v>342</v>
      </c>
      <c r="O591" t="s">
        <v>78</v>
      </c>
      <c r="P591">
        <v>23291217</v>
      </c>
      <c r="Q591" t="s">
        <v>383</v>
      </c>
      <c r="R591" t="s">
        <v>384</v>
      </c>
      <c r="S591">
        <v>250</v>
      </c>
      <c r="T591">
        <v>96</v>
      </c>
      <c r="U591">
        <v>24000</v>
      </c>
      <c r="V591" t="str">
        <f t="shared" si="161"/>
        <v>Dahej</v>
      </c>
      <c r="W591" t="str">
        <f>VLOOKUP(B591, Currency!A:B, 2, FALSE)</f>
        <v>INR</v>
      </c>
      <c r="X591" t="str">
        <f t="shared" si="160"/>
        <v>Accepted</v>
      </c>
      <c r="Y591">
        <f>IFERROR(VLOOKUP(N591, Payment_Terms!A:B, 2, FALSE), "Payment term not found!")</f>
        <v>30</v>
      </c>
      <c r="Z591" t="str">
        <f>IFERROR(VLOOKUP(R591, Item_Category!A:B, 2, FALSE), "Uncategorized")</f>
        <v>Gas</v>
      </c>
      <c r="AA591" s="5">
        <f t="shared" si="165"/>
        <v>0</v>
      </c>
      <c r="AB591">
        <f t="shared" si="166"/>
        <v>5</v>
      </c>
      <c r="AC591" s="10">
        <f t="shared" si="167"/>
        <v>-7</v>
      </c>
      <c r="AD591">
        <f t="shared" si="168"/>
        <v>5</v>
      </c>
      <c r="AE591" s="10">
        <f t="shared" si="169"/>
        <v>3</v>
      </c>
      <c r="AF591" s="5">
        <f t="shared" si="162"/>
        <v>1</v>
      </c>
      <c r="AG591" s="5">
        <f t="shared" si="163"/>
        <v>1</v>
      </c>
      <c r="AH591" s="5">
        <f t="shared" si="170"/>
        <v>0</v>
      </c>
      <c r="AI591">
        <f>IF(B591&lt;&gt;"", COUNTIFS($B$2:B591, B591), "")</f>
        <v>19</v>
      </c>
      <c r="AJ591">
        <f t="shared" si="171"/>
        <v>5</v>
      </c>
      <c r="AK591">
        <f t="shared" si="164"/>
        <v>5</v>
      </c>
      <c r="AL591">
        <f t="shared" si="172"/>
        <v>8</v>
      </c>
      <c r="AM591" t="str">
        <f t="shared" si="173"/>
        <v>August</v>
      </c>
      <c r="AN591">
        <f t="shared" si="174"/>
        <v>2023</v>
      </c>
      <c r="AO591" t="str">
        <f t="shared" si="175"/>
        <v>&gt;3</v>
      </c>
      <c r="AP591" t="str">
        <f t="shared" si="176"/>
        <v>&gt;3</v>
      </c>
      <c r="AQ591" t="str">
        <f t="shared" si="177"/>
        <v>&gt;3</v>
      </c>
    </row>
    <row r="592" spans="1:43" x14ac:dyDescent="0.3">
      <c r="A592" t="s">
        <v>33</v>
      </c>
      <c r="B592" t="s">
        <v>366</v>
      </c>
      <c r="C592" t="s">
        <v>272</v>
      </c>
      <c r="D592">
        <v>4670</v>
      </c>
      <c r="E592">
        <v>23210706</v>
      </c>
      <c r="F592" t="s">
        <v>392</v>
      </c>
      <c r="G592" t="s">
        <v>393</v>
      </c>
      <c r="H592">
        <v>100</v>
      </c>
      <c r="I592">
        <v>8400</v>
      </c>
      <c r="J592">
        <v>840000</v>
      </c>
      <c r="K592" s="7" t="str">
        <f>IFERROR(IF(B592&lt;&gt;"", TEXT(VLOOKUP(B592, 'Expected Date'!A:B, 2, FALSE) + DATE(RIGHT(C592,2),MID(C592,4,2),LEFT(C592,2)), "dd/mm/yy"), ""), "")</f>
        <v>27/09/23</v>
      </c>
      <c r="L592" t="s">
        <v>38</v>
      </c>
      <c r="M592" t="s">
        <v>48</v>
      </c>
      <c r="N592" t="s">
        <v>532</v>
      </c>
      <c r="O592" t="s">
        <v>320</v>
      </c>
      <c r="P592">
        <v>23291546</v>
      </c>
      <c r="Q592" t="s">
        <v>392</v>
      </c>
      <c r="R592" t="s">
        <v>393</v>
      </c>
      <c r="S592">
        <v>30.02</v>
      </c>
      <c r="T592">
        <v>8400</v>
      </c>
      <c r="U592">
        <v>252168</v>
      </c>
      <c r="V592" t="str">
        <f t="shared" si="161"/>
        <v>Dahej</v>
      </c>
      <c r="W592" t="str">
        <f>VLOOKUP(B592, Currency!A:B, 2, FALSE)</f>
        <v>INR</v>
      </c>
      <c r="X592" t="str">
        <f t="shared" si="160"/>
        <v>Accepted</v>
      </c>
      <c r="Y592">
        <f>IFERROR(VLOOKUP(N592, Payment_Terms!A:B, 2, FALSE), "Payment term not found!")</f>
        <v>15</v>
      </c>
      <c r="Z592" t="str">
        <f>IFERROR(VLOOKUP(R592, Item_Category!A:B, 2, FALSE), "Uncategorized")</f>
        <v>Coal materials</v>
      </c>
      <c r="AA592" s="5">
        <f t="shared" si="165"/>
        <v>0</v>
      </c>
      <c r="AB592">
        <f t="shared" si="166"/>
        <v>5</v>
      </c>
      <c r="AC592" s="10">
        <f t="shared" si="167"/>
        <v>1</v>
      </c>
      <c r="AD592">
        <f t="shared" si="168"/>
        <v>5</v>
      </c>
      <c r="AE592" s="10">
        <f t="shared" si="169"/>
        <v>3</v>
      </c>
      <c r="AF592" s="5">
        <f t="shared" si="162"/>
        <v>1</v>
      </c>
      <c r="AG592" s="5">
        <f t="shared" si="163"/>
        <v>1</v>
      </c>
      <c r="AH592" s="5">
        <f t="shared" si="170"/>
        <v>0</v>
      </c>
      <c r="AI592">
        <f>IF(B592&lt;&gt;"", COUNTIFS($B$2:B592, B592), "")</f>
        <v>61</v>
      </c>
      <c r="AJ592">
        <f t="shared" si="171"/>
        <v>5</v>
      </c>
      <c r="AK592">
        <f t="shared" si="164"/>
        <v>5</v>
      </c>
      <c r="AL592">
        <f t="shared" si="172"/>
        <v>9</v>
      </c>
      <c r="AM592" t="str">
        <f t="shared" si="173"/>
        <v>September</v>
      </c>
      <c r="AN592">
        <f t="shared" si="174"/>
        <v>2023</v>
      </c>
      <c r="AO592" t="str">
        <f t="shared" si="175"/>
        <v>&gt;3</v>
      </c>
      <c r="AP592" t="str">
        <f t="shared" si="176"/>
        <v>&gt;3</v>
      </c>
      <c r="AQ592" t="str">
        <f t="shared" si="177"/>
        <v>&gt;3</v>
      </c>
    </row>
    <row r="593" spans="1:43" x14ac:dyDescent="0.3">
      <c r="A593" t="s">
        <v>33</v>
      </c>
      <c r="B593" t="s">
        <v>366</v>
      </c>
      <c r="C593" t="s">
        <v>272</v>
      </c>
      <c r="D593">
        <v>4670</v>
      </c>
      <c r="E593">
        <v>23210706</v>
      </c>
      <c r="F593" t="s">
        <v>392</v>
      </c>
      <c r="G593" t="s">
        <v>393</v>
      </c>
      <c r="H593">
        <v>100</v>
      </c>
      <c r="I593">
        <v>8400</v>
      </c>
      <c r="J593">
        <v>840000</v>
      </c>
      <c r="K593" s="7" t="str">
        <f>IFERROR(IF(B593&lt;&gt;"", TEXT(VLOOKUP(B593, 'Expected Date'!A:B, 2, FALSE) + DATE(RIGHT(C593,2),MID(C593,4,2),LEFT(C593,2)), "dd/mm/yy"), ""), "")</f>
        <v>27/09/23</v>
      </c>
      <c r="L593" t="s">
        <v>38</v>
      </c>
      <c r="M593" t="s">
        <v>48</v>
      </c>
      <c r="N593" t="s">
        <v>532</v>
      </c>
      <c r="O593" t="s">
        <v>194</v>
      </c>
      <c r="P593">
        <v>23291547</v>
      </c>
      <c r="Q593" t="s">
        <v>392</v>
      </c>
      <c r="R593" t="s">
        <v>393</v>
      </c>
      <c r="S593">
        <v>29.89</v>
      </c>
      <c r="T593">
        <v>8400</v>
      </c>
      <c r="U593">
        <v>251076</v>
      </c>
      <c r="V593" t="str">
        <f t="shared" si="161"/>
        <v>Dahej</v>
      </c>
      <c r="W593" t="str">
        <f>VLOOKUP(B593, Currency!A:B, 2, FALSE)</f>
        <v>INR</v>
      </c>
      <c r="X593" t="str">
        <f t="shared" si="160"/>
        <v>Accepted</v>
      </c>
      <c r="Y593">
        <f>IFERROR(VLOOKUP(N593, Payment_Terms!A:B, 2, FALSE), "Payment term not found!")</f>
        <v>15</v>
      </c>
      <c r="Z593" t="str">
        <f>IFERROR(VLOOKUP(R593, Item_Category!A:B, 2, FALSE), "Uncategorized")</f>
        <v>Coal materials</v>
      </c>
      <c r="AA593" s="5">
        <f t="shared" si="165"/>
        <v>0</v>
      </c>
      <c r="AB593">
        <f t="shared" si="166"/>
        <v>5</v>
      </c>
      <c r="AC593" s="10">
        <f t="shared" si="167"/>
        <v>-1</v>
      </c>
      <c r="AD593">
        <f t="shared" si="168"/>
        <v>5</v>
      </c>
      <c r="AE593" s="10">
        <f t="shared" si="169"/>
        <v>1</v>
      </c>
      <c r="AF593" s="5">
        <f t="shared" si="162"/>
        <v>1</v>
      </c>
      <c r="AG593" s="5">
        <f t="shared" si="163"/>
        <v>1</v>
      </c>
      <c r="AH593" s="5">
        <f t="shared" si="170"/>
        <v>0</v>
      </c>
      <c r="AI593">
        <f>IF(B593&lt;&gt;"", COUNTIFS($B$2:B593, B593), "")</f>
        <v>62</v>
      </c>
      <c r="AJ593">
        <f t="shared" si="171"/>
        <v>5</v>
      </c>
      <c r="AK593">
        <f t="shared" si="164"/>
        <v>5</v>
      </c>
      <c r="AL593">
        <f t="shared" si="172"/>
        <v>9</v>
      </c>
      <c r="AM593" t="str">
        <f t="shared" si="173"/>
        <v>September</v>
      </c>
      <c r="AN593">
        <f t="shared" si="174"/>
        <v>2023</v>
      </c>
      <c r="AO593" t="str">
        <f t="shared" si="175"/>
        <v>&gt;3</v>
      </c>
      <c r="AP593" t="str">
        <f t="shared" si="176"/>
        <v>&gt;3</v>
      </c>
      <c r="AQ593" t="str">
        <f t="shared" si="177"/>
        <v>&gt;3</v>
      </c>
    </row>
    <row r="594" spans="1:43" x14ac:dyDescent="0.3">
      <c r="A594" t="s">
        <v>33</v>
      </c>
      <c r="B594" t="str">
        <f>B284</f>
        <v>Ami Enterprises</v>
      </c>
      <c r="C594" t="s">
        <v>320</v>
      </c>
      <c r="D594">
        <v>4705</v>
      </c>
      <c r="E594">
        <v>23210714</v>
      </c>
      <c r="F594" t="s">
        <v>471</v>
      </c>
      <c r="G594" t="s">
        <v>472</v>
      </c>
      <c r="H594">
        <v>510</v>
      </c>
      <c r="I594">
        <v>33.5</v>
      </c>
      <c r="J594">
        <v>17085</v>
      </c>
      <c r="K594" s="7" t="str">
        <f>IFERROR(IF(B594&lt;&gt;"", TEXT(VLOOKUP(B594, 'Expected Date'!A:B, 2, FALSE) + DATE(RIGHT(C594,2),MID(C594,4,2),LEFT(C594,2)), "dd/mm/yy"), ""), "")</f>
        <v>08/10/23</v>
      </c>
      <c r="L594" t="s">
        <v>38</v>
      </c>
      <c r="M594" t="s">
        <v>39</v>
      </c>
      <c r="N594" t="s">
        <v>342</v>
      </c>
      <c r="O594" t="s">
        <v>519</v>
      </c>
      <c r="P594">
        <v>23291553</v>
      </c>
      <c r="Q594" t="s">
        <v>471</v>
      </c>
      <c r="R594" t="s">
        <v>472</v>
      </c>
      <c r="S594">
        <v>510</v>
      </c>
      <c r="T594">
        <v>33.5</v>
      </c>
      <c r="U594">
        <v>17085</v>
      </c>
      <c r="V594" t="str">
        <f t="shared" si="161"/>
        <v>Dahej</v>
      </c>
      <c r="W594" t="str">
        <f>VLOOKUP(B594, Currency!A:B, 2, FALSE)</f>
        <v>INR</v>
      </c>
      <c r="X594" t="str">
        <f t="shared" si="160"/>
        <v>Accepted</v>
      </c>
      <c r="Y594">
        <f>IFERROR(VLOOKUP(N594, Payment_Terms!A:B, 2, FALSE), "Payment term not found!")</f>
        <v>30</v>
      </c>
      <c r="Z594" t="str">
        <f>IFERROR(VLOOKUP(R594, Item_Category!A:B, 2, FALSE), "Uncategorized")</f>
        <v>Bags</v>
      </c>
      <c r="AA594" s="5">
        <f t="shared" si="165"/>
        <v>0</v>
      </c>
      <c r="AB594">
        <f t="shared" si="166"/>
        <v>5</v>
      </c>
      <c r="AC594" s="10">
        <f t="shared" si="167"/>
        <v>-9</v>
      </c>
      <c r="AD594">
        <f t="shared" si="168"/>
        <v>5</v>
      </c>
      <c r="AE594" s="10">
        <f t="shared" si="169"/>
        <v>1</v>
      </c>
      <c r="AF594" s="5">
        <f t="shared" si="162"/>
        <v>1</v>
      </c>
      <c r="AG594" s="5">
        <f t="shared" si="163"/>
        <v>1</v>
      </c>
      <c r="AH594" s="5">
        <f t="shared" si="170"/>
        <v>0</v>
      </c>
      <c r="AI594">
        <f>IF(B594&lt;&gt;"", COUNTIFS($B$2:B594, B594), "")</f>
        <v>40</v>
      </c>
      <c r="AJ594">
        <f t="shared" si="171"/>
        <v>5</v>
      </c>
      <c r="AK594">
        <f t="shared" si="164"/>
        <v>5</v>
      </c>
      <c r="AL594">
        <f t="shared" si="172"/>
        <v>9</v>
      </c>
      <c r="AM594" t="str">
        <f t="shared" si="173"/>
        <v>September</v>
      </c>
      <c r="AN594">
        <f t="shared" si="174"/>
        <v>2023</v>
      </c>
      <c r="AO594" t="str">
        <f t="shared" si="175"/>
        <v>&gt;3</v>
      </c>
      <c r="AP594" t="str">
        <f t="shared" si="176"/>
        <v>&gt;3</v>
      </c>
      <c r="AQ594" t="str">
        <f t="shared" si="177"/>
        <v>&gt;3</v>
      </c>
    </row>
    <row r="595" spans="1:43" x14ac:dyDescent="0.3">
      <c r="A595" t="s">
        <v>33</v>
      </c>
      <c r="B595" t="s">
        <v>366</v>
      </c>
      <c r="C595" t="s">
        <v>272</v>
      </c>
      <c r="D595">
        <v>4670</v>
      </c>
      <c r="E595">
        <v>23210706</v>
      </c>
      <c r="F595" t="s">
        <v>392</v>
      </c>
      <c r="G595" t="s">
        <v>393</v>
      </c>
      <c r="H595">
        <v>100</v>
      </c>
      <c r="I595">
        <v>8400</v>
      </c>
      <c r="J595">
        <v>840000</v>
      </c>
      <c r="K595" s="7" t="str">
        <f>IFERROR(IF(B595&lt;&gt;"", TEXT(VLOOKUP(B595, 'Expected Date'!A:B, 2, FALSE) + DATE(RIGHT(C595,2),MID(C595,4,2),LEFT(C595,2)), "dd/mm/yy"), ""), "")</f>
        <v>27/09/23</v>
      </c>
      <c r="L595" t="s">
        <v>38</v>
      </c>
      <c r="M595" t="s">
        <v>48</v>
      </c>
      <c r="N595" t="s">
        <v>532</v>
      </c>
      <c r="O595" t="s">
        <v>229</v>
      </c>
      <c r="P595">
        <v>23291566</v>
      </c>
      <c r="Q595" t="s">
        <v>392</v>
      </c>
      <c r="R595" t="s">
        <v>393</v>
      </c>
      <c r="S595">
        <v>29.91</v>
      </c>
      <c r="T595">
        <v>8400</v>
      </c>
      <c r="U595">
        <v>251244</v>
      </c>
      <c r="V595" t="str">
        <f t="shared" si="161"/>
        <v>Dahej</v>
      </c>
      <c r="W595" t="str">
        <f>VLOOKUP(B595, Currency!A:B, 2, FALSE)</f>
        <v>INR</v>
      </c>
      <c r="X595" t="str">
        <f t="shared" si="160"/>
        <v>Accepted</v>
      </c>
      <c r="Y595">
        <f>IFERROR(VLOOKUP(N595, Payment_Terms!A:B, 2, FALSE), "Payment term not found!")</f>
        <v>15</v>
      </c>
      <c r="Z595" t="str">
        <f>IFERROR(VLOOKUP(R595, Item_Category!A:B, 2, FALSE), "Uncategorized")</f>
        <v>Coal materials</v>
      </c>
      <c r="AA595" s="5">
        <f t="shared" si="165"/>
        <v>0</v>
      </c>
      <c r="AB595">
        <f t="shared" si="166"/>
        <v>5</v>
      </c>
      <c r="AC595" s="10">
        <f t="shared" si="167"/>
        <v>3</v>
      </c>
      <c r="AD595">
        <f t="shared" si="168"/>
        <v>4</v>
      </c>
      <c r="AE595" s="10">
        <f t="shared" si="169"/>
        <v>5</v>
      </c>
      <c r="AF595" s="5">
        <f t="shared" si="162"/>
        <v>1</v>
      </c>
      <c r="AG595" s="5">
        <f t="shared" si="163"/>
        <v>1</v>
      </c>
      <c r="AH595" s="5">
        <f t="shared" si="170"/>
        <v>0</v>
      </c>
      <c r="AI595">
        <f>IF(B595&lt;&gt;"", COUNTIFS($B$2:B595, B595), "")</f>
        <v>63</v>
      </c>
      <c r="AJ595">
        <f t="shared" si="171"/>
        <v>5</v>
      </c>
      <c r="AK595">
        <f t="shared" si="164"/>
        <v>5</v>
      </c>
      <c r="AL595">
        <f t="shared" si="172"/>
        <v>9</v>
      </c>
      <c r="AM595" t="str">
        <f t="shared" si="173"/>
        <v>September</v>
      </c>
      <c r="AN595">
        <f t="shared" si="174"/>
        <v>2023</v>
      </c>
      <c r="AO595" t="str">
        <f t="shared" si="175"/>
        <v>&gt;3</v>
      </c>
      <c r="AP595" t="str">
        <f t="shared" si="176"/>
        <v>&gt;3</v>
      </c>
      <c r="AQ595" t="str">
        <f t="shared" si="177"/>
        <v>&gt;3</v>
      </c>
    </row>
    <row r="596" spans="1:43" x14ac:dyDescent="0.3">
      <c r="A596" t="s">
        <v>33</v>
      </c>
      <c r="B596" t="s">
        <v>386</v>
      </c>
      <c r="C596" t="s">
        <v>178</v>
      </c>
      <c r="D596">
        <v>4141</v>
      </c>
      <c r="E596">
        <v>23210604</v>
      </c>
      <c r="F596" t="s">
        <v>440</v>
      </c>
      <c r="G596" t="s">
        <v>441</v>
      </c>
      <c r="H596">
        <v>82.7</v>
      </c>
      <c r="I596">
        <v>130</v>
      </c>
      <c r="J596">
        <v>10751</v>
      </c>
      <c r="K596" s="7" t="str">
        <f>IFERROR(IF(B596&lt;&gt;"", TEXT(VLOOKUP(B596, 'Expected Date'!A:B, 2, FALSE) + DATE(RIGHT(C596,2),MID(C596,4,2),LEFT(C596,2)), "dd/mm/yy"), ""), "")</f>
        <v>06/09/23</v>
      </c>
      <c r="L596" t="s">
        <v>38</v>
      </c>
      <c r="M596" t="s">
        <v>48</v>
      </c>
      <c r="N596" t="s">
        <v>342</v>
      </c>
      <c r="O596" t="s">
        <v>496</v>
      </c>
      <c r="P596">
        <v>23291303</v>
      </c>
      <c r="Q596" t="s">
        <v>440</v>
      </c>
      <c r="R596" t="s">
        <v>441</v>
      </c>
      <c r="S596">
        <v>82.7</v>
      </c>
      <c r="T596">
        <v>130</v>
      </c>
      <c r="U596">
        <v>10751</v>
      </c>
      <c r="V596" t="str">
        <f t="shared" si="161"/>
        <v>Dahej</v>
      </c>
      <c r="W596" t="str">
        <f>VLOOKUP(B596, Currency!A:B, 2, FALSE)</f>
        <v>INR</v>
      </c>
      <c r="X596" t="str">
        <f t="shared" si="160"/>
        <v>Accepted</v>
      </c>
      <c r="Y596">
        <f>IFERROR(VLOOKUP(N596, Payment_Terms!A:B, 2, FALSE), "Payment term not found!")</f>
        <v>30</v>
      </c>
      <c r="Z596" t="str">
        <f>IFERROR(VLOOKUP(R596, Item_Category!A:B, 2, FALSE), "Uncategorized")</f>
        <v>PP rope</v>
      </c>
      <c r="AA596" s="5">
        <f t="shared" si="165"/>
        <v>0</v>
      </c>
      <c r="AB596">
        <f t="shared" si="166"/>
        <v>5</v>
      </c>
      <c r="AC596" s="10">
        <f t="shared" si="167"/>
        <v>-4</v>
      </c>
      <c r="AD596">
        <f t="shared" si="168"/>
        <v>5</v>
      </c>
      <c r="AE596" s="10">
        <f t="shared" si="169"/>
        <v>1</v>
      </c>
      <c r="AF596" s="5">
        <f t="shared" si="162"/>
        <v>1</v>
      </c>
      <c r="AG596" s="5">
        <f t="shared" si="163"/>
        <v>1</v>
      </c>
      <c r="AH596" s="5">
        <f t="shared" si="170"/>
        <v>0</v>
      </c>
      <c r="AI596">
        <f>IF(B596&lt;&gt;"", COUNTIFS($B$2:B596, B596), "")</f>
        <v>27</v>
      </c>
      <c r="AJ596">
        <f t="shared" si="171"/>
        <v>5</v>
      </c>
      <c r="AK596">
        <f t="shared" si="164"/>
        <v>5</v>
      </c>
      <c r="AL596">
        <f t="shared" si="172"/>
        <v>9</v>
      </c>
      <c r="AM596" t="str">
        <f t="shared" si="173"/>
        <v>September</v>
      </c>
      <c r="AN596">
        <f t="shared" si="174"/>
        <v>2023</v>
      </c>
      <c r="AO596" t="str">
        <f t="shared" si="175"/>
        <v>&gt;3</v>
      </c>
      <c r="AP596" t="str">
        <f t="shared" si="176"/>
        <v>&gt;3</v>
      </c>
      <c r="AQ596" t="str">
        <f t="shared" si="177"/>
        <v>&gt;3</v>
      </c>
    </row>
    <row r="597" spans="1:43" x14ac:dyDescent="0.3">
      <c r="A597" t="s">
        <v>33</v>
      </c>
      <c r="B597" t="s">
        <v>366</v>
      </c>
      <c r="C597" t="s">
        <v>540</v>
      </c>
      <c r="D597">
        <v>4056</v>
      </c>
      <c r="E597">
        <v>23210591</v>
      </c>
      <c r="F597" t="s">
        <v>392</v>
      </c>
      <c r="G597" t="s">
        <v>393</v>
      </c>
      <c r="H597">
        <v>100</v>
      </c>
      <c r="I597">
        <v>9850</v>
      </c>
      <c r="J597">
        <v>985000</v>
      </c>
      <c r="K597" s="7" t="str">
        <f>IFERROR(IF(B597&lt;&gt;"", TEXT(VLOOKUP(B597, 'Expected Date'!A:B, 2, FALSE) + DATE(RIGHT(C597,2),MID(C597,4,2),LEFT(C597,2)), "dd/mm/yy"), ""), "")</f>
        <v>29/08/23</v>
      </c>
      <c r="L597" t="s">
        <v>38</v>
      </c>
      <c r="M597" t="s">
        <v>48</v>
      </c>
      <c r="N597" t="s">
        <v>370</v>
      </c>
      <c r="O597" t="s">
        <v>178</v>
      </c>
      <c r="P597">
        <v>23291306</v>
      </c>
      <c r="Q597" t="s">
        <v>392</v>
      </c>
      <c r="R597" t="s">
        <v>393</v>
      </c>
      <c r="S597">
        <v>13.42</v>
      </c>
      <c r="T597">
        <v>9850</v>
      </c>
      <c r="U597">
        <v>132187</v>
      </c>
      <c r="V597" t="str">
        <f t="shared" si="161"/>
        <v>Dahej</v>
      </c>
      <c r="W597" t="str">
        <f>VLOOKUP(B597, Currency!A:B, 2, FALSE)</f>
        <v>INR</v>
      </c>
      <c r="X597" t="str">
        <f t="shared" si="160"/>
        <v>Accepted</v>
      </c>
      <c r="Y597">
        <f>IFERROR(VLOOKUP(N597, Payment_Terms!A:B, 2, FALSE), "Payment term not found!")</f>
        <v>15</v>
      </c>
      <c r="Z597" t="str">
        <f>IFERROR(VLOOKUP(R597, Item_Category!A:B, 2, FALSE), "Uncategorized")</f>
        <v>Coal materials</v>
      </c>
      <c r="AA597" s="5">
        <f t="shared" si="165"/>
        <v>0</v>
      </c>
      <c r="AB597">
        <f t="shared" si="166"/>
        <v>5</v>
      </c>
      <c r="AC597" s="10">
        <f t="shared" si="167"/>
        <v>3</v>
      </c>
      <c r="AD597">
        <f t="shared" si="168"/>
        <v>4</v>
      </c>
      <c r="AE597" s="10">
        <f t="shared" si="169"/>
        <v>5</v>
      </c>
      <c r="AF597" s="5">
        <f t="shared" si="162"/>
        <v>1</v>
      </c>
      <c r="AG597" s="5">
        <f t="shared" si="163"/>
        <v>1</v>
      </c>
      <c r="AH597" s="5">
        <f t="shared" si="170"/>
        <v>0</v>
      </c>
      <c r="AI597">
        <f>IF(B597&lt;&gt;"", COUNTIFS($B$2:B597, B597), "")</f>
        <v>64</v>
      </c>
      <c r="AJ597">
        <f t="shared" si="171"/>
        <v>5</v>
      </c>
      <c r="AK597">
        <f t="shared" si="164"/>
        <v>5</v>
      </c>
      <c r="AL597">
        <f t="shared" si="172"/>
        <v>8</v>
      </c>
      <c r="AM597" t="str">
        <f t="shared" si="173"/>
        <v>August</v>
      </c>
      <c r="AN597">
        <f t="shared" si="174"/>
        <v>2023</v>
      </c>
      <c r="AO597" t="str">
        <f t="shared" si="175"/>
        <v>&gt;3</v>
      </c>
      <c r="AP597" t="str">
        <f t="shared" si="176"/>
        <v>&gt;3</v>
      </c>
      <c r="AQ597" t="str">
        <f t="shared" si="177"/>
        <v>&gt;3</v>
      </c>
    </row>
    <row r="598" spans="1:43" x14ac:dyDescent="0.3">
      <c r="A598" t="str">
        <f>A304</f>
        <v>Woodpulp</v>
      </c>
      <c r="B598" t="s">
        <v>96</v>
      </c>
      <c r="C598" t="s">
        <v>71</v>
      </c>
      <c r="D598">
        <v>2706</v>
      </c>
      <c r="E598">
        <v>23220032</v>
      </c>
      <c r="F598" t="s">
        <v>389</v>
      </c>
      <c r="G598" t="s">
        <v>390</v>
      </c>
      <c r="H598">
        <v>78</v>
      </c>
      <c r="I598">
        <v>950</v>
      </c>
      <c r="J598">
        <v>6053970</v>
      </c>
      <c r="K598" s="7" t="str">
        <f>IFERROR(IF(B598&lt;&gt;"", TEXT(VLOOKUP(B598, 'Expected Date'!A:B, 2, FALSE) + DATE(RIGHT(C598,2),MID(C598,4,2),LEFT(C598,2)), "dd/mm/yy"), ""), "")</f>
        <v>21/08/23</v>
      </c>
      <c r="L598" t="s">
        <v>68</v>
      </c>
      <c r="M598" t="str">
        <f>M355</f>
        <v>MT</v>
      </c>
      <c r="N598" t="s">
        <v>102</v>
      </c>
      <c r="O598" t="s">
        <v>547</v>
      </c>
      <c r="P598">
        <v>23291810</v>
      </c>
      <c r="Q598" t="s">
        <v>389</v>
      </c>
      <c r="R598" t="s">
        <v>390</v>
      </c>
      <c r="S598">
        <v>76.647000000000006</v>
      </c>
      <c r="T598">
        <v>950</v>
      </c>
      <c r="U598">
        <v>5999927.1600000001</v>
      </c>
      <c r="V598" t="str">
        <f t="shared" si="161"/>
        <v>Dahej</v>
      </c>
      <c r="W598" t="str">
        <f>VLOOKUP(B598, Currency!A:B, 2, FALSE)</f>
        <v>USD</v>
      </c>
      <c r="X598" t="str">
        <f t="shared" si="160"/>
        <v>Accepted</v>
      </c>
      <c r="Y598">
        <f>IFERROR(VLOOKUP(N598, Payment_Terms!A:B, 2, FALSE), "Payment term not found!")</f>
        <v>60</v>
      </c>
      <c r="Z598" t="str">
        <f>IFERROR(VLOOKUP(R598, Item_Category!A:B, 2, FALSE), "Uncategorized")</f>
        <v>Wood pulp</v>
      </c>
      <c r="AA598" s="5">
        <f t="shared" si="165"/>
        <v>1.7346153846153775E-2</v>
      </c>
      <c r="AB598">
        <f t="shared" si="166"/>
        <v>4</v>
      </c>
      <c r="AC598" s="10">
        <f t="shared" si="167"/>
        <v>59</v>
      </c>
      <c r="AD598">
        <f t="shared" si="168"/>
        <v>1</v>
      </c>
      <c r="AE598" s="10">
        <f t="shared" si="169"/>
        <v>119</v>
      </c>
      <c r="AF598" s="5">
        <f t="shared" si="162"/>
        <v>1</v>
      </c>
      <c r="AG598" s="5">
        <f t="shared" si="163"/>
        <v>1</v>
      </c>
      <c r="AH598" s="5">
        <f t="shared" si="170"/>
        <v>0</v>
      </c>
      <c r="AI598">
        <f>IF(B598&lt;&gt;"", COUNTIFS($B$2:B598, B598), "")</f>
        <v>16</v>
      </c>
      <c r="AJ598">
        <f t="shared" si="171"/>
        <v>5</v>
      </c>
      <c r="AK598">
        <f t="shared" si="164"/>
        <v>4</v>
      </c>
      <c r="AL598">
        <f t="shared" si="172"/>
        <v>6</v>
      </c>
      <c r="AM598" t="str">
        <f t="shared" si="173"/>
        <v>June</v>
      </c>
      <c r="AN598">
        <f t="shared" si="174"/>
        <v>2023</v>
      </c>
      <c r="AO598" t="str">
        <f t="shared" si="175"/>
        <v>&gt;3</v>
      </c>
      <c r="AP598" t="str">
        <f t="shared" si="176"/>
        <v>&gt;3</v>
      </c>
      <c r="AQ598" t="str">
        <f t="shared" si="177"/>
        <v>&lt;=3</v>
      </c>
    </row>
    <row r="599" spans="1:43" x14ac:dyDescent="0.3">
      <c r="A599" t="s">
        <v>33</v>
      </c>
      <c r="B599" t="s">
        <v>122</v>
      </c>
      <c r="C599" t="s">
        <v>324</v>
      </c>
      <c r="D599">
        <v>2545</v>
      </c>
      <c r="E599">
        <v>23210316</v>
      </c>
      <c r="F599" t="s">
        <v>362</v>
      </c>
      <c r="G599" t="s">
        <v>363</v>
      </c>
      <c r="H599">
        <v>400</v>
      </c>
      <c r="I599">
        <v>1900</v>
      </c>
      <c r="J599">
        <v>760000</v>
      </c>
      <c r="K599" s="7" t="str">
        <f>IFERROR(IF(B599&lt;&gt;"", TEXT(VLOOKUP(B599, 'Expected Date'!A:B, 2, FALSE) + DATE(RIGHT(C599,2),MID(C599,4,2),LEFT(C599,2)), "dd/mm/yy"), ""), "")</f>
        <v>05/07/23</v>
      </c>
      <c r="L599" t="s">
        <v>38</v>
      </c>
      <c r="M599" t="s">
        <v>39</v>
      </c>
      <c r="N599" t="s">
        <v>364</v>
      </c>
      <c r="O599" t="s">
        <v>59</v>
      </c>
      <c r="P599">
        <v>23291022</v>
      </c>
      <c r="Q599" t="s">
        <v>362</v>
      </c>
      <c r="R599" t="s">
        <v>363</v>
      </c>
      <c r="S599">
        <v>80</v>
      </c>
      <c r="T599">
        <v>1900</v>
      </c>
      <c r="U599">
        <v>152000</v>
      </c>
      <c r="V599" t="str">
        <f t="shared" si="161"/>
        <v>Dahej</v>
      </c>
      <c r="W599" t="str">
        <f>VLOOKUP(B599, Currency!A:B, 2, FALSE)</f>
        <v>INR</v>
      </c>
      <c r="X599" t="str">
        <f t="shared" si="160"/>
        <v>Accepted</v>
      </c>
      <c r="Y599">
        <f>IFERROR(VLOOKUP(N599, Payment_Terms!A:B, 2, FALSE), "Payment term not found!")</f>
        <v>30</v>
      </c>
      <c r="Z599" t="str">
        <f>IFERROR(VLOOKUP(R599, Item_Category!A:B, 2, FALSE), "Uncategorized")</f>
        <v>Pallets</v>
      </c>
      <c r="AA599" s="5">
        <f t="shared" si="165"/>
        <v>0</v>
      </c>
      <c r="AB599">
        <f t="shared" si="166"/>
        <v>5</v>
      </c>
      <c r="AC599" s="10">
        <f t="shared" si="167"/>
        <v>31</v>
      </c>
      <c r="AD599">
        <f t="shared" si="168"/>
        <v>1</v>
      </c>
      <c r="AE599" s="10">
        <f t="shared" si="169"/>
        <v>46</v>
      </c>
      <c r="AF599" s="5">
        <f t="shared" si="162"/>
        <v>1</v>
      </c>
      <c r="AG599" s="5">
        <f t="shared" si="163"/>
        <v>1</v>
      </c>
      <c r="AH599" s="5">
        <f t="shared" si="170"/>
        <v>0</v>
      </c>
      <c r="AI599">
        <f>IF(B599&lt;&gt;"", COUNTIFS($B$2:B599, B599), "")</f>
        <v>32</v>
      </c>
      <c r="AJ599">
        <f t="shared" si="171"/>
        <v>5</v>
      </c>
      <c r="AK599">
        <f t="shared" si="164"/>
        <v>4</v>
      </c>
      <c r="AL599">
        <f t="shared" si="172"/>
        <v>6</v>
      </c>
      <c r="AM599" t="str">
        <f t="shared" si="173"/>
        <v>June</v>
      </c>
      <c r="AN599">
        <f t="shared" si="174"/>
        <v>2023</v>
      </c>
      <c r="AO599" t="str">
        <f t="shared" si="175"/>
        <v>&gt;3</v>
      </c>
      <c r="AP599" t="str">
        <f t="shared" si="176"/>
        <v>&gt;3</v>
      </c>
      <c r="AQ599" t="str">
        <f t="shared" si="177"/>
        <v>&lt;=3</v>
      </c>
    </row>
    <row r="600" spans="1:43" x14ac:dyDescent="0.3">
      <c r="A600" t="s">
        <v>33</v>
      </c>
      <c r="B600" t="s">
        <v>122</v>
      </c>
      <c r="C600" t="s">
        <v>281</v>
      </c>
      <c r="D600">
        <v>4184</v>
      </c>
      <c r="E600">
        <v>23210616</v>
      </c>
      <c r="F600" t="s">
        <v>405</v>
      </c>
      <c r="G600" t="s">
        <v>406</v>
      </c>
      <c r="H600">
        <v>600</v>
      </c>
      <c r="I600">
        <v>930</v>
      </c>
      <c r="J600">
        <v>558000</v>
      </c>
      <c r="K600" s="7" t="str">
        <f>IFERROR(IF(B600&lt;&gt;"", TEXT(VLOOKUP(B600, 'Expected Date'!A:B, 2, FALSE) + DATE(RIGHT(C600,2),MID(C600,4,2),LEFT(C600,2)), "dd/mm/yy"), ""), "")</f>
        <v>20/09/23</v>
      </c>
      <c r="L600" t="s">
        <v>38</v>
      </c>
      <c r="M600" t="s">
        <v>39</v>
      </c>
      <c r="N600" t="s">
        <v>364</v>
      </c>
      <c r="O600" t="s">
        <v>229</v>
      </c>
      <c r="P600">
        <v>23291564</v>
      </c>
      <c r="Q600" t="s">
        <v>405</v>
      </c>
      <c r="R600" t="s">
        <v>406</v>
      </c>
      <c r="S600">
        <v>110</v>
      </c>
      <c r="T600">
        <v>930</v>
      </c>
      <c r="U600">
        <v>102300</v>
      </c>
      <c r="V600" t="str">
        <f t="shared" si="161"/>
        <v>Dahej</v>
      </c>
      <c r="W600" t="str">
        <f>VLOOKUP(B600, Currency!A:B, 2, FALSE)</f>
        <v>INR</v>
      </c>
      <c r="X600" t="str">
        <f t="shared" si="160"/>
        <v>Accepted</v>
      </c>
      <c r="Y600">
        <f>IFERROR(VLOOKUP(N600, Payment_Terms!A:B, 2, FALSE), "Payment term not found!")</f>
        <v>30</v>
      </c>
      <c r="Z600" t="str">
        <f>IFERROR(VLOOKUP(R600, Item_Category!A:B, 2, FALSE), "Uncategorized")</f>
        <v>Pallets</v>
      </c>
      <c r="AA600" s="5">
        <f t="shared" si="165"/>
        <v>0</v>
      </c>
      <c r="AB600">
        <f t="shared" si="166"/>
        <v>5</v>
      </c>
      <c r="AC600" s="10">
        <f t="shared" si="167"/>
        <v>10</v>
      </c>
      <c r="AD600">
        <f t="shared" si="168"/>
        <v>2</v>
      </c>
      <c r="AE600" s="10">
        <f t="shared" si="169"/>
        <v>25</v>
      </c>
      <c r="AF600" s="5">
        <f t="shared" si="162"/>
        <v>1</v>
      </c>
      <c r="AG600" s="5">
        <f t="shared" si="163"/>
        <v>1</v>
      </c>
      <c r="AH600" s="5">
        <f t="shared" si="170"/>
        <v>0</v>
      </c>
      <c r="AI600">
        <f>IF(B600&lt;&gt;"", COUNTIFS($B$2:B600, B600), "")</f>
        <v>33</v>
      </c>
      <c r="AJ600">
        <f t="shared" si="171"/>
        <v>5</v>
      </c>
      <c r="AK600">
        <f t="shared" si="164"/>
        <v>5</v>
      </c>
      <c r="AL600">
        <f t="shared" si="172"/>
        <v>9</v>
      </c>
      <c r="AM600" t="str">
        <f t="shared" si="173"/>
        <v>September</v>
      </c>
      <c r="AN600">
        <f t="shared" si="174"/>
        <v>2023</v>
      </c>
      <c r="AO600" t="str">
        <f t="shared" si="175"/>
        <v>&gt;3</v>
      </c>
      <c r="AP600" t="str">
        <f t="shared" si="176"/>
        <v>&gt;3</v>
      </c>
      <c r="AQ600" t="str">
        <f t="shared" si="177"/>
        <v>&lt;=3</v>
      </c>
    </row>
    <row r="601" spans="1:43" x14ac:dyDescent="0.3">
      <c r="A601" t="s">
        <v>33</v>
      </c>
      <c r="B601" t="s">
        <v>122</v>
      </c>
      <c r="C601" t="s">
        <v>519</v>
      </c>
      <c r="D601">
        <v>4691</v>
      </c>
      <c r="E601">
        <v>23210710</v>
      </c>
      <c r="F601" t="s">
        <v>362</v>
      </c>
      <c r="G601" t="s">
        <v>363</v>
      </c>
      <c r="H601">
        <v>400</v>
      </c>
      <c r="I601">
        <v>1900</v>
      </c>
      <c r="J601">
        <v>760000</v>
      </c>
      <c r="K601" s="7" t="str">
        <f>IFERROR(IF(B601&lt;&gt;"", TEXT(VLOOKUP(B601, 'Expected Date'!A:B, 2, FALSE) + DATE(RIGHT(C601,2),MID(C601,4,2),LEFT(C601,2)), "dd/mm/yy"), ""), "")</f>
        <v>14/10/23</v>
      </c>
      <c r="L601" t="s">
        <v>38</v>
      </c>
      <c r="M601" t="s">
        <v>39</v>
      </c>
      <c r="N601" t="s">
        <v>364</v>
      </c>
      <c r="O601" t="s">
        <v>547</v>
      </c>
      <c r="P601">
        <v>23291806</v>
      </c>
      <c r="Q601" t="s">
        <v>362</v>
      </c>
      <c r="R601" t="s">
        <v>363</v>
      </c>
      <c r="S601">
        <v>170</v>
      </c>
      <c r="T601">
        <v>1900</v>
      </c>
      <c r="U601">
        <v>323000</v>
      </c>
      <c r="V601" t="str">
        <f t="shared" si="161"/>
        <v>Dahej</v>
      </c>
      <c r="W601" t="str">
        <f>VLOOKUP(B601, Currency!A:B, 2, FALSE)</f>
        <v>INR</v>
      </c>
      <c r="X601" t="str">
        <f t="shared" si="160"/>
        <v>Accepted</v>
      </c>
      <c r="Y601">
        <f>IFERROR(VLOOKUP(N601, Payment_Terms!A:B, 2, FALSE), "Payment term not found!")</f>
        <v>30</v>
      </c>
      <c r="Z601" t="str">
        <f>IFERROR(VLOOKUP(R601, Item_Category!A:B, 2, FALSE), "Uncategorized")</f>
        <v>Pallets</v>
      </c>
      <c r="AA601" s="5">
        <f t="shared" si="165"/>
        <v>0</v>
      </c>
      <c r="AB601">
        <f t="shared" si="166"/>
        <v>5</v>
      </c>
      <c r="AC601" s="10">
        <f t="shared" si="167"/>
        <v>5</v>
      </c>
      <c r="AD601">
        <f t="shared" si="168"/>
        <v>3</v>
      </c>
      <c r="AE601" s="10">
        <f t="shared" si="169"/>
        <v>20</v>
      </c>
      <c r="AF601" s="5">
        <f t="shared" si="162"/>
        <v>1</v>
      </c>
      <c r="AG601" s="5">
        <f t="shared" si="163"/>
        <v>1</v>
      </c>
      <c r="AH601" s="5">
        <f t="shared" si="170"/>
        <v>0</v>
      </c>
      <c r="AI601">
        <f>IF(B601&lt;&gt;"", COUNTIFS($B$2:B601, B601), "")</f>
        <v>34</v>
      </c>
      <c r="AJ601">
        <f t="shared" si="171"/>
        <v>5</v>
      </c>
      <c r="AK601">
        <f t="shared" si="164"/>
        <v>5</v>
      </c>
      <c r="AL601">
        <f t="shared" si="172"/>
        <v>9</v>
      </c>
      <c r="AM601" t="str">
        <f t="shared" si="173"/>
        <v>September</v>
      </c>
      <c r="AN601">
        <f t="shared" si="174"/>
        <v>2023</v>
      </c>
      <c r="AO601" t="str">
        <f t="shared" si="175"/>
        <v>&gt;3</v>
      </c>
      <c r="AP601" t="str">
        <f t="shared" si="176"/>
        <v>&gt;3</v>
      </c>
      <c r="AQ601" t="str">
        <f t="shared" si="177"/>
        <v>&lt;=3</v>
      </c>
    </row>
    <row r="602" spans="1:43" x14ac:dyDescent="0.3">
      <c r="A602" t="s">
        <v>33</v>
      </c>
      <c r="B602" t="s">
        <v>122</v>
      </c>
      <c r="C602" t="s">
        <v>536</v>
      </c>
      <c r="D602">
        <v>4671</v>
      </c>
      <c r="E602">
        <v>23210707</v>
      </c>
      <c r="F602" t="s">
        <v>405</v>
      </c>
      <c r="G602" t="s">
        <v>406</v>
      </c>
      <c r="H602">
        <v>600</v>
      </c>
      <c r="I602">
        <v>930</v>
      </c>
      <c r="J602">
        <v>558000</v>
      </c>
      <c r="K602" s="7" t="str">
        <f>IFERROR(IF(B602&lt;&gt;"", TEXT(VLOOKUP(B602, 'Expected Date'!A:B, 2, FALSE) + DATE(RIGHT(C602,2),MID(C602,4,2),LEFT(C602,2)), "dd/mm/yy"), ""), "")</f>
        <v>12/10/23</v>
      </c>
      <c r="L602" t="s">
        <v>68</v>
      </c>
      <c r="M602" t="s">
        <v>39</v>
      </c>
      <c r="N602" t="s">
        <v>364</v>
      </c>
      <c r="O602" t="s">
        <v>544</v>
      </c>
      <c r="P602">
        <v>23291811</v>
      </c>
      <c r="Q602" t="s">
        <v>405</v>
      </c>
      <c r="R602" t="s">
        <v>406</v>
      </c>
      <c r="S602">
        <v>180</v>
      </c>
      <c r="T602">
        <v>930</v>
      </c>
      <c r="U602">
        <v>167400</v>
      </c>
      <c r="V602" t="str">
        <f t="shared" si="161"/>
        <v>Dahej</v>
      </c>
      <c r="W602" t="str">
        <f>VLOOKUP(B602, Currency!A:B, 2, FALSE)</f>
        <v>INR</v>
      </c>
      <c r="X602" t="str">
        <f t="shared" si="160"/>
        <v>Accepted</v>
      </c>
      <c r="Y602">
        <f>IFERROR(VLOOKUP(N602, Payment_Terms!A:B, 2, FALSE), "Payment term not found!")</f>
        <v>30</v>
      </c>
      <c r="Z602" t="str">
        <f>IFERROR(VLOOKUP(R602, Item_Category!A:B, 2, FALSE), "Uncategorized")</f>
        <v>Pallets</v>
      </c>
      <c r="AA602" s="5">
        <f t="shared" si="165"/>
        <v>0.28333333333333333</v>
      </c>
      <c r="AB602">
        <f t="shared" si="166"/>
        <v>1</v>
      </c>
      <c r="AC602" s="10">
        <f t="shared" si="167"/>
        <v>8</v>
      </c>
      <c r="AD602">
        <f t="shared" si="168"/>
        <v>2</v>
      </c>
      <c r="AE602" s="10">
        <f t="shared" si="169"/>
        <v>23</v>
      </c>
      <c r="AF602" s="5">
        <f t="shared" si="162"/>
        <v>1</v>
      </c>
      <c r="AG602" s="5">
        <f t="shared" si="163"/>
        <v>1</v>
      </c>
      <c r="AH602" s="5">
        <f t="shared" si="170"/>
        <v>0</v>
      </c>
      <c r="AI602">
        <f>IF(B602&lt;&gt;"", COUNTIFS($B$2:B602, B602), "")</f>
        <v>35</v>
      </c>
      <c r="AJ602">
        <f t="shared" si="171"/>
        <v>5</v>
      </c>
      <c r="AK602">
        <f t="shared" si="164"/>
        <v>3</v>
      </c>
      <c r="AL602">
        <f t="shared" si="172"/>
        <v>9</v>
      </c>
      <c r="AM602" t="str">
        <f t="shared" si="173"/>
        <v>September</v>
      </c>
      <c r="AN602">
        <f t="shared" si="174"/>
        <v>2023</v>
      </c>
      <c r="AO602" t="str">
        <f t="shared" si="175"/>
        <v>&gt;3</v>
      </c>
      <c r="AP602" t="str">
        <f t="shared" si="176"/>
        <v>&lt;=3</v>
      </c>
      <c r="AQ602" t="str">
        <f t="shared" si="177"/>
        <v>&lt;=3</v>
      </c>
    </row>
    <row r="603" spans="1:43" x14ac:dyDescent="0.3">
      <c r="A603" t="s">
        <v>33</v>
      </c>
      <c r="B603" t="s">
        <v>386</v>
      </c>
      <c r="C603" t="s">
        <v>519</v>
      </c>
      <c r="D603">
        <v>4703</v>
      </c>
      <c r="E603">
        <v>23210713</v>
      </c>
      <c r="F603" t="s">
        <v>410</v>
      </c>
      <c r="G603" t="s">
        <v>411</v>
      </c>
      <c r="H603">
        <v>801.89</v>
      </c>
      <c r="I603">
        <v>125</v>
      </c>
      <c r="J603">
        <v>100236.25</v>
      </c>
      <c r="K603" s="7" t="str">
        <f>IFERROR(IF(B603&lt;&gt;"", TEXT(VLOOKUP(B603, 'Expected Date'!A:B, 2, FALSE) + DATE(RIGHT(C603,2),MID(C603,4,2),LEFT(C603,2)), "dd/mm/yy"), ""), "")</f>
        <v>04/10/23</v>
      </c>
      <c r="L603" t="s">
        <v>38</v>
      </c>
      <c r="M603" t="s">
        <v>48</v>
      </c>
      <c r="N603" t="s">
        <v>342</v>
      </c>
      <c r="O603" t="s">
        <v>519</v>
      </c>
      <c r="P603">
        <v>23291552</v>
      </c>
      <c r="Q603" t="s">
        <v>410</v>
      </c>
      <c r="R603" t="s">
        <v>411</v>
      </c>
      <c r="S603">
        <v>801.89</v>
      </c>
      <c r="T603">
        <v>125</v>
      </c>
      <c r="U603">
        <v>100236.25</v>
      </c>
      <c r="V603" t="str">
        <f t="shared" si="161"/>
        <v>Dahej</v>
      </c>
      <c r="W603" t="str">
        <f>VLOOKUP(B603, Currency!A:B, 2, FALSE)</f>
        <v>INR</v>
      </c>
      <c r="X603" t="str">
        <f t="shared" si="160"/>
        <v>Accepted</v>
      </c>
      <c r="Y603">
        <f>IFERROR(VLOOKUP(N603, Payment_Terms!A:B, 2, FALSE), "Payment term not found!")</f>
        <v>30</v>
      </c>
      <c r="Z603" t="str">
        <f>IFERROR(VLOOKUP(R603, Item_Category!A:B, 2, FALSE), "Uncategorized")</f>
        <v>Wrapping 23</v>
      </c>
      <c r="AA603" s="5">
        <f t="shared" si="165"/>
        <v>0</v>
      </c>
      <c r="AB603">
        <f t="shared" si="166"/>
        <v>5</v>
      </c>
      <c r="AC603" s="10">
        <f t="shared" si="167"/>
        <v>-5</v>
      </c>
      <c r="AD603">
        <f t="shared" si="168"/>
        <v>5</v>
      </c>
      <c r="AE603" s="10">
        <f t="shared" si="169"/>
        <v>0</v>
      </c>
      <c r="AF603" s="5">
        <f t="shared" si="162"/>
        <v>1</v>
      </c>
      <c r="AG603" s="5">
        <f t="shared" si="163"/>
        <v>1</v>
      </c>
      <c r="AH603" s="5">
        <f t="shared" si="170"/>
        <v>0</v>
      </c>
      <c r="AI603">
        <f>IF(B603&lt;&gt;"", COUNTIFS($B$2:B603, B603), "")</f>
        <v>28</v>
      </c>
      <c r="AJ603">
        <f t="shared" si="171"/>
        <v>5</v>
      </c>
      <c r="AK603">
        <f t="shared" si="164"/>
        <v>5</v>
      </c>
      <c r="AL603">
        <f t="shared" si="172"/>
        <v>9</v>
      </c>
      <c r="AM603" t="str">
        <f t="shared" si="173"/>
        <v>September</v>
      </c>
      <c r="AN603">
        <f t="shared" si="174"/>
        <v>2023</v>
      </c>
      <c r="AO603" t="str">
        <f t="shared" si="175"/>
        <v>&gt;3</v>
      </c>
      <c r="AP603" t="str">
        <f t="shared" si="176"/>
        <v>&gt;3</v>
      </c>
      <c r="AQ603" t="str">
        <f t="shared" si="177"/>
        <v>&gt;3</v>
      </c>
    </row>
    <row r="604" spans="1:43" x14ac:dyDescent="0.3">
      <c r="A604" t="s">
        <v>111</v>
      </c>
      <c r="B604" t="s">
        <v>296</v>
      </c>
      <c r="C604" t="s">
        <v>154</v>
      </c>
      <c r="D604">
        <v>4497</v>
      </c>
      <c r="E604">
        <v>23220059</v>
      </c>
      <c r="F604" t="s">
        <v>445</v>
      </c>
      <c r="G604" t="s">
        <v>446</v>
      </c>
      <c r="H604">
        <v>2000</v>
      </c>
      <c r="I604">
        <v>205</v>
      </c>
      <c r="J604">
        <v>410000</v>
      </c>
      <c r="K604" s="7" t="str">
        <f>IFERROR(IF(B604&lt;&gt;"", TEXT(VLOOKUP(B604, 'Expected Date'!A:B, 2, FALSE) + DATE(RIGHT(C604,2),MID(C604,4,2),LEFT(C604,2)), "dd/mm/yy"), ""), "")</f>
        <v>05/10/23</v>
      </c>
      <c r="L604" t="s">
        <v>38</v>
      </c>
      <c r="M604" t="s">
        <v>48</v>
      </c>
      <c r="N604" t="s">
        <v>381</v>
      </c>
      <c r="O604" t="s">
        <v>548</v>
      </c>
      <c r="P604">
        <v>23291558</v>
      </c>
      <c r="Q604" t="s">
        <v>445</v>
      </c>
      <c r="R604" t="s">
        <v>446</v>
      </c>
      <c r="S604">
        <v>2000</v>
      </c>
      <c r="T604">
        <v>205</v>
      </c>
      <c r="U604">
        <v>410000</v>
      </c>
      <c r="V604" t="str">
        <f t="shared" si="161"/>
        <v>Dahej</v>
      </c>
      <c r="W604" t="str">
        <f>VLOOKUP(B604, Currency!A:B, 2, FALSE)</f>
        <v>INR</v>
      </c>
      <c r="X604" t="str">
        <f t="shared" si="161"/>
        <v>Accepted</v>
      </c>
      <c r="Y604">
        <f>IFERROR(VLOOKUP(N604, Payment_Terms!A:B, 2, FALSE), "Payment term not found!")</f>
        <v>30</v>
      </c>
      <c r="Z604" t="str">
        <f>IFERROR(VLOOKUP(R604, Item_Category!A:B, 2, FALSE), "Uncategorized")</f>
        <v>SSG - Potato</v>
      </c>
      <c r="AA604" s="5">
        <f t="shared" si="165"/>
        <v>0</v>
      </c>
      <c r="AB604">
        <f t="shared" si="166"/>
        <v>5</v>
      </c>
      <c r="AC604" s="10">
        <f t="shared" si="167"/>
        <v>-3</v>
      </c>
      <c r="AD604">
        <f t="shared" si="168"/>
        <v>5</v>
      </c>
      <c r="AE604" s="10">
        <f t="shared" si="169"/>
        <v>12</v>
      </c>
      <c r="AF604" s="5">
        <f t="shared" si="162"/>
        <v>1</v>
      </c>
      <c r="AG604" s="5">
        <f t="shared" si="163"/>
        <v>1</v>
      </c>
      <c r="AH604" s="5">
        <f t="shared" si="170"/>
        <v>0</v>
      </c>
      <c r="AI604">
        <f>IF(B604&lt;&gt;"", COUNTIFS($B$2:B604, B604), "")</f>
        <v>13</v>
      </c>
      <c r="AJ604">
        <f t="shared" si="171"/>
        <v>5</v>
      </c>
      <c r="AK604">
        <f t="shared" si="164"/>
        <v>5</v>
      </c>
      <c r="AL604">
        <f t="shared" si="172"/>
        <v>9</v>
      </c>
      <c r="AM604" t="str">
        <f t="shared" si="173"/>
        <v>September</v>
      </c>
      <c r="AN604">
        <f t="shared" si="174"/>
        <v>2023</v>
      </c>
      <c r="AO604" t="str">
        <f t="shared" si="175"/>
        <v>&gt;3</v>
      </c>
      <c r="AP604" t="str">
        <f t="shared" si="176"/>
        <v>&gt;3</v>
      </c>
      <c r="AQ604" t="str">
        <f t="shared" si="177"/>
        <v>&gt;3</v>
      </c>
    </row>
    <row r="605" spans="1:43" x14ac:dyDescent="0.3">
      <c r="A605" t="s">
        <v>33</v>
      </c>
      <c r="B605" t="str">
        <f>B284</f>
        <v>Ami Enterprises</v>
      </c>
      <c r="C605" t="s">
        <v>320</v>
      </c>
      <c r="D605">
        <v>4705</v>
      </c>
      <c r="E605">
        <v>23210714</v>
      </c>
      <c r="F605" t="s">
        <v>485</v>
      </c>
      <c r="G605" t="s">
        <v>486</v>
      </c>
      <c r="H605">
        <v>810</v>
      </c>
      <c r="I605">
        <v>27.5</v>
      </c>
      <c r="J605">
        <v>22275</v>
      </c>
      <c r="K605" s="7" t="str">
        <f>IFERROR(IF(B605&lt;&gt;"", TEXT(VLOOKUP(B605, 'Expected Date'!A:B, 2, FALSE) + DATE(RIGHT(C605,2),MID(C605,4,2),LEFT(C605,2)), "dd/mm/yy"), ""), "")</f>
        <v>08/10/23</v>
      </c>
      <c r="L605" t="s">
        <v>38</v>
      </c>
      <c r="M605" t="s">
        <v>39</v>
      </c>
      <c r="N605" t="s">
        <v>342</v>
      </c>
      <c r="O605" t="s">
        <v>519</v>
      </c>
      <c r="P605">
        <v>23291553</v>
      </c>
      <c r="Q605" t="s">
        <v>485</v>
      </c>
      <c r="R605" t="s">
        <v>486</v>
      </c>
      <c r="S605">
        <v>810</v>
      </c>
      <c r="T605">
        <v>27.5</v>
      </c>
      <c r="U605">
        <v>22275</v>
      </c>
      <c r="V605" t="str">
        <f t="shared" si="161"/>
        <v>Dahej</v>
      </c>
      <c r="W605" t="str">
        <f>VLOOKUP(B605, Currency!A:B, 2, FALSE)</f>
        <v>INR</v>
      </c>
      <c r="X605" t="str">
        <f t="shared" si="161"/>
        <v>Accepted</v>
      </c>
      <c r="Y605">
        <f>IFERROR(VLOOKUP(N605, Payment_Terms!A:B, 2, FALSE), "Payment term not found!")</f>
        <v>30</v>
      </c>
      <c r="Z605" t="str">
        <f>IFERROR(VLOOKUP(R605, Item_Category!A:B, 2, FALSE), "Uncategorized")</f>
        <v>Liner</v>
      </c>
      <c r="AA605" s="5">
        <f t="shared" si="165"/>
        <v>0</v>
      </c>
      <c r="AB605">
        <f t="shared" si="166"/>
        <v>5</v>
      </c>
      <c r="AC605" s="10">
        <f t="shared" si="167"/>
        <v>-9</v>
      </c>
      <c r="AD605">
        <f t="shared" si="168"/>
        <v>5</v>
      </c>
      <c r="AE605" s="10">
        <f t="shared" si="169"/>
        <v>1</v>
      </c>
      <c r="AF605" s="5">
        <f t="shared" si="162"/>
        <v>1</v>
      </c>
      <c r="AG605" s="5">
        <f t="shared" si="163"/>
        <v>1</v>
      </c>
      <c r="AH605" s="5">
        <f t="shared" si="170"/>
        <v>0</v>
      </c>
      <c r="AI605">
        <f>IF(B605&lt;&gt;"", COUNTIFS($B$2:B605, B605), "")</f>
        <v>41</v>
      </c>
      <c r="AJ605">
        <f t="shared" si="171"/>
        <v>5</v>
      </c>
      <c r="AK605">
        <f t="shared" si="164"/>
        <v>5</v>
      </c>
      <c r="AL605">
        <f t="shared" si="172"/>
        <v>9</v>
      </c>
      <c r="AM605" t="str">
        <f t="shared" si="173"/>
        <v>September</v>
      </c>
      <c r="AN605">
        <f t="shared" si="174"/>
        <v>2023</v>
      </c>
      <c r="AO605" t="str">
        <f t="shared" si="175"/>
        <v>&gt;3</v>
      </c>
      <c r="AP605" t="str">
        <f t="shared" si="176"/>
        <v>&gt;3</v>
      </c>
      <c r="AQ605" t="str">
        <f t="shared" si="177"/>
        <v>&gt;3</v>
      </c>
    </row>
    <row r="606" spans="1:43" x14ac:dyDescent="0.3">
      <c r="A606" t="s">
        <v>33</v>
      </c>
      <c r="B606" t="s">
        <v>358</v>
      </c>
      <c r="C606" t="s">
        <v>229</v>
      </c>
      <c r="D606">
        <v>4730</v>
      </c>
      <c r="E606">
        <v>23220070</v>
      </c>
      <c r="F606" t="s">
        <v>443</v>
      </c>
      <c r="G606" t="s">
        <v>99</v>
      </c>
      <c r="H606">
        <v>40</v>
      </c>
      <c r="I606">
        <v>72090</v>
      </c>
      <c r="J606">
        <v>2883600</v>
      </c>
      <c r="K606" s="7" t="str">
        <f>IFERROR(IF(B606&lt;&gt;"", TEXT(VLOOKUP(B606, 'Expected Date'!A:B, 2, FALSE) + DATE(RIGHT(C606,2),MID(C606,4,2),LEFT(C606,2)), "dd/mm/yy"), ""), "")</f>
        <v>02/10/23</v>
      </c>
      <c r="L606" t="s">
        <v>38</v>
      </c>
      <c r="M606" t="s">
        <v>48</v>
      </c>
      <c r="N606" t="s">
        <v>361</v>
      </c>
      <c r="O606" t="s">
        <v>516</v>
      </c>
      <c r="P606">
        <v>23291561</v>
      </c>
      <c r="Q606" t="s">
        <v>443</v>
      </c>
      <c r="R606" t="s">
        <v>99</v>
      </c>
      <c r="S606">
        <v>20.268000000000001</v>
      </c>
      <c r="T606">
        <v>72090</v>
      </c>
      <c r="U606">
        <v>1461120.12</v>
      </c>
      <c r="V606" t="str">
        <f t="shared" ref="V606:X623" si="178">V605</f>
        <v>Dahej</v>
      </c>
      <c r="W606" t="str">
        <f>VLOOKUP(B606, Currency!A:B, 2, FALSE)</f>
        <v>INR</v>
      </c>
      <c r="X606" t="str">
        <f t="shared" si="178"/>
        <v>Accepted</v>
      </c>
      <c r="Y606">
        <f>IFERROR(VLOOKUP(N606, Payment_Terms!A:B, 2, FALSE), "Payment term not found!")</f>
        <v>0</v>
      </c>
      <c r="Z606" t="str">
        <f>IFERROR(VLOOKUP(R606, Item_Category!A:B, 2, FALSE), "Uncategorized")</f>
        <v>Wood pulp</v>
      </c>
      <c r="AA606" s="5">
        <f t="shared" si="165"/>
        <v>0</v>
      </c>
      <c r="AB606">
        <f t="shared" si="166"/>
        <v>5</v>
      </c>
      <c r="AC606" s="10">
        <f t="shared" si="167"/>
        <v>-1</v>
      </c>
      <c r="AD606">
        <f t="shared" si="168"/>
        <v>5</v>
      </c>
      <c r="AE606" s="10">
        <f t="shared" si="169"/>
        <v>1</v>
      </c>
      <c r="AF606" s="5">
        <f t="shared" si="162"/>
        <v>1</v>
      </c>
      <c r="AG606" s="5">
        <f t="shared" si="163"/>
        <v>1</v>
      </c>
      <c r="AH606" s="5">
        <f t="shared" si="170"/>
        <v>0</v>
      </c>
      <c r="AI606">
        <f>IF(B606&lt;&gt;"", COUNTIFS($B$2:B606, B606), "")</f>
        <v>4</v>
      </c>
      <c r="AJ606">
        <f t="shared" si="171"/>
        <v>5</v>
      </c>
      <c r="AK606">
        <f t="shared" si="164"/>
        <v>5</v>
      </c>
      <c r="AL606">
        <f t="shared" si="172"/>
        <v>9</v>
      </c>
      <c r="AM606" t="str">
        <f t="shared" si="173"/>
        <v>September</v>
      </c>
      <c r="AN606">
        <f t="shared" si="174"/>
        <v>2023</v>
      </c>
      <c r="AO606" t="str">
        <f t="shared" si="175"/>
        <v>&gt;3</v>
      </c>
      <c r="AP606" t="str">
        <f t="shared" si="176"/>
        <v>&gt;3</v>
      </c>
      <c r="AQ606" t="str">
        <f t="shared" si="177"/>
        <v>&gt;3</v>
      </c>
    </row>
    <row r="607" spans="1:43" x14ac:dyDescent="0.3">
      <c r="A607" t="s">
        <v>33</v>
      </c>
      <c r="B607" t="s">
        <v>122</v>
      </c>
      <c r="C607" t="s">
        <v>536</v>
      </c>
      <c r="D607">
        <v>4671</v>
      </c>
      <c r="E607">
        <v>23210707</v>
      </c>
      <c r="F607" t="s">
        <v>405</v>
      </c>
      <c r="G607" t="s">
        <v>406</v>
      </c>
      <c r="H607">
        <v>600</v>
      </c>
      <c r="I607">
        <v>930</v>
      </c>
      <c r="J607">
        <v>558000</v>
      </c>
      <c r="K607" s="7" t="str">
        <f>IFERROR(IF(B607&lt;&gt;"", TEXT(VLOOKUP(B607, 'Expected Date'!A:B, 2, FALSE) + DATE(RIGHT(C607,2),MID(C607,4,2),LEFT(C607,2)), "dd/mm/yy"), ""), "")</f>
        <v>12/10/23</v>
      </c>
      <c r="L607" t="s">
        <v>68</v>
      </c>
      <c r="M607" t="s">
        <v>39</v>
      </c>
      <c r="N607" t="s">
        <v>364</v>
      </c>
      <c r="O607" t="s">
        <v>229</v>
      </c>
      <c r="P607">
        <v>23291564</v>
      </c>
      <c r="Q607" t="s">
        <v>405</v>
      </c>
      <c r="R607" t="s">
        <v>406</v>
      </c>
      <c r="S607">
        <v>70</v>
      </c>
      <c r="T607">
        <v>930</v>
      </c>
      <c r="U607">
        <v>65100</v>
      </c>
      <c r="V607" t="str">
        <f t="shared" si="178"/>
        <v>Dahej</v>
      </c>
      <c r="W607" t="str">
        <f>VLOOKUP(B607, Currency!A:B, 2, FALSE)</f>
        <v>INR</v>
      </c>
      <c r="X607" t="str">
        <f t="shared" si="178"/>
        <v>Accepted</v>
      </c>
      <c r="Y607">
        <f>IFERROR(VLOOKUP(N607, Payment_Terms!A:B, 2, FALSE), "Payment term not found!")</f>
        <v>30</v>
      </c>
      <c r="Z607" t="str">
        <f>IFERROR(VLOOKUP(R607, Item_Category!A:B, 2, FALSE), "Uncategorized")</f>
        <v>Pallets</v>
      </c>
      <c r="AA607" s="5">
        <f t="shared" si="165"/>
        <v>0.28333333333333333</v>
      </c>
      <c r="AB607">
        <f t="shared" si="166"/>
        <v>1</v>
      </c>
      <c r="AC607" s="10">
        <f t="shared" si="167"/>
        <v>-12</v>
      </c>
      <c r="AD607">
        <f t="shared" si="168"/>
        <v>5</v>
      </c>
      <c r="AE607" s="10">
        <f t="shared" si="169"/>
        <v>3</v>
      </c>
      <c r="AF607" s="5">
        <f t="shared" si="162"/>
        <v>1</v>
      </c>
      <c r="AG607" s="5">
        <f t="shared" si="163"/>
        <v>1</v>
      </c>
      <c r="AH607" s="5">
        <f t="shared" si="170"/>
        <v>0</v>
      </c>
      <c r="AI607">
        <f>IF(B607&lt;&gt;"", COUNTIFS($B$2:B607, B607), "")</f>
        <v>36</v>
      </c>
      <c r="AJ607">
        <f t="shared" si="171"/>
        <v>5</v>
      </c>
      <c r="AK607">
        <f t="shared" si="164"/>
        <v>4</v>
      </c>
      <c r="AL607">
        <f t="shared" si="172"/>
        <v>9</v>
      </c>
      <c r="AM607" t="str">
        <f t="shared" si="173"/>
        <v>September</v>
      </c>
      <c r="AN607">
        <f t="shared" si="174"/>
        <v>2023</v>
      </c>
      <c r="AO607" t="str">
        <f t="shared" si="175"/>
        <v>&gt;3</v>
      </c>
      <c r="AP607" t="str">
        <f t="shared" si="176"/>
        <v>&lt;=3</v>
      </c>
      <c r="AQ607" t="str">
        <f t="shared" si="177"/>
        <v>&gt;3</v>
      </c>
    </row>
    <row r="608" spans="1:43" x14ac:dyDescent="0.3">
      <c r="A608" t="s">
        <v>33</v>
      </c>
      <c r="B608" t="s">
        <v>353</v>
      </c>
      <c r="C608" t="s">
        <v>536</v>
      </c>
      <c r="D608">
        <v>4651</v>
      </c>
      <c r="E608">
        <v>23210702</v>
      </c>
      <c r="F608" t="s">
        <v>355</v>
      </c>
      <c r="G608" t="s">
        <v>356</v>
      </c>
      <c r="H608">
        <v>40000</v>
      </c>
      <c r="I608">
        <v>1.1000000000000001</v>
      </c>
      <c r="J608">
        <v>44000</v>
      </c>
      <c r="K608" s="7" t="str">
        <f>IFERROR(IF(B608&lt;&gt;"", TEXT(VLOOKUP(B608, 'Expected Date'!A:B, 2, FALSE) + DATE(RIGHT(C608,2),MID(C608,4,2),LEFT(C608,2)), "dd/mm/yy"), ""), "")</f>
        <v>29/09/23</v>
      </c>
      <c r="L608" t="s">
        <v>38</v>
      </c>
      <c r="M608" t="s">
        <v>39</v>
      </c>
      <c r="N608" t="s">
        <v>342</v>
      </c>
      <c r="O608" t="s">
        <v>519</v>
      </c>
      <c r="P608">
        <v>23291565</v>
      </c>
      <c r="Q608" t="s">
        <v>355</v>
      </c>
      <c r="R608" t="s">
        <v>356</v>
      </c>
      <c r="S608">
        <v>16000</v>
      </c>
      <c r="T608">
        <v>1.1000000000000001</v>
      </c>
      <c r="U608">
        <v>17600</v>
      </c>
      <c r="V608" t="str">
        <f t="shared" si="178"/>
        <v>Dahej</v>
      </c>
      <c r="W608" t="str">
        <f>VLOOKUP(B608, Currency!A:B, 2, FALSE)</f>
        <v>INR</v>
      </c>
      <c r="X608" t="str">
        <f t="shared" si="178"/>
        <v>Accepted</v>
      </c>
      <c r="Y608">
        <f>IFERROR(VLOOKUP(N608, Payment_Terms!A:B, 2, FALSE), "Payment term not found!")</f>
        <v>30</v>
      </c>
      <c r="Z608" t="str">
        <f>IFERROR(VLOOKUP(R608, Item_Category!A:B, 2, FALSE), "Uncategorized")</f>
        <v>Sticker</v>
      </c>
      <c r="AA608" s="5">
        <f t="shared" si="165"/>
        <v>0</v>
      </c>
      <c r="AB608">
        <f t="shared" si="166"/>
        <v>5</v>
      </c>
      <c r="AC608" s="10">
        <f t="shared" si="167"/>
        <v>0</v>
      </c>
      <c r="AD608">
        <f t="shared" si="168"/>
        <v>5</v>
      </c>
      <c r="AE608" s="10">
        <f t="shared" si="169"/>
        <v>2</v>
      </c>
      <c r="AF608" s="5">
        <f t="shared" si="162"/>
        <v>1</v>
      </c>
      <c r="AG608" s="5">
        <f t="shared" si="163"/>
        <v>1</v>
      </c>
      <c r="AH608" s="5">
        <f t="shared" si="170"/>
        <v>0</v>
      </c>
      <c r="AI608">
        <f>IF(B608&lt;&gt;"", COUNTIFS($B$2:B608, B608), "")</f>
        <v>6</v>
      </c>
      <c r="AJ608">
        <f t="shared" si="171"/>
        <v>5</v>
      </c>
      <c r="AK608">
        <f t="shared" si="164"/>
        <v>5</v>
      </c>
      <c r="AL608">
        <f t="shared" si="172"/>
        <v>9</v>
      </c>
      <c r="AM608" t="str">
        <f t="shared" si="173"/>
        <v>September</v>
      </c>
      <c r="AN608">
        <f t="shared" si="174"/>
        <v>2023</v>
      </c>
      <c r="AO608" t="str">
        <f t="shared" si="175"/>
        <v>&gt;3</v>
      </c>
      <c r="AP608" t="str">
        <f t="shared" si="176"/>
        <v>&gt;3</v>
      </c>
      <c r="AQ608" t="str">
        <f t="shared" si="177"/>
        <v>&gt;3</v>
      </c>
    </row>
    <row r="609" spans="1:43" x14ac:dyDescent="0.3">
      <c r="A609" t="s">
        <v>33</v>
      </c>
      <c r="B609" t="s">
        <v>353</v>
      </c>
      <c r="C609" t="s">
        <v>536</v>
      </c>
      <c r="D609">
        <v>4651</v>
      </c>
      <c r="E609">
        <v>23210702</v>
      </c>
      <c r="F609" t="s">
        <v>355</v>
      </c>
      <c r="G609" t="s">
        <v>356</v>
      </c>
      <c r="H609">
        <v>40000</v>
      </c>
      <c r="I609">
        <v>1.1000000000000001</v>
      </c>
      <c r="J609">
        <v>44000</v>
      </c>
      <c r="K609" s="7" t="str">
        <f>IFERROR(IF(B609&lt;&gt;"", TEXT(VLOOKUP(B609, 'Expected Date'!A:B, 2, FALSE) + DATE(RIGHT(C609,2),MID(C609,4,2),LEFT(C609,2)), "dd/mm/yy"), ""), "")</f>
        <v>29/09/23</v>
      </c>
      <c r="L609" t="s">
        <v>38</v>
      </c>
      <c r="M609" t="s">
        <v>39</v>
      </c>
      <c r="N609" t="s">
        <v>342</v>
      </c>
      <c r="O609" t="s">
        <v>549</v>
      </c>
      <c r="P609">
        <v>23291833</v>
      </c>
      <c r="Q609" t="s">
        <v>355</v>
      </c>
      <c r="R609" t="s">
        <v>356</v>
      </c>
      <c r="S609">
        <v>24000</v>
      </c>
      <c r="T609">
        <v>1.1000000000000001</v>
      </c>
      <c r="U609">
        <v>26400</v>
      </c>
      <c r="V609" t="str">
        <f t="shared" si="178"/>
        <v>Dahej</v>
      </c>
      <c r="W609" t="str">
        <f>VLOOKUP(B609, Currency!A:B, 2, FALSE)</f>
        <v>INR</v>
      </c>
      <c r="X609" t="str">
        <f t="shared" si="178"/>
        <v>Accepted</v>
      </c>
      <c r="Y609">
        <f>IFERROR(VLOOKUP(N609, Payment_Terms!A:B, 2, FALSE), "Payment term not found!")</f>
        <v>30</v>
      </c>
      <c r="Z609" t="str">
        <f>IFERROR(VLOOKUP(R609, Item_Category!A:B, 2, FALSE), "Uncategorized")</f>
        <v>Sticker</v>
      </c>
      <c r="AA609" s="5">
        <f t="shared" si="165"/>
        <v>0</v>
      </c>
      <c r="AB609">
        <f t="shared" si="166"/>
        <v>5</v>
      </c>
      <c r="AC609" s="10">
        <f t="shared" si="167"/>
        <v>22</v>
      </c>
      <c r="AD609">
        <f t="shared" si="168"/>
        <v>1</v>
      </c>
      <c r="AE609" s="10">
        <f t="shared" si="169"/>
        <v>24</v>
      </c>
      <c r="AF609" s="5">
        <f t="shared" si="162"/>
        <v>1</v>
      </c>
      <c r="AG609" s="5">
        <f t="shared" si="163"/>
        <v>1</v>
      </c>
      <c r="AH609" s="5">
        <f t="shared" si="170"/>
        <v>0</v>
      </c>
      <c r="AI609">
        <f>IF(B609&lt;&gt;"", COUNTIFS($B$2:B609, B609), "")</f>
        <v>7</v>
      </c>
      <c r="AJ609">
        <f t="shared" si="171"/>
        <v>5</v>
      </c>
      <c r="AK609">
        <f t="shared" si="164"/>
        <v>4</v>
      </c>
      <c r="AL609">
        <f t="shared" si="172"/>
        <v>9</v>
      </c>
      <c r="AM609" t="str">
        <f t="shared" si="173"/>
        <v>September</v>
      </c>
      <c r="AN609">
        <f t="shared" si="174"/>
        <v>2023</v>
      </c>
      <c r="AO609" t="str">
        <f t="shared" si="175"/>
        <v>&gt;3</v>
      </c>
      <c r="AP609" t="str">
        <f t="shared" si="176"/>
        <v>&gt;3</v>
      </c>
      <c r="AQ609" t="str">
        <f t="shared" si="177"/>
        <v>&lt;=3</v>
      </c>
    </row>
    <row r="610" spans="1:43" x14ac:dyDescent="0.3">
      <c r="A610" t="s">
        <v>33</v>
      </c>
      <c r="B610" t="s">
        <v>366</v>
      </c>
      <c r="C610" t="s">
        <v>432</v>
      </c>
      <c r="D610">
        <v>2140</v>
      </c>
      <c r="E610">
        <v>23210187</v>
      </c>
      <c r="F610" t="s">
        <v>368</v>
      </c>
      <c r="G610" t="s">
        <v>369</v>
      </c>
      <c r="H610">
        <v>100000</v>
      </c>
      <c r="I610">
        <v>9.1</v>
      </c>
      <c r="J610">
        <v>910000</v>
      </c>
      <c r="K610" s="7" t="str">
        <f>IFERROR(IF(B610&lt;&gt;"", TEXT(VLOOKUP(B610, 'Expected Date'!A:B, 2, FALSE) + DATE(RIGHT(C610,2),MID(C610,4,2),LEFT(C610,2)), "dd/mm/yy"), ""), "")</f>
        <v>24/05/23</v>
      </c>
      <c r="L610" t="s">
        <v>68</v>
      </c>
      <c r="M610" t="s">
        <v>48</v>
      </c>
      <c r="N610" t="s">
        <v>370</v>
      </c>
      <c r="O610" t="s">
        <v>169</v>
      </c>
      <c r="P610">
        <v>23290374</v>
      </c>
      <c r="Q610" t="s">
        <v>368</v>
      </c>
      <c r="R610" t="s">
        <v>369</v>
      </c>
      <c r="S610">
        <v>34070</v>
      </c>
      <c r="T610">
        <v>9.1</v>
      </c>
      <c r="U610">
        <v>310037</v>
      </c>
      <c r="V610" t="str">
        <f t="shared" si="178"/>
        <v>Dahej</v>
      </c>
      <c r="W610" t="str">
        <f>VLOOKUP(B610, Currency!A:B, 2, FALSE)</f>
        <v>INR</v>
      </c>
      <c r="X610" t="str">
        <f t="shared" si="178"/>
        <v>Accepted</v>
      </c>
      <c r="Y610">
        <f>IFERROR(VLOOKUP(N610, Payment_Terms!A:B, 2, FALSE), "Payment term not found!")</f>
        <v>15</v>
      </c>
      <c r="Z610" t="str">
        <f>IFERROR(VLOOKUP(R610, Item_Category!A:B, 2, FALSE), "Uncategorized")</f>
        <v>Coal materials</v>
      </c>
      <c r="AA610" s="5">
        <f t="shared" si="165"/>
        <v>2.7099999999999999E-2</v>
      </c>
      <c r="AB610">
        <f t="shared" si="166"/>
        <v>3</v>
      </c>
      <c r="AC610" s="10">
        <f t="shared" si="167"/>
        <v>1</v>
      </c>
      <c r="AD610">
        <f t="shared" si="168"/>
        <v>5</v>
      </c>
      <c r="AE610" s="10">
        <f t="shared" si="169"/>
        <v>3</v>
      </c>
      <c r="AF610" s="5">
        <f t="shared" si="162"/>
        <v>1</v>
      </c>
      <c r="AG610" s="5">
        <f t="shared" si="163"/>
        <v>1</v>
      </c>
      <c r="AH610" s="5">
        <f t="shared" si="170"/>
        <v>0</v>
      </c>
      <c r="AI610">
        <f>IF(B610&lt;&gt;"", COUNTIFS($B$2:B610, B610), "")</f>
        <v>65</v>
      </c>
      <c r="AJ610">
        <f t="shared" si="171"/>
        <v>5</v>
      </c>
      <c r="AK610">
        <f t="shared" si="164"/>
        <v>5</v>
      </c>
      <c r="AL610">
        <f t="shared" si="172"/>
        <v>5</v>
      </c>
      <c r="AM610" t="str">
        <f t="shared" si="173"/>
        <v>May</v>
      </c>
      <c r="AN610">
        <f t="shared" si="174"/>
        <v>2023</v>
      </c>
      <c r="AO610" t="str">
        <f t="shared" si="175"/>
        <v>&gt;3</v>
      </c>
      <c r="AP610" t="str">
        <f t="shared" si="176"/>
        <v>&lt;=3</v>
      </c>
      <c r="AQ610" t="str">
        <f t="shared" si="177"/>
        <v>&gt;3</v>
      </c>
    </row>
    <row r="611" spans="1:43" x14ac:dyDescent="0.3">
      <c r="A611" t="s">
        <v>33</v>
      </c>
      <c r="B611" t="s">
        <v>366</v>
      </c>
      <c r="C611" t="s">
        <v>432</v>
      </c>
      <c r="D611">
        <v>2140</v>
      </c>
      <c r="E611">
        <v>23210187</v>
      </c>
      <c r="F611" t="s">
        <v>368</v>
      </c>
      <c r="G611" t="s">
        <v>369</v>
      </c>
      <c r="H611">
        <v>100000</v>
      </c>
      <c r="I611">
        <v>9.1</v>
      </c>
      <c r="J611">
        <v>910000</v>
      </c>
      <c r="K611" s="7" t="str">
        <f>IFERROR(IF(B611&lt;&gt;"", TEXT(VLOOKUP(B611, 'Expected Date'!A:B, 2, FALSE) + DATE(RIGHT(C611,2),MID(C611,4,2),LEFT(C611,2)), "dd/mm/yy"), ""), "")</f>
        <v>24/05/23</v>
      </c>
      <c r="L611" t="s">
        <v>68</v>
      </c>
      <c r="M611" t="s">
        <v>48</v>
      </c>
      <c r="N611" t="s">
        <v>370</v>
      </c>
      <c r="O611" t="s">
        <v>169</v>
      </c>
      <c r="P611">
        <v>23290375</v>
      </c>
      <c r="Q611" t="s">
        <v>368</v>
      </c>
      <c r="R611" t="s">
        <v>369</v>
      </c>
      <c r="S611">
        <v>33730</v>
      </c>
      <c r="T611">
        <v>9.1</v>
      </c>
      <c r="U611">
        <v>306943</v>
      </c>
      <c r="V611" t="str">
        <f t="shared" si="178"/>
        <v>Dahej</v>
      </c>
      <c r="W611" t="str">
        <f>VLOOKUP(B611, Currency!A:B, 2, FALSE)</f>
        <v>INR</v>
      </c>
      <c r="X611" t="str">
        <f t="shared" si="178"/>
        <v>Accepted</v>
      </c>
      <c r="Y611">
        <f>IFERROR(VLOOKUP(N611, Payment_Terms!A:B, 2, FALSE), "Payment term not found!")</f>
        <v>15</v>
      </c>
      <c r="Z611" t="str">
        <f>IFERROR(VLOOKUP(R611, Item_Category!A:B, 2, FALSE), "Uncategorized")</f>
        <v>Coal materials</v>
      </c>
      <c r="AA611" s="5">
        <f t="shared" si="165"/>
        <v>2.7099999999999999E-2</v>
      </c>
      <c r="AB611">
        <f t="shared" si="166"/>
        <v>3</v>
      </c>
      <c r="AC611" s="10">
        <f t="shared" si="167"/>
        <v>1</v>
      </c>
      <c r="AD611">
        <f t="shared" si="168"/>
        <v>5</v>
      </c>
      <c r="AE611" s="10">
        <f t="shared" si="169"/>
        <v>3</v>
      </c>
      <c r="AF611" s="5">
        <f t="shared" si="162"/>
        <v>1</v>
      </c>
      <c r="AG611" s="5">
        <f t="shared" si="163"/>
        <v>1</v>
      </c>
      <c r="AH611" s="5">
        <f t="shared" si="170"/>
        <v>0</v>
      </c>
      <c r="AI611">
        <f>IF(B611&lt;&gt;"", COUNTIFS($B$2:B611, B611), "")</f>
        <v>66</v>
      </c>
      <c r="AJ611">
        <f t="shared" si="171"/>
        <v>5</v>
      </c>
      <c r="AK611">
        <f t="shared" si="164"/>
        <v>5</v>
      </c>
      <c r="AL611">
        <f t="shared" si="172"/>
        <v>5</v>
      </c>
      <c r="AM611" t="str">
        <f t="shared" si="173"/>
        <v>May</v>
      </c>
      <c r="AN611">
        <f t="shared" si="174"/>
        <v>2023</v>
      </c>
      <c r="AO611" t="str">
        <f t="shared" si="175"/>
        <v>&gt;3</v>
      </c>
      <c r="AP611" t="str">
        <f t="shared" si="176"/>
        <v>&lt;=3</v>
      </c>
      <c r="AQ611" t="str">
        <f t="shared" si="177"/>
        <v>&gt;3</v>
      </c>
    </row>
    <row r="612" spans="1:43" x14ac:dyDescent="0.3">
      <c r="A612" t="s">
        <v>33</v>
      </c>
      <c r="B612" t="s">
        <v>366</v>
      </c>
      <c r="C612" t="s">
        <v>367</v>
      </c>
      <c r="D612">
        <v>2422</v>
      </c>
      <c r="E612">
        <v>23210274</v>
      </c>
      <c r="F612" t="s">
        <v>392</v>
      </c>
      <c r="G612" t="s">
        <v>393</v>
      </c>
      <c r="H612">
        <v>150</v>
      </c>
      <c r="I612">
        <v>11000</v>
      </c>
      <c r="J612">
        <v>1650000</v>
      </c>
      <c r="K612" s="7" t="str">
        <f>IFERROR(IF(B612&lt;&gt;"", TEXT(VLOOKUP(B612, 'Expected Date'!A:B, 2, FALSE) + DATE(RIGHT(C612,2),MID(C612,4,2),LEFT(C612,2)), "dd/mm/yy"), ""), "")</f>
        <v>31/05/23</v>
      </c>
      <c r="L612" t="s">
        <v>68</v>
      </c>
      <c r="M612" t="s">
        <v>48</v>
      </c>
      <c r="N612" t="s">
        <v>370</v>
      </c>
      <c r="O612" t="s">
        <v>63</v>
      </c>
      <c r="P612">
        <v>23290552</v>
      </c>
      <c r="Q612" t="s">
        <v>392</v>
      </c>
      <c r="R612" t="s">
        <v>393</v>
      </c>
      <c r="S612">
        <v>30.41</v>
      </c>
      <c r="T612">
        <v>11000</v>
      </c>
      <c r="U612">
        <v>334510</v>
      </c>
      <c r="V612" t="str">
        <f t="shared" si="178"/>
        <v>Dahej</v>
      </c>
      <c r="W612" t="str">
        <f>VLOOKUP(B612, Currency!A:B, 2, FALSE)</f>
        <v>INR</v>
      </c>
      <c r="X612" t="str">
        <f t="shared" si="178"/>
        <v>Accepted</v>
      </c>
      <c r="Y612">
        <f>IFERROR(VLOOKUP(N612, Payment_Terms!A:B, 2, FALSE), "Payment term not found!")</f>
        <v>15</v>
      </c>
      <c r="Z612" t="str">
        <f>IFERROR(VLOOKUP(R612, Item_Category!A:B, 2, FALSE), "Uncategorized")</f>
        <v>Coal materials</v>
      </c>
      <c r="AA612" s="5">
        <f t="shared" si="165"/>
        <v>0</v>
      </c>
      <c r="AB612">
        <f t="shared" si="166"/>
        <v>5</v>
      </c>
      <c r="AC612" s="10">
        <f t="shared" si="167"/>
        <v>24</v>
      </c>
      <c r="AD612">
        <f t="shared" si="168"/>
        <v>1</v>
      </c>
      <c r="AE612" s="10">
        <f t="shared" si="169"/>
        <v>26</v>
      </c>
      <c r="AF612" s="5">
        <f t="shared" si="162"/>
        <v>1</v>
      </c>
      <c r="AG612" s="5">
        <f t="shared" si="163"/>
        <v>1</v>
      </c>
      <c r="AH612" s="5">
        <f t="shared" si="170"/>
        <v>0</v>
      </c>
      <c r="AI612">
        <f>IF(B612&lt;&gt;"", COUNTIFS($B$2:B612, B612), "")</f>
        <v>67</v>
      </c>
      <c r="AJ612">
        <f t="shared" si="171"/>
        <v>5</v>
      </c>
      <c r="AK612">
        <f t="shared" si="164"/>
        <v>4</v>
      </c>
      <c r="AL612">
        <f t="shared" si="172"/>
        <v>5</v>
      </c>
      <c r="AM612" t="str">
        <f t="shared" si="173"/>
        <v>May</v>
      </c>
      <c r="AN612">
        <f t="shared" si="174"/>
        <v>2023</v>
      </c>
      <c r="AO612" t="str">
        <f t="shared" si="175"/>
        <v>&gt;3</v>
      </c>
      <c r="AP612" t="str">
        <f t="shared" si="176"/>
        <v>&gt;3</v>
      </c>
      <c r="AQ612" t="str">
        <f t="shared" si="177"/>
        <v>&lt;=3</v>
      </c>
    </row>
    <row r="613" spans="1:43" x14ac:dyDescent="0.3">
      <c r="A613" t="s">
        <v>33</v>
      </c>
      <c r="B613" t="str">
        <f>B284</f>
        <v>Ami Enterprises</v>
      </c>
      <c r="C613" t="s">
        <v>408</v>
      </c>
      <c r="D613">
        <v>3625</v>
      </c>
      <c r="E613">
        <v>23210521</v>
      </c>
      <c r="F613" t="s">
        <v>485</v>
      </c>
      <c r="G613" t="s">
        <v>486</v>
      </c>
      <c r="H613">
        <v>1100</v>
      </c>
      <c r="I613">
        <v>27.5</v>
      </c>
      <c r="J613">
        <v>30250</v>
      </c>
      <c r="K613" s="7" t="str">
        <f>IFERROR(IF(B613&lt;&gt;"", TEXT(VLOOKUP(B613, 'Expected Date'!A:B, 2, FALSE) + DATE(RIGHT(C613,2),MID(C613,4,2),LEFT(C613,2)), "dd/mm/yy"), ""), "")</f>
        <v>18/08/23</v>
      </c>
      <c r="L613" t="s">
        <v>68</v>
      </c>
      <c r="M613" t="s">
        <v>39</v>
      </c>
      <c r="N613" t="s">
        <v>342</v>
      </c>
      <c r="O613" t="s">
        <v>121</v>
      </c>
      <c r="P613">
        <v>23291091</v>
      </c>
      <c r="Q613" t="s">
        <v>485</v>
      </c>
      <c r="R613" t="s">
        <v>486</v>
      </c>
      <c r="S613">
        <v>1018</v>
      </c>
      <c r="T613">
        <v>27.5</v>
      </c>
      <c r="U613">
        <v>27995</v>
      </c>
      <c r="V613" t="str">
        <f t="shared" si="178"/>
        <v>Dahej</v>
      </c>
      <c r="W613" t="str">
        <f>VLOOKUP(B613, Currency!A:B, 2, FALSE)</f>
        <v>INR</v>
      </c>
      <c r="X613" t="str">
        <f t="shared" si="178"/>
        <v>Accepted</v>
      </c>
      <c r="Y613">
        <f>IFERROR(VLOOKUP(N613, Payment_Terms!A:B, 2, FALSE), "Payment term not found!")</f>
        <v>30</v>
      </c>
      <c r="Z613" t="str">
        <f>IFERROR(VLOOKUP(R613, Item_Category!A:B, 2, FALSE), "Uncategorized")</f>
        <v>Liner</v>
      </c>
      <c r="AA613" s="5">
        <f t="shared" si="165"/>
        <v>7.454545454545454E-2</v>
      </c>
      <c r="AB613">
        <f t="shared" si="166"/>
        <v>2</v>
      </c>
      <c r="AC613" s="10">
        <f t="shared" si="167"/>
        <v>-8</v>
      </c>
      <c r="AD613">
        <f t="shared" si="168"/>
        <v>5</v>
      </c>
      <c r="AE613" s="10">
        <f t="shared" si="169"/>
        <v>2</v>
      </c>
      <c r="AF613" s="5">
        <f t="shared" si="162"/>
        <v>1</v>
      </c>
      <c r="AG613" s="5">
        <f t="shared" si="163"/>
        <v>1</v>
      </c>
      <c r="AH613" s="5">
        <f t="shared" si="170"/>
        <v>0</v>
      </c>
      <c r="AI613">
        <f>IF(B613&lt;&gt;"", COUNTIFS($B$2:B613, B613), "")</f>
        <v>42</v>
      </c>
      <c r="AJ613">
        <f t="shared" si="171"/>
        <v>5</v>
      </c>
      <c r="AK613">
        <f t="shared" si="164"/>
        <v>5</v>
      </c>
      <c r="AL613">
        <f t="shared" si="172"/>
        <v>8</v>
      </c>
      <c r="AM613" t="str">
        <f t="shared" si="173"/>
        <v>August</v>
      </c>
      <c r="AN613">
        <f t="shared" si="174"/>
        <v>2023</v>
      </c>
      <c r="AO613" t="str">
        <f t="shared" si="175"/>
        <v>&gt;3</v>
      </c>
      <c r="AP613" t="str">
        <f t="shared" si="176"/>
        <v>&lt;=3</v>
      </c>
      <c r="AQ613" t="str">
        <f t="shared" si="177"/>
        <v>&gt;3</v>
      </c>
    </row>
    <row r="614" spans="1:43" x14ac:dyDescent="0.3">
      <c r="A614" t="s">
        <v>33</v>
      </c>
      <c r="B614" t="s">
        <v>122</v>
      </c>
      <c r="C614" t="s">
        <v>416</v>
      </c>
      <c r="D614">
        <v>2054</v>
      </c>
      <c r="E614">
        <v>23210173</v>
      </c>
      <c r="F614" t="s">
        <v>405</v>
      </c>
      <c r="G614" t="s">
        <v>406</v>
      </c>
      <c r="H614">
        <v>600</v>
      </c>
      <c r="I614">
        <v>930</v>
      </c>
      <c r="J614">
        <v>558000</v>
      </c>
      <c r="K614" s="7" t="str">
        <f>IFERROR(IF(B614&lt;&gt;"", TEXT(VLOOKUP(B614, 'Expected Date'!A:B, 2, FALSE) + DATE(RIGHT(C614,2),MID(C614,4,2),LEFT(C614,2)), "dd/mm/yy"), ""), "")</f>
        <v>04/06/23</v>
      </c>
      <c r="L614" t="s">
        <v>38</v>
      </c>
      <c r="M614" t="s">
        <v>39</v>
      </c>
      <c r="N614" t="s">
        <v>364</v>
      </c>
      <c r="O614" t="s">
        <v>133</v>
      </c>
      <c r="P614">
        <v>23290471</v>
      </c>
      <c r="Q614" t="s">
        <v>405</v>
      </c>
      <c r="R614" t="s">
        <v>406</v>
      </c>
      <c r="S614">
        <v>180</v>
      </c>
      <c r="T614">
        <v>930</v>
      </c>
      <c r="U614">
        <v>167400</v>
      </c>
      <c r="V614" t="str">
        <f t="shared" si="178"/>
        <v>Dahej</v>
      </c>
      <c r="W614" t="str">
        <f>VLOOKUP(B614, Currency!A:B, 2, FALSE)</f>
        <v>INR</v>
      </c>
      <c r="X614" t="str">
        <f t="shared" si="178"/>
        <v>Accepted</v>
      </c>
      <c r="Y614">
        <f>IFERROR(VLOOKUP(N614, Payment_Terms!A:B, 2, FALSE), "Payment term not found!")</f>
        <v>30</v>
      </c>
      <c r="Z614" t="str">
        <f>IFERROR(VLOOKUP(R614, Item_Category!A:B, 2, FALSE), "Uncategorized")</f>
        <v>Pallets</v>
      </c>
      <c r="AA614" s="5">
        <f t="shared" si="165"/>
        <v>0</v>
      </c>
      <c r="AB614">
        <f t="shared" si="166"/>
        <v>5</v>
      </c>
      <c r="AC614" s="10">
        <f t="shared" si="167"/>
        <v>2</v>
      </c>
      <c r="AD614">
        <f t="shared" si="168"/>
        <v>5</v>
      </c>
      <c r="AE614" s="10">
        <f t="shared" si="169"/>
        <v>17</v>
      </c>
      <c r="AF614" s="5">
        <f t="shared" si="162"/>
        <v>1</v>
      </c>
      <c r="AG614" s="5">
        <f t="shared" si="163"/>
        <v>1</v>
      </c>
      <c r="AH614" s="5">
        <f t="shared" si="170"/>
        <v>0</v>
      </c>
      <c r="AI614">
        <f>IF(B614&lt;&gt;"", COUNTIFS($B$2:B614, B614), "")</f>
        <v>37</v>
      </c>
      <c r="AJ614">
        <f t="shared" si="171"/>
        <v>5</v>
      </c>
      <c r="AK614">
        <f t="shared" si="164"/>
        <v>5</v>
      </c>
      <c r="AL614">
        <f t="shared" si="172"/>
        <v>5</v>
      </c>
      <c r="AM614" t="str">
        <f t="shared" si="173"/>
        <v>May</v>
      </c>
      <c r="AN614">
        <f t="shared" si="174"/>
        <v>2023</v>
      </c>
      <c r="AO614" t="str">
        <f t="shared" si="175"/>
        <v>&gt;3</v>
      </c>
      <c r="AP614" t="str">
        <f t="shared" si="176"/>
        <v>&gt;3</v>
      </c>
      <c r="AQ614" t="str">
        <f t="shared" si="177"/>
        <v>&gt;3</v>
      </c>
    </row>
    <row r="615" spans="1:43" x14ac:dyDescent="0.3">
      <c r="A615" t="s">
        <v>33</v>
      </c>
      <c r="B615" t="s">
        <v>366</v>
      </c>
      <c r="C615" t="s">
        <v>367</v>
      </c>
      <c r="D615">
        <v>2422</v>
      </c>
      <c r="E615">
        <v>23210274</v>
      </c>
      <c r="F615" t="s">
        <v>392</v>
      </c>
      <c r="G615" t="s">
        <v>393</v>
      </c>
      <c r="H615">
        <v>150</v>
      </c>
      <c r="I615">
        <v>11000</v>
      </c>
      <c r="J615">
        <v>1650000</v>
      </c>
      <c r="K615" s="7" t="str">
        <f>IFERROR(IF(B615&lt;&gt;"", TEXT(VLOOKUP(B615, 'Expected Date'!A:B, 2, FALSE) + DATE(RIGHT(C615,2),MID(C615,4,2),LEFT(C615,2)), "dd/mm/yy"), ""), "")</f>
        <v>31/05/23</v>
      </c>
      <c r="L615" t="s">
        <v>68</v>
      </c>
      <c r="M615" t="s">
        <v>48</v>
      </c>
      <c r="N615" t="s">
        <v>370</v>
      </c>
      <c r="O615" t="s">
        <v>88</v>
      </c>
      <c r="P615">
        <v>23290660</v>
      </c>
      <c r="Q615" t="s">
        <v>392</v>
      </c>
      <c r="R615" t="s">
        <v>393</v>
      </c>
      <c r="S615">
        <v>29.93</v>
      </c>
      <c r="T615">
        <v>11000</v>
      </c>
      <c r="U615">
        <v>329230</v>
      </c>
      <c r="V615" t="str">
        <f t="shared" si="178"/>
        <v>Dahej</v>
      </c>
      <c r="W615" t="str">
        <f>VLOOKUP(B615, Currency!A:B, 2, FALSE)</f>
        <v>INR</v>
      </c>
      <c r="X615" t="str">
        <f t="shared" si="178"/>
        <v>Accepted</v>
      </c>
      <c r="Y615">
        <f>IFERROR(VLOOKUP(N615, Payment_Terms!A:B, 2, FALSE), "Payment term not found!")</f>
        <v>15</v>
      </c>
      <c r="Z615" t="str">
        <f>IFERROR(VLOOKUP(R615, Item_Category!A:B, 2, FALSE), "Uncategorized")</f>
        <v>Coal materials</v>
      </c>
      <c r="AA615" s="5">
        <f t="shared" si="165"/>
        <v>0</v>
      </c>
      <c r="AB615">
        <f t="shared" si="166"/>
        <v>5</v>
      </c>
      <c r="AC615" s="10">
        <f t="shared" si="167"/>
        <v>34</v>
      </c>
      <c r="AD615">
        <f t="shared" si="168"/>
        <v>1</v>
      </c>
      <c r="AE615" s="10">
        <f t="shared" si="169"/>
        <v>36</v>
      </c>
      <c r="AF615" s="5">
        <f t="shared" si="162"/>
        <v>1</v>
      </c>
      <c r="AG615" s="5">
        <f t="shared" si="163"/>
        <v>1</v>
      </c>
      <c r="AH615" s="5">
        <f t="shared" si="170"/>
        <v>0</v>
      </c>
      <c r="AI615">
        <f>IF(B615&lt;&gt;"", COUNTIFS($B$2:B615, B615), "")</f>
        <v>68</v>
      </c>
      <c r="AJ615">
        <f t="shared" si="171"/>
        <v>5</v>
      </c>
      <c r="AK615">
        <f t="shared" si="164"/>
        <v>4</v>
      </c>
      <c r="AL615">
        <f t="shared" si="172"/>
        <v>5</v>
      </c>
      <c r="AM615" t="str">
        <f t="shared" si="173"/>
        <v>May</v>
      </c>
      <c r="AN615">
        <f t="shared" si="174"/>
        <v>2023</v>
      </c>
      <c r="AO615" t="str">
        <f t="shared" si="175"/>
        <v>&gt;3</v>
      </c>
      <c r="AP615" t="str">
        <f t="shared" si="176"/>
        <v>&gt;3</v>
      </c>
      <c r="AQ615" t="str">
        <f t="shared" si="177"/>
        <v>&lt;=3</v>
      </c>
    </row>
    <row r="616" spans="1:43" x14ac:dyDescent="0.3">
      <c r="A616" t="s">
        <v>33</v>
      </c>
      <c r="B616" t="s">
        <v>366</v>
      </c>
      <c r="C616" t="s">
        <v>229</v>
      </c>
      <c r="D616">
        <v>4749</v>
      </c>
      <c r="E616">
        <v>23210723</v>
      </c>
      <c r="F616" t="s">
        <v>392</v>
      </c>
      <c r="G616" t="s">
        <v>393</v>
      </c>
      <c r="H616">
        <v>100</v>
      </c>
      <c r="I616">
        <v>8400</v>
      </c>
      <c r="J616">
        <v>840000</v>
      </c>
      <c r="K616" s="7" t="str">
        <f>IFERROR(IF(B616&lt;&gt;"", TEXT(VLOOKUP(B616, 'Expected Date'!A:B, 2, FALSE) + DATE(RIGHT(C616,2),MID(C616,4,2),LEFT(C616,2)), "dd/mm/yy"), ""), "")</f>
        <v>02/10/23</v>
      </c>
      <c r="L616" t="s">
        <v>38</v>
      </c>
      <c r="M616" t="s">
        <v>48</v>
      </c>
      <c r="N616" t="s">
        <v>532</v>
      </c>
      <c r="O616" t="s">
        <v>550</v>
      </c>
      <c r="P616">
        <v>23291589</v>
      </c>
      <c r="Q616" t="s">
        <v>392</v>
      </c>
      <c r="R616" t="s">
        <v>393</v>
      </c>
      <c r="S616">
        <v>27.71</v>
      </c>
      <c r="T616">
        <v>8400</v>
      </c>
      <c r="U616">
        <v>232764</v>
      </c>
      <c r="V616" t="str">
        <f t="shared" si="178"/>
        <v>Dahej</v>
      </c>
      <c r="W616" t="str">
        <f>VLOOKUP(B616, Currency!A:B, 2, FALSE)</f>
        <v>INR</v>
      </c>
      <c r="X616" t="str">
        <f t="shared" si="178"/>
        <v>Accepted</v>
      </c>
      <c r="Y616">
        <f>IFERROR(VLOOKUP(N616, Payment_Terms!A:B, 2, FALSE), "Payment term not found!")</f>
        <v>15</v>
      </c>
      <c r="Z616" t="str">
        <f>IFERROR(VLOOKUP(R616, Item_Category!A:B, 2, FALSE), "Uncategorized")</f>
        <v>Coal materials</v>
      </c>
      <c r="AA616" s="5">
        <f t="shared" si="165"/>
        <v>0</v>
      </c>
      <c r="AB616">
        <f t="shared" si="166"/>
        <v>5</v>
      </c>
      <c r="AC616" s="10">
        <f t="shared" si="167"/>
        <v>2</v>
      </c>
      <c r="AD616">
        <f t="shared" si="168"/>
        <v>5</v>
      </c>
      <c r="AE616" s="10">
        <f t="shared" si="169"/>
        <v>4</v>
      </c>
      <c r="AF616" s="5">
        <f t="shared" si="162"/>
        <v>1</v>
      </c>
      <c r="AG616" s="5">
        <f t="shared" si="163"/>
        <v>1</v>
      </c>
      <c r="AH616" s="5">
        <f t="shared" si="170"/>
        <v>0</v>
      </c>
      <c r="AI616">
        <f>IF(B616&lt;&gt;"", COUNTIFS($B$2:B616, B616), "")</f>
        <v>69</v>
      </c>
      <c r="AJ616">
        <f t="shared" si="171"/>
        <v>5</v>
      </c>
      <c r="AK616">
        <f t="shared" si="164"/>
        <v>5</v>
      </c>
      <c r="AL616">
        <f t="shared" si="172"/>
        <v>9</v>
      </c>
      <c r="AM616" t="str">
        <f t="shared" si="173"/>
        <v>September</v>
      </c>
      <c r="AN616">
        <f t="shared" si="174"/>
        <v>2023</v>
      </c>
      <c r="AO616" t="str">
        <f t="shared" si="175"/>
        <v>&gt;3</v>
      </c>
      <c r="AP616" t="str">
        <f t="shared" si="176"/>
        <v>&gt;3</v>
      </c>
      <c r="AQ616" t="str">
        <f t="shared" si="177"/>
        <v>&gt;3</v>
      </c>
    </row>
    <row r="617" spans="1:43" x14ac:dyDescent="0.3">
      <c r="A617" t="s">
        <v>33</v>
      </c>
      <c r="B617" t="s">
        <v>366</v>
      </c>
      <c r="C617" t="s">
        <v>229</v>
      </c>
      <c r="D617">
        <v>4749</v>
      </c>
      <c r="E617">
        <v>23210723</v>
      </c>
      <c r="F617" t="s">
        <v>392</v>
      </c>
      <c r="G617" t="s">
        <v>393</v>
      </c>
      <c r="H617">
        <v>100</v>
      </c>
      <c r="I617">
        <v>8400</v>
      </c>
      <c r="J617">
        <v>840000</v>
      </c>
      <c r="K617" s="7" t="str">
        <f>IFERROR(IF(B617&lt;&gt;"", TEXT(VLOOKUP(B617, 'Expected Date'!A:B, 2, FALSE) + DATE(RIGHT(C617,2),MID(C617,4,2),LEFT(C617,2)), "dd/mm/yy"), ""), "")</f>
        <v>02/10/23</v>
      </c>
      <c r="L617" t="s">
        <v>38</v>
      </c>
      <c r="M617" t="s">
        <v>48</v>
      </c>
      <c r="N617" t="s">
        <v>532</v>
      </c>
      <c r="O617" t="s">
        <v>548</v>
      </c>
      <c r="P617">
        <v>23291591</v>
      </c>
      <c r="Q617" t="s">
        <v>392</v>
      </c>
      <c r="R617" t="s">
        <v>393</v>
      </c>
      <c r="S617">
        <v>27.85</v>
      </c>
      <c r="T617">
        <v>8400</v>
      </c>
      <c r="U617">
        <v>233940</v>
      </c>
      <c r="V617" t="str">
        <f t="shared" si="178"/>
        <v>Dahej</v>
      </c>
      <c r="W617" t="str">
        <f>VLOOKUP(B617, Currency!A:B, 2, FALSE)</f>
        <v>INR</v>
      </c>
      <c r="X617" t="str">
        <f t="shared" si="178"/>
        <v>Accepted</v>
      </c>
      <c r="Y617">
        <f>IFERROR(VLOOKUP(N617, Payment_Terms!A:B, 2, FALSE), "Payment term not found!")</f>
        <v>15</v>
      </c>
      <c r="Z617" t="str">
        <f>IFERROR(VLOOKUP(R617, Item_Category!A:B, 2, FALSE), "Uncategorized")</f>
        <v>Coal materials</v>
      </c>
      <c r="AA617" s="5">
        <f t="shared" si="165"/>
        <v>0</v>
      </c>
      <c r="AB617">
        <f t="shared" si="166"/>
        <v>5</v>
      </c>
      <c r="AC617" s="10">
        <f t="shared" si="167"/>
        <v>0</v>
      </c>
      <c r="AD617">
        <f t="shared" si="168"/>
        <v>5</v>
      </c>
      <c r="AE617" s="10">
        <f t="shared" si="169"/>
        <v>2</v>
      </c>
      <c r="AF617" s="5">
        <f t="shared" si="162"/>
        <v>1</v>
      </c>
      <c r="AG617" s="5">
        <f t="shared" si="163"/>
        <v>1</v>
      </c>
      <c r="AH617" s="5">
        <f t="shared" si="170"/>
        <v>0</v>
      </c>
      <c r="AI617">
        <f>IF(B617&lt;&gt;"", COUNTIFS($B$2:B617, B617), "")</f>
        <v>70</v>
      </c>
      <c r="AJ617">
        <f t="shared" si="171"/>
        <v>5</v>
      </c>
      <c r="AK617">
        <f t="shared" si="164"/>
        <v>5</v>
      </c>
      <c r="AL617">
        <f t="shared" si="172"/>
        <v>9</v>
      </c>
      <c r="AM617" t="str">
        <f t="shared" si="173"/>
        <v>September</v>
      </c>
      <c r="AN617">
        <f t="shared" si="174"/>
        <v>2023</v>
      </c>
      <c r="AO617" t="str">
        <f t="shared" si="175"/>
        <v>&gt;3</v>
      </c>
      <c r="AP617" t="str">
        <f t="shared" si="176"/>
        <v>&gt;3</v>
      </c>
      <c r="AQ617" t="str">
        <f t="shared" si="177"/>
        <v>&gt;3</v>
      </c>
    </row>
    <row r="618" spans="1:43" x14ac:dyDescent="0.3">
      <c r="A618" t="s">
        <v>33</v>
      </c>
      <c r="B618" t="s">
        <v>366</v>
      </c>
      <c r="C618" t="s">
        <v>229</v>
      </c>
      <c r="D618">
        <v>4749</v>
      </c>
      <c r="E618">
        <v>23210723</v>
      </c>
      <c r="F618" t="s">
        <v>392</v>
      </c>
      <c r="G618" t="s">
        <v>393</v>
      </c>
      <c r="H618">
        <v>100</v>
      </c>
      <c r="I618">
        <v>8400</v>
      </c>
      <c r="J618">
        <v>840000</v>
      </c>
      <c r="K618" s="7" t="str">
        <f>IFERROR(IF(B618&lt;&gt;"", TEXT(VLOOKUP(B618, 'Expected Date'!A:B, 2, FALSE) + DATE(RIGHT(C618,2),MID(C618,4,2),LEFT(C618,2)), "dd/mm/yy"), ""), "")</f>
        <v>02/10/23</v>
      </c>
      <c r="L618" t="s">
        <v>38</v>
      </c>
      <c r="M618" t="s">
        <v>48</v>
      </c>
      <c r="N618" t="s">
        <v>532</v>
      </c>
      <c r="O618" t="s">
        <v>247</v>
      </c>
      <c r="P618">
        <v>23291601</v>
      </c>
      <c r="Q618" t="s">
        <v>392</v>
      </c>
      <c r="R618" t="s">
        <v>393</v>
      </c>
      <c r="S618">
        <v>18.73</v>
      </c>
      <c r="T618">
        <v>8400</v>
      </c>
      <c r="U618">
        <v>157332</v>
      </c>
      <c r="V618" t="str">
        <f t="shared" si="178"/>
        <v>Dahej</v>
      </c>
      <c r="W618" t="str">
        <f>VLOOKUP(B618, Currency!A:B, 2, FALSE)</f>
        <v>INR</v>
      </c>
      <c r="X618" t="str">
        <f t="shared" si="178"/>
        <v>Accepted</v>
      </c>
      <c r="Y618">
        <f>IFERROR(VLOOKUP(N618, Payment_Terms!A:B, 2, FALSE), "Payment term not found!")</f>
        <v>15</v>
      </c>
      <c r="Z618" t="str">
        <f>IFERROR(VLOOKUP(R618, Item_Category!A:B, 2, FALSE), "Uncategorized")</f>
        <v>Coal materials</v>
      </c>
      <c r="AA618" s="5">
        <f t="shared" si="165"/>
        <v>0</v>
      </c>
      <c r="AB618">
        <f t="shared" si="166"/>
        <v>5</v>
      </c>
      <c r="AC618" s="10">
        <f t="shared" si="167"/>
        <v>3</v>
      </c>
      <c r="AD618">
        <f t="shared" si="168"/>
        <v>4</v>
      </c>
      <c r="AE618" s="10">
        <f t="shared" si="169"/>
        <v>5</v>
      </c>
      <c r="AF618" s="5">
        <f t="shared" si="162"/>
        <v>1</v>
      </c>
      <c r="AG618" s="5">
        <f t="shared" si="163"/>
        <v>1</v>
      </c>
      <c r="AH618" s="5">
        <f t="shared" si="170"/>
        <v>0</v>
      </c>
      <c r="AI618">
        <f>IF(B618&lt;&gt;"", COUNTIFS($B$2:B618, B618), "")</f>
        <v>71</v>
      </c>
      <c r="AJ618">
        <f t="shared" si="171"/>
        <v>5</v>
      </c>
      <c r="AK618">
        <f t="shared" si="164"/>
        <v>5</v>
      </c>
      <c r="AL618">
        <f t="shared" si="172"/>
        <v>9</v>
      </c>
      <c r="AM618" t="str">
        <f t="shared" si="173"/>
        <v>September</v>
      </c>
      <c r="AN618">
        <f t="shared" si="174"/>
        <v>2023</v>
      </c>
      <c r="AO618" t="str">
        <f t="shared" si="175"/>
        <v>&gt;3</v>
      </c>
      <c r="AP618" t="str">
        <f t="shared" si="176"/>
        <v>&gt;3</v>
      </c>
      <c r="AQ618" t="str">
        <f t="shared" si="177"/>
        <v>&gt;3</v>
      </c>
    </row>
    <row r="619" spans="1:43" x14ac:dyDescent="0.3">
      <c r="A619" t="s">
        <v>33</v>
      </c>
      <c r="B619" t="s">
        <v>382</v>
      </c>
      <c r="C619" t="s">
        <v>246</v>
      </c>
      <c r="D619">
        <v>4327</v>
      </c>
      <c r="E619">
        <v>23210655</v>
      </c>
      <c r="F619" t="s">
        <v>383</v>
      </c>
      <c r="G619" t="s">
        <v>384</v>
      </c>
      <c r="H619">
        <v>250</v>
      </c>
      <c r="I619">
        <v>96</v>
      </c>
      <c r="J619">
        <v>24000</v>
      </c>
      <c r="K619" s="7" t="str">
        <f>IFERROR(IF(B619&lt;&gt;"", TEXT(VLOOKUP(B619, 'Expected Date'!A:B, 2, FALSE) + DATE(RIGHT(C619,2),MID(C619,4,2),LEFT(C619,2)), "dd/mm/yy"), ""), "")</f>
        <v>22/09/23</v>
      </c>
      <c r="L619" t="s">
        <v>38</v>
      </c>
      <c r="M619" t="s">
        <v>48</v>
      </c>
      <c r="N619" t="s">
        <v>342</v>
      </c>
      <c r="O619" t="s">
        <v>206</v>
      </c>
      <c r="P619">
        <v>23291405</v>
      </c>
      <c r="Q619" t="s">
        <v>383</v>
      </c>
      <c r="R619" t="s">
        <v>384</v>
      </c>
      <c r="S619">
        <v>250</v>
      </c>
      <c r="T619">
        <v>96</v>
      </c>
      <c r="U619">
        <v>24000</v>
      </c>
      <c r="V619" t="str">
        <f t="shared" si="178"/>
        <v>Dahej</v>
      </c>
      <c r="W619" t="str">
        <f>VLOOKUP(B619, Currency!A:B, 2, FALSE)</f>
        <v>INR</v>
      </c>
      <c r="X619" t="str">
        <f t="shared" si="178"/>
        <v>Accepted</v>
      </c>
      <c r="Y619">
        <f>IFERROR(VLOOKUP(N619, Payment_Terms!A:B, 2, FALSE), "Payment term not found!")</f>
        <v>30</v>
      </c>
      <c r="Z619" t="str">
        <f>IFERROR(VLOOKUP(R619, Item_Category!A:B, 2, FALSE), "Uncategorized")</f>
        <v>Gas</v>
      </c>
      <c r="AA619" s="5">
        <f t="shared" si="165"/>
        <v>0</v>
      </c>
      <c r="AB619">
        <f t="shared" si="166"/>
        <v>5</v>
      </c>
      <c r="AC619" s="10">
        <f t="shared" si="167"/>
        <v>-9</v>
      </c>
      <c r="AD619">
        <f t="shared" si="168"/>
        <v>5</v>
      </c>
      <c r="AE619" s="10">
        <f t="shared" si="169"/>
        <v>1</v>
      </c>
      <c r="AF619" s="5">
        <f t="shared" si="162"/>
        <v>1</v>
      </c>
      <c r="AG619" s="5">
        <f t="shared" si="163"/>
        <v>1</v>
      </c>
      <c r="AH619" s="5">
        <f t="shared" si="170"/>
        <v>0</v>
      </c>
      <c r="AI619">
        <f>IF(B619&lt;&gt;"", COUNTIFS($B$2:B619, B619), "")</f>
        <v>20</v>
      </c>
      <c r="AJ619">
        <f t="shared" si="171"/>
        <v>5</v>
      </c>
      <c r="AK619">
        <f t="shared" si="164"/>
        <v>5</v>
      </c>
      <c r="AL619">
        <f t="shared" si="172"/>
        <v>9</v>
      </c>
      <c r="AM619" t="str">
        <f t="shared" si="173"/>
        <v>September</v>
      </c>
      <c r="AN619">
        <f t="shared" si="174"/>
        <v>2023</v>
      </c>
      <c r="AO619" t="str">
        <f t="shared" si="175"/>
        <v>&gt;3</v>
      </c>
      <c r="AP619" t="str">
        <f t="shared" si="176"/>
        <v>&gt;3</v>
      </c>
      <c r="AQ619" t="str">
        <f t="shared" si="177"/>
        <v>&gt;3</v>
      </c>
    </row>
    <row r="620" spans="1:43" x14ac:dyDescent="0.3">
      <c r="A620" t="s">
        <v>33</v>
      </c>
      <c r="B620" t="s">
        <v>347</v>
      </c>
      <c r="C620" t="s">
        <v>281</v>
      </c>
      <c r="D620">
        <v>4161</v>
      </c>
      <c r="E620">
        <v>23210610</v>
      </c>
      <c r="F620" t="s">
        <v>349</v>
      </c>
      <c r="G620" t="s">
        <v>350</v>
      </c>
      <c r="H620">
        <v>24</v>
      </c>
      <c r="I620">
        <v>55260</v>
      </c>
      <c r="J620">
        <v>1326240</v>
      </c>
      <c r="K620" s="7" t="str">
        <f>IFERROR(IF(B620&lt;&gt;"", TEXT(VLOOKUP(B620, 'Expected Date'!A:B, 2, FALSE) + DATE(RIGHT(C620,2),MID(C620,4,2),LEFT(C620,2)), "dd/mm/yy"), ""), "")</f>
        <v>06/09/23</v>
      </c>
      <c r="L620" t="s">
        <v>68</v>
      </c>
      <c r="M620" t="s">
        <v>285</v>
      </c>
      <c r="N620" t="s">
        <v>351</v>
      </c>
      <c r="O620" t="s">
        <v>531</v>
      </c>
      <c r="P620">
        <v>23291369</v>
      </c>
      <c r="Q620" t="s">
        <v>349</v>
      </c>
      <c r="R620" t="s">
        <v>350</v>
      </c>
      <c r="S620">
        <v>23.25</v>
      </c>
      <c r="T620">
        <v>55260</v>
      </c>
      <c r="U620">
        <v>1284795</v>
      </c>
      <c r="V620" t="str">
        <f t="shared" si="178"/>
        <v>Dahej</v>
      </c>
      <c r="W620" t="str">
        <f>VLOOKUP(B620, Currency!A:B, 2, FALSE)</f>
        <v>INR</v>
      </c>
      <c r="X620" t="str">
        <f t="shared" si="178"/>
        <v>Accepted</v>
      </c>
      <c r="Y620">
        <f>IFERROR(VLOOKUP(N620, Payment_Terms!A:B, 2, FALSE), "Payment term not found!")</f>
        <v>0</v>
      </c>
      <c r="Z620" t="str">
        <f>IFERROR(VLOOKUP(R620, Item_Category!A:B, 2, FALSE), "Uncategorized")</f>
        <v>Oil</v>
      </c>
      <c r="AA620" s="5">
        <f t="shared" si="165"/>
        <v>3.125E-2</v>
      </c>
      <c r="AB620">
        <f t="shared" si="166"/>
        <v>3</v>
      </c>
      <c r="AC620" s="10">
        <f t="shared" si="167"/>
        <v>4</v>
      </c>
      <c r="AD620">
        <f t="shared" si="168"/>
        <v>4</v>
      </c>
      <c r="AE620" s="10">
        <f t="shared" si="169"/>
        <v>5</v>
      </c>
      <c r="AF620" s="5">
        <f t="shared" si="162"/>
        <v>1</v>
      </c>
      <c r="AG620" s="5">
        <f t="shared" si="163"/>
        <v>1</v>
      </c>
      <c r="AH620" s="5">
        <f t="shared" si="170"/>
        <v>0</v>
      </c>
      <c r="AI620">
        <f>IF(B620&lt;&gt;"", COUNTIFS($B$2:B620, B620), "")</f>
        <v>11</v>
      </c>
      <c r="AJ620">
        <f t="shared" si="171"/>
        <v>5</v>
      </c>
      <c r="AK620">
        <f t="shared" si="164"/>
        <v>5</v>
      </c>
      <c r="AL620">
        <f t="shared" si="172"/>
        <v>9</v>
      </c>
      <c r="AM620" t="str">
        <f t="shared" si="173"/>
        <v>September</v>
      </c>
      <c r="AN620">
        <f t="shared" si="174"/>
        <v>2023</v>
      </c>
      <c r="AO620" t="str">
        <f t="shared" si="175"/>
        <v>&gt;3</v>
      </c>
      <c r="AP620" t="str">
        <f t="shared" si="176"/>
        <v>&lt;=3</v>
      </c>
      <c r="AQ620" t="str">
        <f t="shared" si="177"/>
        <v>&gt;3</v>
      </c>
    </row>
    <row r="621" spans="1:43" x14ac:dyDescent="0.3">
      <c r="A621" t="str">
        <f>A577</f>
        <v>Woodpulp</v>
      </c>
      <c r="B621" t="s">
        <v>140</v>
      </c>
      <c r="C621" t="s">
        <v>71</v>
      </c>
      <c r="D621">
        <v>2734</v>
      </c>
      <c r="E621">
        <v>23220042</v>
      </c>
      <c r="F621" t="s">
        <v>359</v>
      </c>
      <c r="G621" t="s">
        <v>360</v>
      </c>
      <c r="H621">
        <v>100</v>
      </c>
      <c r="I621">
        <v>830</v>
      </c>
      <c r="J621">
        <v>6781100</v>
      </c>
      <c r="K621" s="7" t="str">
        <f>IFERROR(IF(B621&lt;&gt;"", TEXT(VLOOKUP(B621, 'Expected Date'!A:B, 2, FALSE) + DATE(RIGHT(C621,2),MID(C621,4,2),LEFT(C621,2)), "dd/mm/yy"), ""), "")</f>
        <v>06/08/23</v>
      </c>
      <c r="L621" t="s">
        <v>38</v>
      </c>
      <c r="M621" t="str">
        <f>M355</f>
        <v>MT</v>
      </c>
      <c r="N621" t="s">
        <v>144</v>
      </c>
      <c r="O621" t="s">
        <v>247</v>
      </c>
      <c r="P621">
        <v>23291715</v>
      </c>
      <c r="Q621" t="s">
        <v>359</v>
      </c>
      <c r="R621" t="s">
        <v>360</v>
      </c>
      <c r="S621">
        <v>100</v>
      </c>
      <c r="T621">
        <v>830</v>
      </c>
      <c r="U621">
        <v>6830900</v>
      </c>
      <c r="V621" t="str">
        <f t="shared" si="178"/>
        <v>Dahej</v>
      </c>
      <c r="W621" t="str">
        <f>VLOOKUP(B621, Currency!A:B, 2, FALSE)</f>
        <v>USD</v>
      </c>
      <c r="X621" t="str">
        <f t="shared" si="178"/>
        <v>Accepted</v>
      </c>
      <c r="Y621">
        <f>IFERROR(VLOOKUP(N621, Payment_Terms!A:B, 2, FALSE), "Payment term not found!")</f>
        <v>30</v>
      </c>
      <c r="Z621" t="str">
        <f>IFERROR(VLOOKUP(R621, Item_Category!A:B, 2, FALSE), "Uncategorized")</f>
        <v>Wood pulp</v>
      </c>
      <c r="AA621" s="5">
        <f t="shared" si="165"/>
        <v>0</v>
      </c>
      <c r="AB621">
        <f t="shared" si="166"/>
        <v>5</v>
      </c>
      <c r="AC621" s="10">
        <f t="shared" si="167"/>
        <v>60</v>
      </c>
      <c r="AD621">
        <f t="shared" si="168"/>
        <v>1</v>
      </c>
      <c r="AE621" s="10">
        <f t="shared" si="169"/>
        <v>105</v>
      </c>
      <c r="AF621" s="5">
        <f t="shared" si="162"/>
        <v>1</v>
      </c>
      <c r="AG621" s="5">
        <f t="shared" si="163"/>
        <v>1</v>
      </c>
      <c r="AH621" s="5">
        <f t="shared" si="170"/>
        <v>0</v>
      </c>
      <c r="AI621">
        <f>IF(B621&lt;&gt;"", COUNTIFS($B$2:B621, B621), "")</f>
        <v>32</v>
      </c>
      <c r="AJ621">
        <f t="shared" si="171"/>
        <v>5</v>
      </c>
      <c r="AK621">
        <f t="shared" si="164"/>
        <v>4</v>
      </c>
      <c r="AL621">
        <f t="shared" si="172"/>
        <v>6</v>
      </c>
      <c r="AM621" t="str">
        <f t="shared" si="173"/>
        <v>June</v>
      </c>
      <c r="AN621">
        <f t="shared" si="174"/>
        <v>2023</v>
      </c>
      <c r="AO621" t="str">
        <f t="shared" si="175"/>
        <v>&gt;3</v>
      </c>
      <c r="AP621" t="str">
        <f t="shared" si="176"/>
        <v>&gt;3</v>
      </c>
      <c r="AQ621" t="str">
        <f t="shared" si="177"/>
        <v>&lt;=3</v>
      </c>
    </row>
    <row r="622" spans="1:43" x14ac:dyDescent="0.3">
      <c r="A622" t="s">
        <v>33</v>
      </c>
      <c r="B622" t="s">
        <v>382</v>
      </c>
      <c r="C622" t="s">
        <v>272</v>
      </c>
      <c r="D622">
        <v>4577</v>
      </c>
      <c r="E622">
        <v>23210692</v>
      </c>
      <c r="F622" t="s">
        <v>383</v>
      </c>
      <c r="G622" t="s">
        <v>384</v>
      </c>
      <c r="H622">
        <v>250</v>
      </c>
      <c r="I622">
        <v>96</v>
      </c>
      <c r="J622">
        <v>24000</v>
      </c>
      <c r="K622" s="7" t="str">
        <f>IFERROR(IF(B622&lt;&gt;"", TEXT(VLOOKUP(B622, 'Expected Date'!A:B, 2, FALSE) + DATE(RIGHT(C622,2),MID(C622,4,2),LEFT(C622,2)), "dd/mm/yy"), ""), "")</f>
        <v>05/10/23</v>
      </c>
      <c r="L622" t="s">
        <v>38</v>
      </c>
      <c r="M622" t="s">
        <v>48</v>
      </c>
      <c r="N622" t="s">
        <v>342</v>
      </c>
      <c r="O622" t="s">
        <v>536</v>
      </c>
      <c r="P622">
        <v>23291545</v>
      </c>
      <c r="Q622" t="s">
        <v>383</v>
      </c>
      <c r="R622" t="s">
        <v>384</v>
      </c>
      <c r="S622">
        <v>250</v>
      </c>
      <c r="T622">
        <v>96</v>
      </c>
      <c r="U622">
        <v>24000</v>
      </c>
      <c r="V622" t="str">
        <f t="shared" si="178"/>
        <v>Dahej</v>
      </c>
      <c r="W622" t="str">
        <f>VLOOKUP(B622, Currency!A:B, 2, FALSE)</f>
        <v>INR</v>
      </c>
      <c r="X622" t="str">
        <f t="shared" si="178"/>
        <v>Accepted</v>
      </c>
      <c r="Y622">
        <f>IFERROR(VLOOKUP(N622, Payment_Terms!A:B, 2, FALSE), "Payment term not found!")</f>
        <v>30</v>
      </c>
      <c r="Z622" t="str">
        <f>IFERROR(VLOOKUP(R622, Item_Category!A:B, 2, FALSE), "Uncategorized")</f>
        <v>Gas</v>
      </c>
      <c r="AA622" s="5">
        <f t="shared" si="165"/>
        <v>0</v>
      </c>
      <c r="AB622">
        <f t="shared" si="166"/>
        <v>5</v>
      </c>
      <c r="AC622" s="10">
        <f t="shared" si="167"/>
        <v>-8</v>
      </c>
      <c r="AD622">
        <f t="shared" si="168"/>
        <v>5</v>
      </c>
      <c r="AE622" s="10">
        <f t="shared" si="169"/>
        <v>2</v>
      </c>
      <c r="AF622" s="5">
        <f t="shared" si="162"/>
        <v>1</v>
      </c>
      <c r="AG622" s="5">
        <f t="shared" si="163"/>
        <v>1</v>
      </c>
      <c r="AH622" s="5">
        <f t="shared" si="170"/>
        <v>0</v>
      </c>
      <c r="AI622">
        <f>IF(B622&lt;&gt;"", COUNTIFS($B$2:B622, B622), "")</f>
        <v>21</v>
      </c>
      <c r="AJ622">
        <f t="shared" si="171"/>
        <v>5</v>
      </c>
      <c r="AK622">
        <f t="shared" si="164"/>
        <v>5</v>
      </c>
      <c r="AL622">
        <f t="shared" si="172"/>
        <v>9</v>
      </c>
      <c r="AM622" t="str">
        <f t="shared" si="173"/>
        <v>September</v>
      </c>
      <c r="AN622">
        <f t="shared" si="174"/>
        <v>2023</v>
      </c>
      <c r="AO622" t="str">
        <f t="shared" si="175"/>
        <v>&gt;3</v>
      </c>
      <c r="AP622" t="str">
        <f t="shared" si="176"/>
        <v>&gt;3</v>
      </c>
      <c r="AQ622" t="str">
        <f t="shared" si="177"/>
        <v>&gt;3</v>
      </c>
    </row>
    <row r="623" spans="1:43" x14ac:dyDescent="0.3">
      <c r="A623" t="s">
        <v>33</v>
      </c>
      <c r="B623" t="s">
        <v>366</v>
      </c>
      <c r="C623" t="s">
        <v>229</v>
      </c>
      <c r="D623">
        <v>4749</v>
      </c>
      <c r="E623">
        <v>23210723</v>
      </c>
      <c r="F623" t="s">
        <v>392</v>
      </c>
      <c r="G623" t="s">
        <v>393</v>
      </c>
      <c r="H623">
        <v>100</v>
      </c>
      <c r="I623">
        <v>8400</v>
      </c>
      <c r="J623">
        <v>840000</v>
      </c>
      <c r="K623" s="7" t="str">
        <f>IFERROR(IF(B623&lt;&gt;"", TEXT(VLOOKUP(B623, 'Expected Date'!A:B, 2, FALSE) + DATE(RIGHT(C623,2),MID(C623,4,2),LEFT(C623,2)), "dd/mm/yy"), ""), "")</f>
        <v>02/10/23</v>
      </c>
      <c r="L623" t="s">
        <v>38</v>
      </c>
      <c r="M623" t="s">
        <v>48</v>
      </c>
      <c r="N623" t="s">
        <v>532</v>
      </c>
      <c r="O623" t="s">
        <v>229</v>
      </c>
      <c r="P623">
        <v>23291562</v>
      </c>
      <c r="Q623" t="s">
        <v>392</v>
      </c>
      <c r="R623" t="s">
        <v>393</v>
      </c>
      <c r="S623">
        <v>27.85</v>
      </c>
      <c r="T623">
        <v>8400</v>
      </c>
      <c r="U623">
        <v>233940</v>
      </c>
      <c r="V623" t="str">
        <f t="shared" si="178"/>
        <v>Dahej</v>
      </c>
      <c r="W623" t="str">
        <f>VLOOKUP(B623, Currency!A:B, 2, FALSE)</f>
        <v>INR</v>
      </c>
      <c r="X623" t="str">
        <f t="shared" si="178"/>
        <v>Accepted</v>
      </c>
      <c r="Y623">
        <f>IFERROR(VLOOKUP(N623, Payment_Terms!A:B, 2, FALSE), "Payment term not found!")</f>
        <v>15</v>
      </c>
      <c r="Z623" t="str">
        <f>IFERROR(VLOOKUP(R623, Item_Category!A:B, 2, FALSE), "Uncategorized")</f>
        <v>Coal materials</v>
      </c>
      <c r="AA623" s="5">
        <f t="shared" si="165"/>
        <v>0</v>
      </c>
      <c r="AB623">
        <f t="shared" si="166"/>
        <v>5</v>
      </c>
      <c r="AC623" s="10">
        <f t="shared" si="167"/>
        <v>-2</v>
      </c>
      <c r="AD623">
        <f t="shared" si="168"/>
        <v>5</v>
      </c>
      <c r="AE623" s="10">
        <f t="shared" si="169"/>
        <v>0</v>
      </c>
      <c r="AF623" s="5">
        <f t="shared" si="162"/>
        <v>1</v>
      </c>
      <c r="AG623" s="5">
        <f t="shared" si="163"/>
        <v>1</v>
      </c>
      <c r="AH623" s="5">
        <f t="shared" si="170"/>
        <v>0</v>
      </c>
      <c r="AI623">
        <f>IF(B623&lt;&gt;"", COUNTIFS($B$2:B623, B623), "")</f>
        <v>72</v>
      </c>
      <c r="AJ623">
        <f t="shared" si="171"/>
        <v>5</v>
      </c>
      <c r="AK623">
        <f t="shared" si="164"/>
        <v>5</v>
      </c>
      <c r="AL623">
        <f t="shared" si="172"/>
        <v>9</v>
      </c>
      <c r="AM623" t="str">
        <f t="shared" si="173"/>
        <v>September</v>
      </c>
      <c r="AN623">
        <f t="shared" si="174"/>
        <v>2023</v>
      </c>
      <c r="AO623" t="str">
        <f t="shared" si="175"/>
        <v>&gt;3</v>
      </c>
      <c r="AP623" t="str">
        <f t="shared" si="176"/>
        <v>&gt;3</v>
      </c>
      <c r="AQ623" t="str">
        <f t="shared" si="177"/>
        <v>&gt;3</v>
      </c>
    </row>
    <row r="624" spans="1:43" x14ac:dyDescent="0.3">
      <c r="A624" t="s">
        <v>33</v>
      </c>
      <c r="B624" t="s">
        <v>385</v>
      </c>
      <c r="C624" t="s">
        <v>70</v>
      </c>
      <c r="D624">
        <v>1525</v>
      </c>
      <c r="E624">
        <v>23310042</v>
      </c>
      <c r="F624" t="s">
        <v>552</v>
      </c>
      <c r="G624" t="s">
        <v>373</v>
      </c>
      <c r="H624">
        <v>50</v>
      </c>
      <c r="I624">
        <v>250</v>
      </c>
      <c r="J624">
        <v>12500</v>
      </c>
      <c r="K624" s="7" t="str">
        <f>IFERROR(IF(B624&lt;&gt;"", TEXT(VLOOKUP(B624, 'Expected Date'!A:B, 2, FALSE) + DATE(RIGHT(C624,2),MID(C624,4,2),LEFT(C624,2)), "dd/mm/yy"), ""), "")</f>
        <v>04/05/23</v>
      </c>
      <c r="L624" t="s">
        <v>68</v>
      </c>
      <c r="M624" t="s">
        <v>48</v>
      </c>
      <c r="N624" t="s">
        <v>342</v>
      </c>
      <c r="O624" t="s">
        <v>442</v>
      </c>
      <c r="P624">
        <v>23390079</v>
      </c>
      <c r="Q624" t="s">
        <v>552</v>
      </c>
      <c r="R624" t="s">
        <v>373</v>
      </c>
      <c r="S624">
        <v>11.2</v>
      </c>
      <c r="T624">
        <v>250</v>
      </c>
      <c r="U624">
        <v>2800</v>
      </c>
      <c r="V624" t="s">
        <v>864</v>
      </c>
      <c r="W624" t="str">
        <f>VLOOKUP(B624, Currency!A:B, 2, FALSE)</f>
        <v>INR</v>
      </c>
      <c r="X624" t="s">
        <v>42</v>
      </c>
      <c r="Y624">
        <f>IFERROR(VLOOKUP(N624, Payment_Terms!A:B, 2, FALSE), "Payment term not found!")</f>
        <v>30</v>
      </c>
      <c r="Z624" t="str">
        <f>IFERROR(VLOOKUP(R624, Item_Category!A:B, 2, FALSE), "Uncategorized")</f>
        <v>HCL</v>
      </c>
      <c r="AA624" s="5">
        <f t="shared" si="165"/>
        <v>0.32900000000000007</v>
      </c>
      <c r="AB624">
        <f t="shared" si="166"/>
        <v>1</v>
      </c>
      <c r="AC624" s="10">
        <f t="shared" si="167"/>
        <v>-9</v>
      </c>
      <c r="AD624">
        <f t="shared" si="168"/>
        <v>5</v>
      </c>
      <c r="AE624" s="10">
        <f t="shared" si="169"/>
        <v>1</v>
      </c>
      <c r="AF624" s="5">
        <f t="shared" si="162"/>
        <v>1</v>
      </c>
      <c r="AG624" s="5">
        <f t="shared" si="163"/>
        <v>1</v>
      </c>
      <c r="AH624" s="5">
        <f t="shared" si="170"/>
        <v>0</v>
      </c>
      <c r="AI624">
        <f>IF(B624&lt;&gt;"", COUNTIFS($B$2:B624, B624), "")</f>
        <v>4</v>
      </c>
      <c r="AJ624">
        <f t="shared" si="171"/>
        <v>5</v>
      </c>
      <c r="AK624">
        <f t="shared" si="164"/>
        <v>4</v>
      </c>
      <c r="AL624">
        <f t="shared" si="172"/>
        <v>4</v>
      </c>
      <c r="AM624" t="str">
        <f t="shared" si="173"/>
        <v>April</v>
      </c>
      <c r="AN624">
        <f t="shared" si="174"/>
        <v>2023</v>
      </c>
      <c r="AO624" t="str">
        <f t="shared" si="175"/>
        <v>&gt;3</v>
      </c>
      <c r="AP624" t="str">
        <f t="shared" si="176"/>
        <v>&lt;=3</v>
      </c>
      <c r="AQ624" t="str">
        <f t="shared" si="177"/>
        <v>&gt;3</v>
      </c>
    </row>
    <row r="625" spans="1:43" x14ac:dyDescent="0.3">
      <c r="A625" t="s">
        <v>33</v>
      </c>
      <c r="B625" t="s">
        <v>386</v>
      </c>
      <c r="C625" t="s">
        <v>428</v>
      </c>
      <c r="D625">
        <v>1184</v>
      </c>
      <c r="E625">
        <v>23310006</v>
      </c>
      <c r="F625" t="s">
        <v>554</v>
      </c>
      <c r="G625" t="s">
        <v>555</v>
      </c>
      <c r="H625">
        <v>8000</v>
      </c>
      <c r="I625">
        <v>19.5</v>
      </c>
      <c r="J625">
        <v>156000</v>
      </c>
      <c r="K625" s="7" t="str">
        <f>IFERROR(IF(B625&lt;&gt;"", TEXT(VLOOKUP(B625, 'Expected Date'!A:B, 2, FALSE) + DATE(RIGHT(C625,2),MID(C625,4,2),LEFT(C625,2)), "dd/mm/yy"), ""), "")</f>
        <v>08/04/23</v>
      </c>
      <c r="L625" t="s">
        <v>68</v>
      </c>
      <c r="M625" t="s">
        <v>39</v>
      </c>
      <c r="N625" t="s">
        <v>556</v>
      </c>
      <c r="O625" t="s">
        <v>35</v>
      </c>
      <c r="P625">
        <v>23390081</v>
      </c>
      <c r="Q625" t="s">
        <v>554</v>
      </c>
      <c r="R625" t="s">
        <v>555</v>
      </c>
      <c r="S625">
        <v>2146</v>
      </c>
      <c r="T625">
        <v>19.5</v>
      </c>
      <c r="U625">
        <v>41847</v>
      </c>
      <c r="V625" t="str">
        <f>V624</f>
        <v>Jhagadia</v>
      </c>
      <c r="W625" t="str">
        <f>VLOOKUP(B625, Currency!A:B, 2, FALSE)</f>
        <v>INR</v>
      </c>
      <c r="X625" t="str">
        <f>X624</f>
        <v>Accepted</v>
      </c>
      <c r="Y625">
        <f>IFERROR(VLOOKUP(N625, Payment_Terms!A:B, 2, FALSE), "Payment term not found!")</f>
        <v>30</v>
      </c>
      <c r="Z625" t="str">
        <f>IFERROR(VLOOKUP(R625, Item_Category!A:B, 2, FALSE), "Uncategorized")</f>
        <v>HDPE bag acecel</v>
      </c>
      <c r="AA625" s="5">
        <f t="shared" si="165"/>
        <v>6.0000000000000001E-3</v>
      </c>
      <c r="AB625">
        <f t="shared" si="166"/>
        <v>4</v>
      </c>
      <c r="AC625" s="10">
        <f t="shared" si="167"/>
        <v>19</v>
      </c>
      <c r="AD625">
        <f t="shared" si="168"/>
        <v>1</v>
      </c>
      <c r="AE625" s="10">
        <f t="shared" si="169"/>
        <v>24</v>
      </c>
      <c r="AF625" s="5">
        <f t="shared" si="162"/>
        <v>1</v>
      </c>
      <c r="AG625" s="5">
        <f t="shared" si="163"/>
        <v>1</v>
      </c>
      <c r="AH625" s="5">
        <f t="shared" si="170"/>
        <v>0</v>
      </c>
      <c r="AI625">
        <f>IF(B625&lt;&gt;"", COUNTIFS($B$2:B625, B625), "")</f>
        <v>29</v>
      </c>
      <c r="AJ625">
        <f t="shared" si="171"/>
        <v>5</v>
      </c>
      <c r="AK625">
        <f t="shared" si="164"/>
        <v>4</v>
      </c>
      <c r="AL625">
        <f t="shared" si="172"/>
        <v>4</v>
      </c>
      <c r="AM625" t="str">
        <f t="shared" si="173"/>
        <v>April</v>
      </c>
      <c r="AN625">
        <f t="shared" si="174"/>
        <v>2023</v>
      </c>
      <c r="AO625" t="str">
        <f t="shared" si="175"/>
        <v>&gt;3</v>
      </c>
      <c r="AP625" t="str">
        <f t="shared" si="176"/>
        <v>&gt;3</v>
      </c>
      <c r="AQ625" t="str">
        <f t="shared" si="177"/>
        <v>&lt;=3</v>
      </c>
    </row>
    <row r="626" spans="1:43" x14ac:dyDescent="0.3">
      <c r="A626" t="s">
        <v>33</v>
      </c>
      <c r="B626" t="s">
        <v>557</v>
      </c>
      <c r="C626" t="s">
        <v>57</v>
      </c>
      <c r="D626">
        <v>3523</v>
      </c>
      <c r="E626">
        <v>23310275</v>
      </c>
      <c r="F626" t="s">
        <v>558</v>
      </c>
      <c r="G626" t="s">
        <v>384</v>
      </c>
      <c r="H626">
        <v>400</v>
      </c>
      <c r="I626">
        <v>99</v>
      </c>
      <c r="J626">
        <v>39600</v>
      </c>
      <c r="K626" s="7" t="str">
        <f>IFERROR(IF(B626&lt;&gt;"", TEXT(VLOOKUP(B626, 'Expected Date'!A:B, 2, FALSE) + DATE(RIGHT(C626,2),MID(C626,4,2),LEFT(C626,2)), "dd/mm/yy"), ""), "")</f>
        <v>13/08/23</v>
      </c>
      <c r="L626" t="s">
        <v>38</v>
      </c>
      <c r="M626" t="s">
        <v>48</v>
      </c>
      <c r="N626" t="s">
        <v>364</v>
      </c>
      <c r="O626" t="s">
        <v>525</v>
      </c>
      <c r="P626">
        <v>23390454</v>
      </c>
      <c r="Q626" t="s">
        <v>558</v>
      </c>
      <c r="R626" t="s">
        <v>384</v>
      </c>
      <c r="S626">
        <v>100</v>
      </c>
      <c r="T626">
        <v>99</v>
      </c>
      <c r="U626">
        <v>9900</v>
      </c>
      <c r="V626" t="str">
        <f t="shared" ref="V626:X689" si="179">V625</f>
        <v>Jhagadia</v>
      </c>
      <c r="W626" t="str">
        <f>VLOOKUP(B626, Currency!A:B, 2, FALSE)</f>
        <v>INR</v>
      </c>
      <c r="X626" t="str">
        <f t="shared" si="179"/>
        <v>Accepted</v>
      </c>
      <c r="Y626">
        <f>IFERROR(VLOOKUP(N626, Payment_Terms!A:B, 2, FALSE), "Payment term not found!")</f>
        <v>30</v>
      </c>
      <c r="Z626" t="str">
        <f>IFERROR(VLOOKUP(R626, Item_Category!A:B, 2, FALSE), "Uncategorized")</f>
        <v>Gas</v>
      </c>
      <c r="AA626" s="5">
        <f t="shared" si="165"/>
        <v>0</v>
      </c>
      <c r="AB626">
        <f t="shared" si="166"/>
        <v>5</v>
      </c>
      <c r="AC626" s="10">
        <f t="shared" si="167"/>
        <v>6</v>
      </c>
      <c r="AD626">
        <f t="shared" si="168"/>
        <v>3</v>
      </c>
      <c r="AE626" s="10">
        <f t="shared" si="169"/>
        <v>16</v>
      </c>
      <c r="AF626" s="5">
        <f t="shared" si="162"/>
        <v>1</v>
      </c>
      <c r="AG626" s="5">
        <f t="shared" si="163"/>
        <v>1</v>
      </c>
      <c r="AH626" s="5">
        <f t="shared" si="170"/>
        <v>0</v>
      </c>
      <c r="AI626">
        <f>IF(B626&lt;&gt;"", COUNTIFS($B$2:B626, B626), "")</f>
        <v>1</v>
      </c>
      <c r="AJ626">
        <f t="shared" si="171"/>
        <v>5</v>
      </c>
      <c r="AK626">
        <f t="shared" si="164"/>
        <v>5</v>
      </c>
      <c r="AL626">
        <f t="shared" si="172"/>
        <v>8</v>
      </c>
      <c r="AM626" t="str">
        <f t="shared" si="173"/>
        <v>August</v>
      </c>
      <c r="AN626">
        <f t="shared" si="174"/>
        <v>2023</v>
      </c>
      <c r="AO626" t="str">
        <f t="shared" si="175"/>
        <v>&gt;3</v>
      </c>
      <c r="AP626" t="str">
        <f t="shared" si="176"/>
        <v>&gt;3</v>
      </c>
      <c r="AQ626" t="str">
        <f t="shared" si="177"/>
        <v>&lt;=3</v>
      </c>
    </row>
    <row r="627" spans="1:43" x14ac:dyDescent="0.3">
      <c r="A627" t="s">
        <v>33</v>
      </c>
      <c r="B627" t="s">
        <v>386</v>
      </c>
      <c r="C627" t="s">
        <v>428</v>
      </c>
      <c r="D627">
        <v>1184</v>
      </c>
      <c r="E627">
        <v>23310006</v>
      </c>
      <c r="F627" t="s">
        <v>560</v>
      </c>
      <c r="G627" t="s">
        <v>561</v>
      </c>
      <c r="H627">
        <v>500</v>
      </c>
      <c r="I627">
        <v>19.5</v>
      </c>
      <c r="J627">
        <v>9750</v>
      </c>
      <c r="K627" s="7" t="str">
        <f>IFERROR(IF(B627&lt;&gt;"", TEXT(VLOOKUP(B627, 'Expected Date'!A:B, 2, FALSE) + DATE(RIGHT(C627,2),MID(C627,4,2),LEFT(C627,2)), "dd/mm/yy"), ""), "")</f>
        <v>08/04/23</v>
      </c>
      <c r="L627" t="s">
        <v>38</v>
      </c>
      <c r="M627" t="s">
        <v>39</v>
      </c>
      <c r="N627" t="s">
        <v>556</v>
      </c>
      <c r="O627" t="s">
        <v>35</v>
      </c>
      <c r="P627">
        <v>23390081</v>
      </c>
      <c r="Q627" t="s">
        <v>560</v>
      </c>
      <c r="R627" t="s">
        <v>561</v>
      </c>
      <c r="S627">
        <v>500</v>
      </c>
      <c r="T627">
        <v>19.5</v>
      </c>
      <c r="U627">
        <v>9750</v>
      </c>
      <c r="V627" t="str">
        <f t="shared" si="179"/>
        <v>Jhagadia</v>
      </c>
      <c r="W627" t="str">
        <f>VLOOKUP(B627, Currency!A:B, 2, FALSE)</f>
        <v>INR</v>
      </c>
      <c r="X627" t="str">
        <f t="shared" si="179"/>
        <v>Accepted</v>
      </c>
      <c r="Y627">
        <f>IFERROR(VLOOKUP(N627, Payment_Terms!A:B, 2, FALSE), "Payment term not found!")</f>
        <v>30</v>
      </c>
      <c r="Z627" t="str">
        <f>IFERROR(VLOOKUP(R627, Item_Category!A:B, 2, FALSE), "Uncategorized")</f>
        <v>HDPE bag glocel</v>
      </c>
      <c r="AA627" s="5">
        <f t="shared" si="165"/>
        <v>0</v>
      </c>
      <c r="AB627">
        <f t="shared" si="166"/>
        <v>5</v>
      </c>
      <c r="AC627" s="10">
        <f t="shared" si="167"/>
        <v>19</v>
      </c>
      <c r="AD627">
        <f t="shared" si="168"/>
        <v>1</v>
      </c>
      <c r="AE627" s="10">
        <f t="shared" si="169"/>
        <v>24</v>
      </c>
      <c r="AF627" s="5">
        <f t="shared" si="162"/>
        <v>1</v>
      </c>
      <c r="AG627" s="5">
        <f t="shared" si="163"/>
        <v>1</v>
      </c>
      <c r="AH627" s="5">
        <f t="shared" si="170"/>
        <v>0</v>
      </c>
      <c r="AI627">
        <f>IF(B627&lt;&gt;"", COUNTIFS($B$2:B627, B627), "")</f>
        <v>30</v>
      </c>
      <c r="AJ627">
        <f t="shared" si="171"/>
        <v>5</v>
      </c>
      <c r="AK627">
        <f t="shared" si="164"/>
        <v>4</v>
      </c>
      <c r="AL627">
        <f t="shared" si="172"/>
        <v>4</v>
      </c>
      <c r="AM627" t="str">
        <f t="shared" si="173"/>
        <v>April</v>
      </c>
      <c r="AN627">
        <f t="shared" si="174"/>
        <v>2023</v>
      </c>
      <c r="AO627" t="str">
        <f t="shared" si="175"/>
        <v>&gt;3</v>
      </c>
      <c r="AP627" t="str">
        <f t="shared" si="176"/>
        <v>&gt;3</v>
      </c>
      <c r="AQ627" t="str">
        <f t="shared" si="177"/>
        <v>&lt;=3</v>
      </c>
    </row>
    <row r="628" spans="1:43" x14ac:dyDescent="0.3">
      <c r="A628" t="s">
        <v>33</v>
      </c>
      <c r="B628" t="s">
        <v>513</v>
      </c>
      <c r="C628" t="s">
        <v>562</v>
      </c>
      <c r="D628">
        <v>1635</v>
      </c>
      <c r="E628">
        <v>23310057</v>
      </c>
      <c r="F628" t="s">
        <v>563</v>
      </c>
      <c r="G628" t="s">
        <v>515</v>
      </c>
      <c r="H628">
        <v>2500</v>
      </c>
      <c r="I628">
        <v>26</v>
      </c>
      <c r="J628">
        <v>65000</v>
      </c>
      <c r="K628" s="7" t="str">
        <f>IFERROR(IF(B628&lt;&gt;"", TEXT(VLOOKUP(B628, 'Expected Date'!A:B, 2, FALSE) + DATE(RIGHT(C628,2),MID(C628,4,2),LEFT(C628,2)), "dd/mm/yy"), ""), "")</f>
        <v>02/05/23</v>
      </c>
      <c r="L628" t="s">
        <v>38</v>
      </c>
      <c r="M628" t="s">
        <v>48</v>
      </c>
      <c r="N628" t="s">
        <v>342</v>
      </c>
      <c r="O628" t="s">
        <v>108</v>
      </c>
      <c r="P628">
        <v>23390138</v>
      </c>
      <c r="Q628" t="s">
        <v>563</v>
      </c>
      <c r="R628" t="s">
        <v>515</v>
      </c>
      <c r="S628">
        <v>500</v>
      </c>
      <c r="T628">
        <v>26</v>
      </c>
      <c r="U628">
        <v>13000</v>
      </c>
      <c r="V628" t="str">
        <f t="shared" si="179"/>
        <v>Jhagadia</v>
      </c>
      <c r="W628" t="str">
        <f>VLOOKUP(B628, Currency!A:B, 2, FALSE)</f>
        <v>INR</v>
      </c>
      <c r="X628" t="str">
        <f t="shared" si="179"/>
        <v>Accepted</v>
      </c>
      <c r="Y628">
        <f>IFERROR(VLOOKUP(N628, Payment_Terms!A:B, 2, FALSE), "Payment term not found!")</f>
        <v>30</v>
      </c>
      <c r="Z628" t="str">
        <f>IFERROR(VLOOKUP(R628, Item_Category!A:B, 2, FALSE), "Uncategorized")</f>
        <v xml:space="preserve">Caustic Soda </v>
      </c>
      <c r="AA628" s="5">
        <f t="shared" si="165"/>
        <v>0</v>
      </c>
      <c r="AB628">
        <f t="shared" si="166"/>
        <v>5</v>
      </c>
      <c r="AC628" s="10">
        <f t="shared" si="167"/>
        <v>8</v>
      </c>
      <c r="AD628">
        <f t="shared" si="168"/>
        <v>2</v>
      </c>
      <c r="AE628" s="10">
        <f t="shared" si="169"/>
        <v>10</v>
      </c>
      <c r="AF628" s="5">
        <f t="shared" si="162"/>
        <v>1</v>
      </c>
      <c r="AG628" s="5">
        <f t="shared" si="163"/>
        <v>1</v>
      </c>
      <c r="AH628" s="5">
        <f t="shared" si="170"/>
        <v>0</v>
      </c>
      <c r="AI628">
        <f>IF(B628&lt;&gt;"", COUNTIFS($B$2:B628, B628), "")</f>
        <v>4</v>
      </c>
      <c r="AJ628">
        <f t="shared" si="171"/>
        <v>5</v>
      </c>
      <c r="AK628">
        <f t="shared" si="164"/>
        <v>5</v>
      </c>
      <c r="AL628">
        <f t="shared" si="172"/>
        <v>4</v>
      </c>
      <c r="AM628" t="str">
        <f t="shared" si="173"/>
        <v>April</v>
      </c>
      <c r="AN628">
        <f t="shared" si="174"/>
        <v>2023</v>
      </c>
      <c r="AO628" t="str">
        <f t="shared" si="175"/>
        <v>&gt;3</v>
      </c>
      <c r="AP628" t="str">
        <f t="shared" si="176"/>
        <v>&gt;3</v>
      </c>
      <c r="AQ628" t="str">
        <f t="shared" si="177"/>
        <v>&lt;=3</v>
      </c>
    </row>
    <row r="629" spans="1:43" x14ac:dyDescent="0.3">
      <c r="A629" t="s">
        <v>33</v>
      </c>
      <c r="B629" t="s">
        <v>122</v>
      </c>
      <c r="C629" t="s">
        <v>352</v>
      </c>
      <c r="D629">
        <v>2379</v>
      </c>
      <c r="E629">
        <v>23310162</v>
      </c>
      <c r="F629" t="s">
        <v>565</v>
      </c>
      <c r="G629" t="s">
        <v>566</v>
      </c>
      <c r="H629">
        <v>200</v>
      </c>
      <c r="I629">
        <v>930</v>
      </c>
      <c r="J629">
        <v>186000</v>
      </c>
      <c r="K629" s="7" t="str">
        <f>IFERROR(IF(B629&lt;&gt;"", TEXT(VLOOKUP(B629, 'Expected Date'!A:B, 2, FALSE) + DATE(RIGHT(C629,2),MID(C629,4,2),LEFT(C629,2)), "dd/mm/yy"), ""), "")</f>
        <v>17/06/23</v>
      </c>
      <c r="L629" t="s">
        <v>38</v>
      </c>
      <c r="M629" t="s">
        <v>39</v>
      </c>
      <c r="N629" t="s">
        <v>318</v>
      </c>
      <c r="O629" t="s">
        <v>198</v>
      </c>
      <c r="P629">
        <v>23390369</v>
      </c>
      <c r="Q629" t="s">
        <v>565</v>
      </c>
      <c r="R629" t="s">
        <v>566</v>
      </c>
      <c r="S629">
        <v>40</v>
      </c>
      <c r="T629">
        <v>930</v>
      </c>
      <c r="U629">
        <v>37200</v>
      </c>
      <c r="V629" t="str">
        <f t="shared" si="179"/>
        <v>Jhagadia</v>
      </c>
      <c r="W629" t="str">
        <f>VLOOKUP(B629, Currency!A:B, 2, FALSE)</f>
        <v>INR</v>
      </c>
      <c r="X629" t="str">
        <f t="shared" si="179"/>
        <v>Accepted</v>
      </c>
      <c r="Y629">
        <f>IFERROR(VLOOKUP(N629, Payment_Terms!A:B, 2, FALSE), "Payment term not found!")</f>
        <v>30</v>
      </c>
      <c r="Z629" t="str">
        <f>IFERROR(VLOOKUP(R629, Item_Category!A:B, 2, FALSE), "Uncategorized")</f>
        <v>Pallets</v>
      </c>
      <c r="AA629" s="5">
        <f t="shared" si="165"/>
        <v>0</v>
      </c>
      <c r="AB629">
        <f t="shared" si="166"/>
        <v>5</v>
      </c>
      <c r="AC629" s="10">
        <f t="shared" si="167"/>
        <v>44</v>
      </c>
      <c r="AD629">
        <f t="shared" si="168"/>
        <v>1</v>
      </c>
      <c r="AE629" s="10">
        <f t="shared" si="169"/>
        <v>59</v>
      </c>
      <c r="AF629" s="5">
        <f t="shared" si="162"/>
        <v>1</v>
      </c>
      <c r="AG629" s="5">
        <f t="shared" si="163"/>
        <v>1</v>
      </c>
      <c r="AH629" s="5">
        <f t="shared" si="170"/>
        <v>0</v>
      </c>
      <c r="AI629">
        <f>IF(B629&lt;&gt;"", COUNTIFS($B$2:B629, B629), "")</f>
        <v>38</v>
      </c>
      <c r="AJ629">
        <f t="shared" si="171"/>
        <v>5</v>
      </c>
      <c r="AK629">
        <f t="shared" si="164"/>
        <v>4</v>
      </c>
      <c r="AL629">
        <f t="shared" si="172"/>
        <v>6</v>
      </c>
      <c r="AM629" t="str">
        <f t="shared" si="173"/>
        <v>June</v>
      </c>
      <c r="AN629">
        <f t="shared" si="174"/>
        <v>2023</v>
      </c>
      <c r="AO629" t="str">
        <f t="shared" si="175"/>
        <v>&gt;3</v>
      </c>
      <c r="AP629" t="str">
        <f t="shared" si="176"/>
        <v>&gt;3</v>
      </c>
      <c r="AQ629" t="str">
        <f t="shared" si="177"/>
        <v>&lt;=3</v>
      </c>
    </row>
    <row r="630" spans="1:43" x14ac:dyDescent="0.3">
      <c r="A630" t="s">
        <v>33</v>
      </c>
      <c r="B630" t="s">
        <v>386</v>
      </c>
      <c r="C630" t="s">
        <v>428</v>
      </c>
      <c r="D630">
        <v>1184</v>
      </c>
      <c r="E630">
        <v>23310006</v>
      </c>
      <c r="F630" t="s">
        <v>567</v>
      </c>
      <c r="G630" t="s">
        <v>568</v>
      </c>
      <c r="H630">
        <v>736</v>
      </c>
      <c r="I630">
        <v>134</v>
      </c>
      <c r="J630">
        <v>98624</v>
      </c>
      <c r="K630" s="7" t="str">
        <f>IFERROR(IF(B630&lt;&gt;"", TEXT(VLOOKUP(B630, 'Expected Date'!A:B, 2, FALSE) + DATE(RIGHT(C630,2),MID(C630,4,2),LEFT(C630,2)), "dd/mm/yy"), ""), "")</f>
        <v>08/04/23</v>
      </c>
      <c r="L630" t="s">
        <v>38</v>
      </c>
      <c r="M630" t="s">
        <v>39</v>
      </c>
      <c r="N630" t="s">
        <v>556</v>
      </c>
      <c r="O630" t="s">
        <v>35</v>
      </c>
      <c r="P630">
        <v>23390081</v>
      </c>
      <c r="Q630" t="s">
        <v>567</v>
      </c>
      <c r="R630" t="s">
        <v>568</v>
      </c>
      <c r="S630">
        <v>771.5</v>
      </c>
      <c r="T630">
        <v>134</v>
      </c>
      <c r="U630">
        <v>103381</v>
      </c>
      <c r="V630" t="str">
        <f t="shared" si="179"/>
        <v>Jhagadia</v>
      </c>
      <c r="W630" t="str">
        <f>VLOOKUP(B630, Currency!A:B, 2, FALSE)</f>
        <v>INR</v>
      </c>
      <c r="X630" t="str">
        <f t="shared" si="179"/>
        <v>Accepted</v>
      </c>
      <c r="Y630">
        <f>IFERROR(VLOOKUP(N630, Payment_Terms!A:B, 2, FALSE), "Payment term not found!")</f>
        <v>30</v>
      </c>
      <c r="Z630" t="str">
        <f>IFERROR(VLOOKUP(R630, Item_Category!A:B, 2, FALSE), "Uncategorized")</f>
        <v>Liner</v>
      </c>
      <c r="AA630" s="5">
        <f t="shared" si="165"/>
        <v>0</v>
      </c>
      <c r="AB630">
        <f t="shared" si="166"/>
        <v>5</v>
      </c>
      <c r="AC630" s="10">
        <f t="shared" si="167"/>
        <v>19</v>
      </c>
      <c r="AD630">
        <f t="shared" si="168"/>
        <v>1</v>
      </c>
      <c r="AE630" s="10">
        <f t="shared" si="169"/>
        <v>24</v>
      </c>
      <c r="AF630" s="5">
        <f t="shared" si="162"/>
        <v>1</v>
      </c>
      <c r="AG630" s="5">
        <f t="shared" si="163"/>
        <v>1</v>
      </c>
      <c r="AH630" s="5">
        <f t="shared" si="170"/>
        <v>0</v>
      </c>
      <c r="AI630">
        <f>IF(B630&lt;&gt;"", COUNTIFS($B$2:B630, B630), "")</f>
        <v>31</v>
      </c>
      <c r="AJ630">
        <f t="shared" si="171"/>
        <v>5</v>
      </c>
      <c r="AK630">
        <f t="shared" si="164"/>
        <v>4</v>
      </c>
      <c r="AL630">
        <f t="shared" si="172"/>
        <v>4</v>
      </c>
      <c r="AM630" t="str">
        <f t="shared" si="173"/>
        <v>April</v>
      </c>
      <c r="AN630">
        <f t="shared" si="174"/>
        <v>2023</v>
      </c>
      <c r="AO630" t="str">
        <f t="shared" si="175"/>
        <v>&gt;3</v>
      </c>
      <c r="AP630" t="str">
        <f t="shared" si="176"/>
        <v>&gt;3</v>
      </c>
      <c r="AQ630" t="str">
        <f t="shared" si="177"/>
        <v>&lt;=3</v>
      </c>
    </row>
    <row r="631" spans="1:43" x14ac:dyDescent="0.3">
      <c r="A631" t="s">
        <v>33</v>
      </c>
      <c r="B631" t="s">
        <v>395</v>
      </c>
      <c r="C631" t="s">
        <v>416</v>
      </c>
      <c r="D631">
        <v>2024</v>
      </c>
      <c r="E631">
        <v>23310112</v>
      </c>
      <c r="F631" t="s">
        <v>569</v>
      </c>
      <c r="G631" t="s">
        <v>570</v>
      </c>
      <c r="H631">
        <v>100</v>
      </c>
      <c r="I631">
        <v>11523.81</v>
      </c>
      <c r="J631">
        <v>1152381</v>
      </c>
      <c r="K631" s="7" t="str">
        <f>IFERROR(IF(B631&lt;&gt;"", TEXT(VLOOKUP(B631, 'Expected Date'!A:B, 2, FALSE) + DATE(RIGHT(C631,2),MID(C631,4,2),LEFT(C631,2)), "dd/mm/yy"), ""), "")</f>
        <v>25/05/23</v>
      </c>
      <c r="L631" t="s">
        <v>38</v>
      </c>
      <c r="M631" t="s">
        <v>48</v>
      </c>
      <c r="N631" t="s">
        <v>342</v>
      </c>
      <c r="O631" t="s">
        <v>414</v>
      </c>
      <c r="P631">
        <v>23390217</v>
      </c>
      <c r="Q631" t="s">
        <v>569</v>
      </c>
      <c r="R631" t="s">
        <v>570</v>
      </c>
      <c r="S631">
        <v>22.43</v>
      </c>
      <c r="T631">
        <v>11523.81</v>
      </c>
      <c r="U631">
        <v>258479.06</v>
      </c>
      <c r="V631" t="str">
        <f t="shared" si="179"/>
        <v>Jhagadia</v>
      </c>
      <c r="W631" t="str">
        <f>VLOOKUP(B631, Currency!A:B, 2, FALSE)</f>
        <v>INR</v>
      </c>
      <c r="X631" t="str">
        <f t="shared" si="179"/>
        <v>Accepted</v>
      </c>
      <c r="Y631">
        <f>IFERROR(VLOOKUP(N631, Payment_Terms!A:B, 2, FALSE), "Payment term not found!")</f>
        <v>30</v>
      </c>
      <c r="Z631" t="str">
        <f>IFERROR(VLOOKUP(R631, Item_Category!A:B, 2, FALSE), "Uncategorized")</f>
        <v>Coal materials</v>
      </c>
      <c r="AA631" s="5">
        <f t="shared" si="165"/>
        <v>0</v>
      </c>
      <c r="AB631">
        <f t="shared" si="166"/>
        <v>5</v>
      </c>
      <c r="AC631" s="10">
        <f t="shared" si="167"/>
        <v>7</v>
      </c>
      <c r="AD631">
        <f t="shared" si="168"/>
        <v>3</v>
      </c>
      <c r="AE631" s="10">
        <f t="shared" si="169"/>
        <v>12</v>
      </c>
      <c r="AF631" s="5">
        <f t="shared" si="162"/>
        <v>1</v>
      </c>
      <c r="AG631" s="5">
        <f t="shared" si="163"/>
        <v>1</v>
      </c>
      <c r="AH631" s="5">
        <f t="shared" si="170"/>
        <v>0</v>
      </c>
      <c r="AI631">
        <f>IF(B631&lt;&gt;"", COUNTIFS($B$2:B631, B631), "")</f>
        <v>28</v>
      </c>
      <c r="AJ631">
        <f t="shared" si="171"/>
        <v>5</v>
      </c>
      <c r="AK631">
        <f t="shared" si="164"/>
        <v>5</v>
      </c>
      <c r="AL631">
        <f t="shared" si="172"/>
        <v>5</v>
      </c>
      <c r="AM631" t="str">
        <f t="shared" si="173"/>
        <v>May</v>
      </c>
      <c r="AN631">
        <f t="shared" si="174"/>
        <v>2023</v>
      </c>
      <c r="AO631" t="str">
        <f t="shared" si="175"/>
        <v>&gt;3</v>
      </c>
      <c r="AP631" t="str">
        <f t="shared" si="176"/>
        <v>&gt;3</v>
      </c>
      <c r="AQ631" t="str">
        <f t="shared" si="177"/>
        <v>&lt;=3</v>
      </c>
    </row>
    <row r="632" spans="1:43" x14ac:dyDescent="0.3">
      <c r="A632" t="s">
        <v>95</v>
      </c>
      <c r="B632" t="s">
        <v>289</v>
      </c>
      <c r="C632" t="s">
        <v>394</v>
      </c>
      <c r="D632">
        <v>3808</v>
      </c>
      <c r="E632">
        <v>23320036</v>
      </c>
      <c r="F632" t="s">
        <v>571</v>
      </c>
      <c r="G632" t="s">
        <v>360</v>
      </c>
      <c r="H632">
        <v>98</v>
      </c>
      <c r="I632">
        <v>61500</v>
      </c>
      <c r="J632">
        <v>6027000</v>
      </c>
      <c r="K632" s="7" t="str">
        <f>IFERROR(IF(B632&lt;&gt;"", TEXT(VLOOKUP(B632, 'Expected Date'!A:B, 2, FALSE) + DATE(RIGHT(C632,2),MID(C632,4,2),LEFT(C632,2)), "dd/mm/yy"), ""), "")</f>
        <v>16/09/23</v>
      </c>
      <c r="L632" t="s">
        <v>38</v>
      </c>
      <c r="M632" t="s">
        <v>101</v>
      </c>
      <c r="N632" t="s">
        <v>109</v>
      </c>
      <c r="O632" t="s">
        <v>164</v>
      </c>
      <c r="P632">
        <v>23390517</v>
      </c>
      <c r="Q632" t="s">
        <v>571</v>
      </c>
      <c r="R632" t="s">
        <v>360</v>
      </c>
      <c r="S632">
        <v>30.34</v>
      </c>
      <c r="T632">
        <v>61500</v>
      </c>
      <c r="U632">
        <v>1865910</v>
      </c>
      <c r="V632" t="str">
        <f t="shared" si="179"/>
        <v>Jhagadia</v>
      </c>
      <c r="W632" t="str">
        <f>VLOOKUP(B632, Currency!A:B, 2, FALSE)</f>
        <v>INR</v>
      </c>
      <c r="X632" t="str">
        <f t="shared" si="179"/>
        <v>Accepted</v>
      </c>
      <c r="Y632">
        <f>IFERROR(VLOOKUP(N632, Payment_Terms!A:B, 2, FALSE), "Payment term not found!")</f>
        <v>0</v>
      </c>
      <c r="Z632" t="str">
        <f>IFERROR(VLOOKUP(R632, Item_Category!A:B, 2, FALSE), "Uncategorized")</f>
        <v>Wood pulp</v>
      </c>
      <c r="AA632" s="5">
        <f t="shared" si="165"/>
        <v>0</v>
      </c>
      <c r="AB632">
        <f t="shared" si="166"/>
        <v>5</v>
      </c>
      <c r="AC632" s="10">
        <f t="shared" si="167"/>
        <v>-8</v>
      </c>
      <c r="AD632">
        <f t="shared" si="168"/>
        <v>5</v>
      </c>
      <c r="AE632" s="10">
        <f t="shared" si="169"/>
        <v>22</v>
      </c>
      <c r="AF632" s="5">
        <f t="shared" si="162"/>
        <v>1</v>
      </c>
      <c r="AG632" s="5">
        <f t="shared" si="163"/>
        <v>1</v>
      </c>
      <c r="AH632" s="5">
        <f t="shared" si="170"/>
        <v>0</v>
      </c>
      <c r="AI632">
        <f>IF(B632&lt;&gt;"", COUNTIFS($B$2:B632, B632), "")</f>
        <v>18</v>
      </c>
      <c r="AJ632">
        <f t="shared" si="171"/>
        <v>5</v>
      </c>
      <c r="AK632">
        <f t="shared" si="164"/>
        <v>5</v>
      </c>
      <c r="AL632">
        <f t="shared" si="172"/>
        <v>8</v>
      </c>
      <c r="AM632" t="str">
        <f t="shared" si="173"/>
        <v>August</v>
      </c>
      <c r="AN632">
        <f t="shared" si="174"/>
        <v>2023</v>
      </c>
      <c r="AO632" t="str">
        <f t="shared" si="175"/>
        <v>&gt;3</v>
      </c>
      <c r="AP632" t="str">
        <f t="shared" si="176"/>
        <v>&gt;3</v>
      </c>
      <c r="AQ632" t="str">
        <f t="shared" si="177"/>
        <v>&gt;3</v>
      </c>
    </row>
    <row r="633" spans="1:43" x14ac:dyDescent="0.3">
      <c r="A633" t="str">
        <f>A632</f>
        <v>Woodpulp</v>
      </c>
      <c r="B633" t="s">
        <v>289</v>
      </c>
      <c r="C633" t="s">
        <v>394</v>
      </c>
      <c r="D633">
        <v>3808</v>
      </c>
      <c r="E633">
        <v>23320036</v>
      </c>
      <c r="F633" t="s">
        <v>571</v>
      </c>
      <c r="G633" t="s">
        <v>360</v>
      </c>
      <c r="H633">
        <v>98</v>
      </c>
      <c r="I633">
        <v>61500</v>
      </c>
      <c r="J633">
        <v>6027000</v>
      </c>
      <c r="K633" s="7" t="str">
        <f>IFERROR(IF(B633&lt;&gt;"", TEXT(VLOOKUP(B633, 'Expected Date'!A:B, 2, FALSE) + DATE(RIGHT(C633,2),MID(C633,4,2),LEFT(C633,2)), "dd/mm/yy"), ""), "")</f>
        <v>16/09/23</v>
      </c>
      <c r="L633" t="s">
        <v>38</v>
      </c>
      <c r="M633" t="str">
        <f>M632</f>
        <v>MT</v>
      </c>
      <c r="N633" t="s">
        <v>109</v>
      </c>
      <c r="O633" t="s">
        <v>164</v>
      </c>
      <c r="P633">
        <v>23390518</v>
      </c>
      <c r="Q633" t="s">
        <v>571</v>
      </c>
      <c r="R633" t="s">
        <v>360</v>
      </c>
      <c r="S633">
        <v>30.34</v>
      </c>
      <c r="T633">
        <v>61500</v>
      </c>
      <c r="U633">
        <v>1865910</v>
      </c>
      <c r="V633" t="str">
        <f t="shared" si="179"/>
        <v>Jhagadia</v>
      </c>
      <c r="W633" t="str">
        <f>VLOOKUP(B633, Currency!A:B, 2, FALSE)</f>
        <v>INR</v>
      </c>
      <c r="X633" t="str">
        <f t="shared" si="179"/>
        <v>Accepted</v>
      </c>
      <c r="Y633">
        <f>IFERROR(VLOOKUP(N633, Payment_Terms!A:B, 2, FALSE), "Payment term not found!")</f>
        <v>0</v>
      </c>
      <c r="Z633" t="str">
        <f>IFERROR(VLOOKUP(R633, Item_Category!A:B, 2, FALSE), "Uncategorized")</f>
        <v>Wood pulp</v>
      </c>
      <c r="AA633" s="5">
        <f t="shared" si="165"/>
        <v>0</v>
      </c>
      <c r="AB633">
        <f t="shared" si="166"/>
        <v>5</v>
      </c>
      <c r="AC633" s="10">
        <f t="shared" si="167"/>
        <v>-8</v>
      </c>
      <c r="AD633">
        <f t="shared" si="168"/>
        <v>5</v>
      </c>
      <c r="AE633" s="10">
        <f t="shared" si="169"/>
        <v>22</v>
      </c>
      <c r="AF633" s="5">
        <f t="shared" si="162"/>
        <v>1</v>
      </c>
      <c r="AG633" s="5">
        <f t="shared" si="163"/>
        <v>1</v>
      </c>
      <c r="AH633" s="5">
        <f t="shared" si="170"/>
        <v>0</v>
      </c>
      <c r="AI633">
        <f>IF(B633&lt;&gt;"", COUNTIFS($B$2:B633, B633), "")</f>
        <v>19</v>
      </c>
      <c r="AJ633">
        <f t="shared" si="171"/>
        <v>5</v>
      </c>
      <c r="AK633">
        <f t="shared" si="164"/>
        <v>5</v>
      </c>
      <c r="AL633">
        <f t="shared" si="172"/>
        <v>8</v>
      </c>
      <c r="AM633" t="str">
        <f t="shared" si="173"/>
        <v>August</v>
      </c>
      <c r="AN633">
        <f t="shared" si="174"/>
        <v>2023</v>
      </c>
      <c r="AO633" t="str">
        <f t="shared" si="175"/>
        <v>&gt;3</v>
      </c>
      <c r="AP633" t="str">
        <f t="shared" si="176"/>
        <v>&gt;3</v>
      </c>
      <c r="AQ633" t="str">
        <f t="shared" si="177"/>
        <v>&gt;3</v>
      </c>
    </row>
    <row r="634" spans="1:43" x14ac:dyDescent="0.3">
      <c r="A634" t="s">
        <v>33</v>
      </c>
      <c r="B634" t="s">
        <v>557</v>
      </c>
      <c r="C634" t="s">
        <v>57</v>
      </c>
      <c r="D634">
        <v>3523</v>
      </c>
      <c r="E634">
        <v>23310275</v>
      </c>
      <c r="F634" t="s">
        <v>558</v>
      </c>
      <c r="G634" t="s">
        <v>384</v>
      </c>
      <c r="H634">
        <v>400</v>
      </c>
      <c r="I634">
        <v>99</v>
      </c>
      <c r="J634">
        <v>39600</v>
      </c>
      <c r="K634" s="7" t="str">
        <f>IFERROR(IF(B634&lt;&gt;"", TEXT(VLOOKUP(B634, 'Expected Date'!A:B, 2, FALSE) + DATE(RIGHT(C634,2),MID(C634,4,2),LEFT(C634,2)), "dd/mm/yy"), ""), "")</f>
        <v>13/08/23</v>
      </c>
      <c r="L634" t="s">
        <v>38</v>
      </c>
      <c r="M634" t="s">
        <v>48</v>
      </c>
      <c r="N634" t="s">
        <v>364</v>
      </c>
      <c r="O634" t="s">
        <v>164</v>
      </c>
      <c r="P634">
        <v>23390523</v>
      </c>
      <c r="Q634" t="s">
        <v>558</v>
      </c>
      <c r="R634" t="s">
        <v>384</v>
      </c>
      <c r="S634">
        <v>100</v>
      </c>
      <c r="T634">
        <v>99</v>
      </c>
      <c r="U634">
        <v>9900</v>
      </c>
      <c r="V634" t="str">
        <f t="shared" si="179"/>
        <v>Jhagadia</v>
      </c>
      <c r="W634" t="str">
        <f>VLOOKUP(B634, Currency!A:B, 2, FALSE)</f>
        <v>INR</v>
      </c>
      <c r="X634" t="str">
        <f t="shared" si="179"/>
        <v>Accepted</v>
      </c>
      <c r="Y634">
        <f>IFERROR(VLOOKUP(N634, Payment_Terms!A:B, 2, FALSE), "Payment term not found!")</f>
        <v>30</v>
      </c>
      <c r="Z634" t="str">
        <f>IFERROR(VLOOKUP(R634, Item_Category!A:B, 2, FALSE), "Uncategorized")</f>
        <v>Gas</v>
      </c>
      <c r="AA634" s="5">
        <f t="shared" si="165"/>
        <v>0</v>
      </c>
      <c r="AB634">
        <f t="shared" si="166"/>
        <v>5</v>
      </c>
      <c r="AC634" s="10">
        <f t="shared" si="167"/>
        <v>26</v>
      </c>
      <c r="AD634">
        <f t="shared" si="168"/>
        <v>1</v>
      </c>
      <c r="AE634" s="10">
        <f t="shared" si="169"/>
        <v>36</v>
      </c>
      <c r="AF634" s="5">
        <f t="shared" si="162"/>
        <v>1</v>
      </c>
      <c r="AG634" s="5">
        <f t="shared" si="163"/>
        <v>1</v>
      </c>
      <c r="AH634" s="5">
        <f t="shared" si="170"/>
        <v>0</v>
      </c>
      <c r="AI634">
        <f>IF(B634&lt;&gt;"", COUNTIFS($B$2:B634, B634), "")</f>
        <v>2</v>
      </c>
      <c r="AJ634">
        <f t="shared" si="171"/>
        <v>5</v>
      </c>
      <c r="AK634">
        <f t="shared" si="164"/>
        <v>4</v>
      </c>
      <c r="AL634">
        <f t="shared" si="172"/>
        <v>8</v>
      </c>
      <c r="AM634" t="str">
        <f t="shared" si="173"/>
        <v>August</v>
      </c>
      <c r="AN634">
        <f t="shared" si="174"/>
        <v>2023</v>
      </c>
      <c r="AO634" t="str">
        <f t="shared" si="175"/>
        <v>&gt;3</v>
      </c>
      <c r="AP634" t="str">
        <f t="shared" si="176"/>
        <v>&gt;3</v>
      </c>
      <c r="AQ634" t="str">
        <f t="shared" si="177"/>
        <v>&lt;=3</v>
      </c>
    </row>
    <row r="635" spans="1:43" x14ac:dyDescent="0.3">
      <c r="A635" t="s">
        <v>33</v>
      </c>
      <c r="B635" t="s">
        <v>513</v>
      </c>
      <c r="C635" t="s">
        <v>103</v>
      </c>
      <c r="D635">
        <v>4198</v>
      </c>
      <c r="E635">
        <v>23310340</v>
      </c>
      <c r="F635" t="s">
        <v>563</v>
      </c>
      <c r="G635" t="s">
        <v>515</v>
      </c>
      <c r="H635">
        <v>2500</v>
      </c>
      <c r="I635">
        <v>24</v>
      </c>
      <c r="J635">
        <v>60000</v>
      </c>
      <c r="K635" s="7" t="str">
        <f>IFERROR(IF(B635&lt;&gt;"", TEXT(VLOOKUP(B635, 'Expected Date'!A:B, 2, FALSE) + DATE(RIGHT(C635,2),MID(C635,4,2),LEFT(C635,2)), "dd/mm/yy"), ""), "")</f>
        <v>08/09/23</v>
      </c>
      <c r="L635" t="s">
        <v>38</v>
      </c>
      <c r="M635" t="s">
        <v>48</v>
      </c>
      <c r="N635" t="s">
        <v>342</v>
      </c>
      <c r="O635" t="s">
        <v>164</v>
      </c>
      <c r="P635">
        <v>23390524</v>
      </c>
      <c r="Q635" t="s">
        <v>563</v>
      </c>
      <c r="R635" t="s">
        <v>515</v>
      </c>
      <c r="S635">
        <v>1000</v>
      </c>
      <c r="T635">
        <v>24</v>
      </c>
      <c r="U635">
        <v>24000</v>
      </c>
      <c r="V635" t="str">
        <f t="shared" si="179"/>
        <v>Jhagadia</v>
      </c>
      <c r="W635" t="str">
        <f>VLOOKUP(B635, Currency!A:B, 2, FALSE)</f>
        <v>INR</v>
      </c>
      <c r="X635" t="str">
        <f t="shared" si="179"/>
        <v>Accepted</v>
      </c>
      <c r="Y635">
        <f>IFERROR(VLOOKUP(N635, Payment_Terms!A:B, 2, FALSE), "Payment term not found!")</f>
        <v>30</v>
      </c>
      <c r="Z635" t="str">
        <f>IFERROR(VLOOKUP(R635, Item_Category!A:B, 2, FALSE), "Uncategorized")</f>
        <v xml:space="preserve">Caustic Soda </v>
      </c>
      <c r="AA635" s="5">
        <f t="shared" si="165"/>
        <v>0</v>
      </c>
      <c r="AB635">
        <f t="shared" si="166"/>
        <v>5</v>
      </c>
      <c r="AC635" s="10">
        <f t="shared" si="167"/>
        <v>0</v>
      </c>
      <c r="AD635">
        <f t="shared" si="168"/>
        <v>5</v>
      </c>
      <c r="AE635" s="10">
        <f t="shared" si="169"/>
        <v>2</v>
      </c>
      <c r="AF635" s="5">
        <f t="shared" si="162"/>
        <v>1</v>
      </c>
      <c r="AG635" s="5">
        <f t="shared" si="163"/>
        <v>1</v>
      </c>
      <c r="AH635" s="5">
        <f t="shared" si="170"/>
        <v>0</v>
      </c>
      <c r="AI635">
        <f>IF(B635&lt;&gt;"", COUNTIFS($B$2:B635, B635), "")</f>
        <v>5</v>
      </c>
      <c r="AJ635">
        <f t="shared" si="171"/>
        <v>5</v>
      </c>
      <c r="AK635">
        <f t="shared" si="164"/>
        <v>5</v>
      </c>
      <c r="AL635">
        <f t="shared" si="172"/>
        <v>9</v>
      </c>
      <c r="AM635" t="str">
        <f t="shared" si="173"/>
        <v>September</v>
      </c>
      <c r="AN635">
        <f t="shared" si="174"/>
        <v>2023</v>
      </c>
      <c r="AO635" t="str">
        <f t="shared" si="175"/>
        <v>&gt;3</v>
      </c>
      <c r="AP635" t="str">
        <f t="shared" si="176"/>
        <v>&gt;3</v>
      </c>
      <c r="AQ635" t="str">
        <f t="shared" si="177"/>
        <v>&gt;3</v>
      </c>
    </row>
    <row r="636" spans="1:43" x14ac:dyDescent="0.3">
      <c r="A636" t="s">
        <v>33</v>
      </c>
      <c r="B636" t="str">
        <f>B613</f>
        <v>Ami Enterprises</v>
      </c>
      <c r="C636" t="s">
        <v>172</v>
      </c>
      <c r="D636">
        <v>1187</v>
      </c>
      <c r="E636">
        <v>23310009</v>
      </c>
      <c r="F636" t="s">
        <v>572</v>
      </c>
      <c r="G636" t="s">
        <v>595</v>
      </c>
      <c r="H636">
        <v>2000</v>
      </c>
      <c r="I636">
        <v>35</v>
      </c>
      <c r="J636">
        <v>70000</v>
      </c>
      <c r="K636" s="7" t="str">
        <f>IFERROR(IF(B636&lt;&gt;"", TEXT(VLOOKUP(B636, 'Expected Date'!A:B, 2, FALSE) + DATE(RIGHT(C636,2),MID(C636,4,2),LEFT(C636,2)), "dd/mm/yy"), ""), "")</f>
        <v>16/04/23</v>
      </c>
      <c r="L636" t="s">
        <v>38</v>
      </c>
      <c r="M636" t="s">
        <v>39</v>
      </c>
      <c r="N636" t="s">
        <v>318</v>
      </c>
      <c r="O636" t="s">
        <v>124</v>
      </c>
      <c r="P636">
        <v>23390037</v>
      </c>
      <c r="Q636" t="s">
        <v>572</v>
      </c>
      <c r="R636" t="s">
        <v>595</v>
      </c>
      <c r="S636">
        <v>2176</v>
      </c>
      <c r="T636">
        <v>35</v>
      </c>
      <c r="U636">
        <v>76160</v>
      </c>
      <c r="V636" t="str">
        <f t="shared" si="179"/>
        <v>Jhagadia</v>
      </c>
      <c r="W636" t="str">
        <f>VLOOKUP(B636, Currency!A:B, 2, FALSE)</f>
        <v>INR</v>
      </c>
      <c r="X636" t="str">
        <f t="shared" si="179"/>
        <v>Accepted</v>
      </c>
      <c r="Y636">
        <f>IFERROR(VLOOKUP(N636, Payment_Terms!A:B, 2, FALSE), "Payment term not found!")</f>
        <v>30</v>
      </c>
      <c r="Z636" t="str">
        <f>IFERROR(VLOOKUP(R636, Item_Category!A:B, 2, FALSE), "Uncategorized")</f>
        <v>Bags</v>
      </c>
      <c r="AA636" s="5">
        <f t="shared" si="165"/>
        <v>0</v>
      </c>
      <c r="AB636">
        <f t="shared" si="166"/>
        <v>5</v>
      </c>
      <c r="AC636" s="10">
        <f t="shared" si="167"/>
        <v>2</v>
      </c>
      <c r="AD636">
        <f t="shared" si="168"/>
        <v>5</v>
      </c>
      <c r="AE636" s="10">
        <f t="shared" si="169"/>
        <v>12</v>
      </c>
      <c r="AF636" s="5">
        <f t="shared" si="162"/>
        <v>1</v>
      </c>
      <c r="AG636" s="5">
        <f t="shared" si="163"/>
        <v>1</v>
      </c>
      <c r="AH636" s="5">
        <f t="shared" si="170"/>
        <v>0</v>
      </c>
      <c r="AI636">
        <f>IF(B636&lt;&gt;"", COUNTIFS($B$2:B636, B636), "")</f>
        <v>43</v>
      </c>
      <c r="AJ636">
        <f t="shared" si="171"/>
        <v>5</v>
      </c>
      <c r="AK636">
        <f t="shared" si="164"/>
        <v>5</v>
      </c>
      <c r="AL636">
        <f t="shared" si="172"/>
        <v>4</v>
      </c>
      <c r="AM636" t="str">
        <f t="shared" si="173"/>
        <v>April</v>
      </c>
      <c r="AN636">
        <f t="shared" si="174"/>
        <v>2023</v>
      </c>
      <c r="AO636" t="str">
        <f t="shared" si="175"/>
        <v>&gt;3</v>
      </c>
      <c r="AP636" t="str">
        <f t="shared" si="176"/>
        <v>&gt;3</v>
      </c>
      <c r="AQ636" t="str">
        <f t="shared" si="177"/>
        <v>&gt;3</v>
      </c>
    </row>
    <row r="637" spans="1:43" x14ac:dyDescent="0.3">
      <c r="A637" t="s">
        <v>33</v>
      </c>
      <c r="B637" t="s">
        <v>366</v>
      </c>
      <c r="C637" t="s">
        <v>398</v>
      </c>
      <c r="D637">
        <v>1699</v>
      </c>
      <c r="E637">
        <v>23310072</v>
      </c>
      <c r="F637" t="s">
        <v>569</v>
      </c>
      <c r="G637" t="s">
        <v>570</v>
      </c>
      <c r="H637">
        <v>70</v>
      </c>
      <c r="I637">
        <v>10857.14</v>
      </c>
      <c r="J637">
        <v>759999.8</v>
      </c>
      <c r="K637" s="7" t="str">
        <f>IFERROR(IF(B637&lt;&gt;"", TEXT(VLOOKUP(B637, 'Expected Date'!A:B, 2, FALSE) + DATE(RIGHT(C637,2),MID(C637,4,2),LEFT(C637,2)), "dd/mm/yy"), ""), "")</f>
        <v>03/05/23</v>
      </c>
      <c r="L637" t="s">
        <v>38</v>
      </c>
      <c r="M637" t="s">
        <v>48</v>
      </c>
      <c r="N637" t="s">
        <v>574</v>
      </c>
      <c r="O637" t="s">
        <v>300</v>
      </c>
      <c r="P637">
        <v>23390139</v>
      </c>
      <c r="Q637" t="s">
        <v>569</v>
      </c>
      <c r="R637" t="s">
        <v>570</v>
      </c>
      <c r="S637">
        <v>28.58</v>
      </c>
      <c r="T637">
        <v>10857.14</v>
      </c>
      <c r="U637">
        <v>310297.06</v>
      </c>
      <c r="V637" t="str">
        <f t="shared" si="179"/>
        <v>Jhagadia</v>
      </c>
      <c r="W637" t="str">
        <f>VLOOKUP(B637, Currency!A:B, 2, FALSE)</f>
        <v>INR</v>
      </c>
      <c r="X637" t="str">
        <f t="shared" si="179"/>
        <v>Accepted</v>
      </c>
      <c r="Y637">
        <f>IFERROR(VLOOKUP(N637, Payment_Terms!A:B, 2, FALSE), "Payment term not found!")</f>
        <v>0</v>
      </c>
      <c r="Z637" t="str">
        <f>IFERROR(VLOOKUP(R637, Item_Category!A:B, 2, FALSE), "Uncategorized")</f>
        <v>Coal materials</v>
      </c>
      <c r="AA637" s="5">
        <f t="shared" si="165"/>
        <v>0</v>
      </c>
      <c r="AB637">
        <f t="shared" si="166"/>
        <v>5</v>
      </c>
      <c r="AC637" s="10">
        <f t="shared" si="167"/>
        <v>9</v>
      </c>
      <c r="AD637">
        <f t="shared" si="168"/>
        <v>2</v>
      </c>
      <c r="AE637" s="10">
        <f t="shared" si="169"/>
        <v>11</v>
      </c>
      <c r="AF637" s="5">
        <f t="shared" si="162"/>
        <v>1</v>
      </c>
      <c r="AG637" s="5">
        <f t="shared" si="163"/>
        <v>1</v>
      </c>
      <c r="AH637" s="5">
        <f t="shared" si="170"/>
        <v>0</v>
      </c>
      <c r="AI637">
        <f>IF(B637&lt;&gt;"", COUNTIFS($B$2:B637, B637), "")</f>
        <v>73</v>
      </c>
      <c r="AJ637">
        <f t="shared" si="171"/>
        <v>5</v>
      </c>
      <c r="AK637">
        <f t="shared" si="164"/>
        <v>5</v>
      </c>
      <c r="AL637">
        <f t="shared" si="172"/>
        <v>5</v>
      </c>
      <c r="AM637" t="str">
        <f t="shared" si="173"/>
        <v>May</v>
      </c>
      <c r="AN637">
        <f t="shared" si="174"/>
        <v>2023</v>
      </c>
      <c r="AO637" t="str">
        <f t="shared" si="175"/>
        <v>&gt;3</v>
      </c>
      <c r="AP637" t="str">
        <f t="shared" si="176"/>
        <v>&gt;3</v>
      </c>
      <c r="AQ637" t="str">
        <f t="shared" si="177"/>
        <v>&lt;=3</v>
      </c>
    </row>
    <row r="638" spans="1:43" x14ac:dyDescent="0.3">
      <c r="A638" t="s">
        <v>33</v>
      </c>
      <c r="B638" t="s">
        <v>371</v>
      </c>
      <c r="C638" t="s">
        <v>78</v>
      </c>
      <c r="D638">
        <v>3998</v>
      </c>
      <c r="E638">
        <v>23310325</v>
      </c>
      <c r="F638" t="s">
        <v>552</v>
      </c>
      <c r="G638" t="s">
        <v>373</v>
      </c>
      <c r="H638">
        <v>20</v>
      </c>
      <c r="I638">
        <v>1700</v>
      </c>
      <c r="J638">
        <v>34000</v>
      </c>
      <c r="K638" s="7" t="str">
        <f>IFERROR(IF(B638&lt;&gt;"", TEXT(VLOOKUP(B638, 'Expected Date'!A:B, 2, FALSE) + DATE(RIGHT(C638,2),MID(C638,4,2),LEFT(C638,2)), "dd/mm/yy"), ""), "")</f>
        <v>29/08/23</v>
      </c>
      <c r="L638" t="s">
        <v>38</v>
      </c>
      <c r="M638" t="s">
        <v>48</v>
      </c>
      <c r="N638" t="s">
        <v>318</v>
      </c>
      <c r="O638" t="s">
        <v>531</v>
      </c>
      <c r="P638">
        <v>23390527</v>
      </c>
      <c r="Q638" t="s">
        <v>552</v>
      </c>
      <c r="R638" t="s">
        <v>373</v>
      </c>
      <c r="S638">
        <v>10.15</v>
      </c>
      <c r="T638">
        <v>1700</v>
      </c>
      <c r="U638">
        <v>17255</v>
      </c>
      <c r="V638" t="str">
        <f t="shared" si="179"/>
        <v>Jhagadia</v>
      </c>
      <c r="W638" t="str">
        <f>VLOOKUP(B638, Currency!A:B, 2, FALSE)</f>
        <v>INR</v>
      </c>
      <c r="X638" t="str">
        <f t="shared" si="179"/>
        <v>Accepted</v>
      </c>
      <c r="Y638">
        <f>IFERROR(VLOOKUP(N638, Payment_Terms!A:B, 2, FALSE), "Payment term not found!")</f>
        <v>30</v>
      </c>
      <c r="Z638" t="str">
        <f>IFERROR(VLOOKUP(R638, Item_Category!A:B, 2, FALSE), "Uncategorized")</f>
        <v>HCL</v>
      </c>
      <c r="AA638" s="5">
        <f t="shared" si="165"/>
        <v>0</v>
      </c>
      <c r="AB638">
        <f t="shared" si="166"/>
        <v>5</v>
      </c>
      <c r="AC638" s="10">
        <f t="shared" si="167"/>
        <v>12</v>
      </c>
      <c r="AD638">
        <f t="shared" si="168"/>
        <v>1</v>
      </c>
      <c r="AE638" s="10">
        <f t="shared" si="169"/>
        <v>17</v>
      </c>
      <c r="AF638" s="5">
        <f t="shared" si="162"/>
        <v>1</v>
      </c>
      <c r="AG638" s="5">
        <f t="shared" si="163"/>
        <v>1</v>
      </c>
      <c r="AH638" s="5">
        <f t="shared" si="170"/>
        <v>0</v>
      </c>
      <c r="AI638">
        <f>IF(B638&lt;&gt;"", COUNTIFS($B$2:B638, B638), "")</f>
        <v>15</v>
      </c>
      <c r="AJ638">
        <f t="shared" si="171"/>
        <v>5</v>
      </c>
      <c r="AK638">
        <f t="shared" si="164"/>
        <v>4</v>
      </c>
      <c r="AL638">
        <f t="shared" si="172"/>
        <v>8</v>
      </c>
      <c r="AM638" t="str">
        <f t="shared" si="173"/>
        <v>August</v>
      </c>
      <c r="AN638">
        <f t="shared" si="174"/>
        <v>2023</v>
      </c>
      <c r="AO638" t="str">
        <f t="shared" si="175"/>
        <v>&gt;3</v>
      </c>
      <c r="AP638" t="str">
        <f t="shared" si="176"/>
        <v>&gt;3</v>
      </c>
      <c r="AQ638" t="str">
        <f t="shared" si="177"/>
        <v>&lt;=3</v>
      </c>
    </row>
    <row r="639" spans="1:43" x14ac:dyDescent="0.3">
      <c r="A639" t="s">
        <v>33</v>
      </c>
      <c r="B639" t="s">
        <v>366</v>
      </c>
      <c r="C639" t="s">
        <v>178</v>
      </c>
      <c r="D639">
        <v>4155</v>
      </c>
      <c r="E639">
        <v>23310339</v>
      </c>
      <c r="F639" t="s">
        <v>569</v>
      </c>
      <c r="G639" t="s">
        <v>570</v>
      </c>
      <c r="H639">
        <v>150</v>
      </c>
      <c r="I639">
        <v>9800</v>
      </c>
      <c r="J639">
        <v>1470000</v>
      </c>
      <c r="K639" s="7" t="str">
        <f>IFERROR(IF(B639&lt;&gt;"", TEXT(VLOOKUP(B639, 'Expected Date'!A:B, 2, FALSE) + DATE(RIGHT(C639,2),MID(C639,4,2),LEFT(C639,2)), "dd/mm/yy"), ""), "")</f>
        <v>03/09/23</v>
      </c>
      <c r="L639" t="s">
        <v>38</v>
      </c>
      <c r="M639" t="s">
        <v>48</v>
      </c>
      <c r="N639" t="s">
        <v>532</v>
      </c>
      <c r="O639" t="s">
        <v>106</v>
      </c>
      <c r="P639">
        <v>23390528</v>
      </c>
      <c r="Q639" t="s">
        <v>569</v>
      </c>
      <c r="R639" t="s">
        <v>570</v>
      </c>
      <c r="S639">
        <v>29.22</v>
      </c>
      <c r="T639">
        <v>9800</v>
      </c>
      <c r="U639">
        <v>286356</v>
      </c>
      <c r="V639" t="str">
        <f t="shared" si="179"/>
        <v>Jhagadia</v>
      </c>
      <c r="W639" t="str">
        <f>VLOOKUP(B639, Currency!A:B, 2, FALSE)</f>
        <v>INR</v>
      </c>
      <c r="X639" t="str">
        <f t="shared" si="179"/>
        <v>Accepted</v>
      </c>
      <c r="Y639">
        <f>IFERROR(VLOOKUP(N639, Payment_Terms!A:B, 2, FALSE), "Payment term not found!")</f>
        <v>15</v>
      </c>
      <c r="Z639" t="str">
        <f>IFERROR(VLOOKUP(R639, Item_Category!A:B, 2, FALSE), "Uncategorized")</f>
        <v>Coal materials</v>
      </c>
      <c r="AA639" s="5">
        <f t="shared" si="165"/>
        <v>0</v>
      </c>
      <c r="AB639">
        <f t="shared" si="166"/>
        <v>5</v>
      </c>
      <c r="AC639" s="10">
        <f t="shared" si="167"/>
        <v>6</v>
      </c>
      <c r="AD639">
        <f t="shared" si="168"/>
        <v>3</v>
      </c>
      <c r="AE639" s="10">
        <f t="shared" si="169"/>
        <v>8</v>
      </c>
      <c r="AF639" s="5">
        <f t="shared" si="162"/>
        <v>1</v>
      </c>
      <c r="AG639" s="5">
        <f t="shared" si="163"/>
        <v>1</v>
      </c>
      <c r="AH639" s="5">
        <f t="shared" si="170"/>
        <v>0</v>
      </c>
      <c r="AI639">
        <f>IF(B639&lt;&gt;"", COUNTIFS($B$2:B639, B639), "")</f>
        <v>74</v>
      </c>
      <c r="AJ639">
        <f t="shared" si="171"/>
        <v>5</v>
      </c>
      <c r="AK639">
        <f t="shared" si="164"/>
        <v>5</v>
      </c>
      <c r="AL639">
        <f t="shared" si="172"/>
        <v>9</v>
      </c>
      <c r="AM639" t="str">
        <f t="shared" si="173"/>
        <v>September</v>
      </c>
      <c r="AN639">
        <f t="shared" si="174"/>
        <v>2023</v>
      </c>
      <c r="AO639" t="str">
        <f t="shared" si="175"/>
        <v>&gt;3</v>
      </c>
      <c r="AP639" t="str">
        <f t="shared" si="176"/>
        <v>&gt;3</v>
      </c>
      <c r="AQ639" t="str">
        <f t="shared" si="177"/>
        <v>&lt;=3</v>
      </c>
    </row>
    <row r="640" spans="1:43" x14ac:dyDescent="0.3">
      <c r="A640" t="s">
        <v>33</v>
      </c>
      <c r="B640" t="s">
        <v>386</v>
      </c>
      <c r="C640" t="s">
        <v>354</v>
      </c>
      <c r="D640">
        <v>2794</v>
      </c>
      <c r="E640">
        <v>23310213</v>
      </c>
      <c r="F640" t="s">
        <v>554</v>
      </c>
      <c r="G640" t="s">
        <v>555</v>
      </c>
      <c r="H640">
        <v>8000</v>
      </c>
      <c r="I640">
        <v>19.5</v>
      </c>
      <c r="J640">
        <v>156000</v>
      </c>
      <c r="K640" s="7" t="str">
        <f>IFERROR(IF(B640&lt;&gt;"", TEXT(VLOOKUP(B640, 'Expected Date'!A:B, 2, FALSE) + DATE(RIGHT(C640,2),MID(C640,4,2),LEFT(C640,2)), "dd/mm/yy"), ""), "")</f>
        <v>08/07/23</v>
      </c>
      <c r="L640" t="s">
        <v>38</v>
      </c>
      <c r="M640" t="s">
        <v>39</v>
      </c>
      <c r="N640" t="s">
        <v>318</v>
      </c>
      <c r="O640" t="s">
        <v>117</v>
      </c>
      <c r="P640">
        <v>23390297</v>
      </c>
      <c r="Q640" t="s">
        <v>554</v>
      </c>
      <c r="R640" t="s">
        <v>555</v>
      </c>
      <c r="S640">
        <v>3200</v>
      </c>
      <c r="T640">
        <v>19.5</v>
      </c>
      <c r="U640">
        <v>62400</v>
      </c>
      <c r="V640" t="str">
        <f t="shared" si="179"/>
        <v>Jhagadia</v>
      </c>
      <c r="W640" t="str">
        <f>VLOOKUP(B640, Currency!A:B, 2, FALSE)</f>
        <v>INR</v>
      </c>
      <c r="X640" t="str">
        <f t="shared" si="179"/>
        <v>Accepted</v>
      </c>
      <c r="Y640">
        <f>IFERROR(VLOOKUP(N640, Payment_Terms!A:B, 2, FALSE), "Payment term not found!")</f>
        <v>30</v>
      </c>
      <c r="Z640" t="str">
        <f>IFERROR(VLOOKUP(R640, Item_Category!A:B, 2, FALSE), "Uncategorized")</f>
        <v>HDPE bag acecel</v>
      </c>
      <c r="AA640" s="5">
        <f t="shared" si="165"/>
        <v>0</v>
      </c>
      <c r="AB640">
        <f t="shared" si="166"/>
        <v>5</v>
      </c>
      <c r="AC640" s="10">
        <f t="shared" si="167"/>
        <v>-1</v>
      </c>
      <c r="AD640">
        <f t="shared" si="168"/>
        <v>5</v>
      </c>
      <c r="AE640" s="10">
        <f t="shared" si="169"/>
        <v>4</v>
      </c>
      <c r="AF640" s="5">
        <f t="shared" si="162"/>
        <v>1</v>
      </c>
      <c r="AG640" s="5">
        <f t="shared" si="163"/>
        <v>1</v>
      </c>
      <c r="AH640" s="5">
        <f t="shared" si="170"/>
        <v>0</v>
      </c>
      <c r="AI640">
        <f>IF(B640&lt;&gt;"", COUNTIFS($B$2:B640, B640), "")</f>
        <v>32</v>
      </c>
      <c r="AJ640">
        <f t="shared" si="171"/>
        <v>5</v>
      </c>
      <c r="AK640">
        <f t="shared" si="164"/>
        <v>5</v>
      </c>
      <c r="AL640">
        <f t="shared" si="172"/>
        <v>7</v>
      </c>
      <c r="AM640" t="str">
        <f t="shared" si="173"/>
        <v>July</v>
      </c>
      <c r="AN640">
        <f t="shared" si="174"/>
        <v>2023</v>
      </c>
      <c r="AO640" t="str">
        <f t="shared" si="175"/>
        <v>&gt;3</v>
      </c>
      <c r="AP640" t="str">
        <f t="shared" si="176"/>
        <v>&gt;3</v>
      </c>
      <c r="AQ640" t="str">
        <f t="shared" si="177"/>
        <v>&gt;3</v>
      </c>
    </row>
    <row r="641" spans="1:43" x14ac:dyDescent="0.3">
      <c r="A641" t="str">
        <f>A632</f>
        <v>Woodpulp</v>
      </c>
      <c r="B641" t="s">
        <v>289</v>
      </c>
      <c r="C641" t="s">
        <v>394</v>
      </c>
      <c r="D641">
        <v>3805</v>
      </c>
      <c r="E641">
        <v>23320035</v>
      </c>
      <c r="F641" t="s">
        <v>575</v>
      </c>
      <c r="G641" t="s">
        <v>291</v>
      </c>
      <c r="H641">
        <v>100</v>
      </c>
      <c r="I641">
        <v>48000</v>
      </c>
      <c r="J641">
        <v>4800000</v>
      </c>
      <c r="K641" s="7" t="str">
        <f>IFERROR(IF(B641&lt;&gt;"", TEXT(VLOOKUP(B641, 'Expected Date'!A:B, 2, FALSE) + DATE(RIGHT(C641,2),MID(C641,4,2),LEFT(C641,2)), "dd/mm/yy"), ""), "")</f>
        <v>16/09/23</v>
      </c>
      <c r="L641" t="s">
        <v>38</v>
      </c>
      <c r="M641" t="str">
        <f>M633</f>
        <v>MT</v>
      </c>
      <c r="N641" t="s">
        <v>273</v>
      </c>
      <c r="O641" t="s">
        <v>164</v>
      </c>
      <c r="P641">
        <v>23390520</v>
      </c>
      <c r="Q641" t="s">
        <v>575</v>
      </c>
      <c r="R641" t="s">
        <v>291</v>
      </c>
      <c r="S641">
        <v>25.155000000000001</v>
      </c>
      <c r="T641">
        <v>48000</v>
      </c>
      <c r="U641">
        <v>1207440</v>
      </c>
      <c r="V641" t="str">
        <f t="shared" si="179"/>
        <v>Jhagadia</v>
      </c>
      <c r="W641" t="str">
        <f>VLOOKUP(B641, Currency!A:B, 2, FALSE)</f>
        <v>INR</v>
      </c>
      <c r="X641" t="str">
        <f t="shared" si="179"/>
        <v>Accepted</v>
      </c>
      <c r="Y641">
        <f>IFERROR(VLOOKUP(N641, Payment_Terms!A:B, 2, FALSE), "Payment term not found!")</f>
        <v>0</v>
      </c>
      <c r="Z641" t="str">
        <f>IFERROR(VLOOKUP(R641, Item_Category!A:B, 2, FALSE), "Uncategorized")</f>
        <v>Wood pulp</v>
      </c>
      <c r="AA641" s="5">
        <f t="shared" si="165"/>
        <v>0</v>
      </c>
      <c r="AB641">
        <f t="shared" si="166"/>
        <v>5</v>
      </c>
      <c r="AC641" s="10">
        <f t="shared" si="167"/>
        <v>-8</v>
      </c>
      <c r="AD641">
        <f t="shared" si="168"/>
        <v>5</v>
      </c>
      <c r="AE641" s="10">
        <f t="shared" si="169"/>
        <v>22</v>
      </c>
      <c r="AF641" s="5">
        <f t="shared" si="162"/>
        <v>1</v>
      </c>
      <c r="AG641" s="5">
        <f t="shared" si="163"/>
        <v>1</v>
      </c>
      <c r="AH641" s="5">
        <f t="shared" si="170"/>
        <v>0</v>
      </c>
      <c r="AI641">
        <f>IF(B641&lt;&gt;"", COUNTIFS($B$2:B641, B641), "")</f>
        <v>20</v>
      </c>
      <c r="AJ641">
        <f t="shared" si="171"/>
        <v>5</v>
      </c>
      <c r="AK641">
        <f t="shared" si="164"/>
        <v>5</v>
      </c>
      <c r="AL641">
        <f t="shared" si="172"/>
        <v>8</v>
      </c>
      <c r="AM641" t="str">
        <f t="shared" si="173"/>
        <v>August</v>
      </c>
      <c r="AN641">
        <f t="shared" si="174"/>
        <v>2023</v>
      </c>
      <c r="AO641" t="str">
        <f t="shared" si="175"/>
        <v>&gt;3</v>
      </c>
      <c r="AP641" t="str">
        <f t="shared" si="176"/>
        <v>&gt;3</v>
      </c>
      <c r="AQ641" t="str">
        <f t="shared" si="177"/>
        <v>&gt;3</v>
      </c>
    </row>
    <row r="642" spans="1:43" x14ac:dyDescent="0.3">
      <c r="A642" t="str">
        <f>A632</f>
        <v>Woodpulp</v>
      </c>
      <c r="B642" t="s">
        <v>289</v>
      </c>
      <c r="C642" t="s">
        <v>394</v>
      </c>
      <c r="D642">
        <v>3805</v>
      </c>
      <c r="E642">
        <v>23320035</v>
      </c>
      <c r="F642" t="s">
        <v>575</v>
      </c>
      <c r="G642" t="s">
        <v>291</v>
      </c>
      <c r="H642">
        <v>100</v>
      </c>
      <c r="I642">
        <v>48000</v>
      </c>
      <c r="J642">
        <v>4800000</v>
      </c>
      <c r="K642" s="7" t="str">
        <f>IFERROR(IF(B642&lt;&gt;"", TEXT(VLOOKUP(B642, 'Expected Date'!A:B, 2, FALSE) + DATE(RIGHT(C642,2),MID(C642,4,2),LEFT(C642,2)), "dd/mm/yy"), ""), "")</f>
        <v>16/09/23</v>
      </c>
      <c r="L642" t="s">
        <v>38</v>
      </c>
      <c r="M642" t="str">
        <f>M641</f>
        <v>MT</v>
      </c>
      <c r="N642" t="s">
        <v>273</v>
      </c>
      <c r="O642" t="s">
        <v>164</v>
      </c>
      <c r="P642">
        <v>23390521</v>
      </c>
      <c r="Q642" t="s">
        <v>575</v>
      </c>
      <c r="R642" t="s">
        <v>291</v>
      </c>
      <c r="S642">
        <v>30.186</v>
      </c>
      <c r="T642">
        <v>48000</v>
      </c>
      <c r="U642">
        <v>1448928</v>
      </c>
      <c r="V642" t="str">
        <f t="shared" si="179"/>
        <v>Jhagadia</v>
      </c>
      <c r="W642" t="str">
        <f>VLOOKUP(B642, Currency!A:B, 2, FALSE)</f>
        <v>INR</v>
      </c>
      <c r="X642" t="str">
        <f t="shared" si="179"/>
        <v>Accepted</v>
      </c>
      <c r="Y642">
        <f>IFERROR(VLOOKUP(N642, Payment_Terms!A:B, 2, FALSE), "Payment term not found!")</f>
        <v>0</v>
      </c>
      <c r="Z642" t="str">
        <f>IFERROR(VLOOKUP(R642, Item_Category!A:B, 2, FALSE), "Uncategorized")</f>
        <v>Wood pulp</v>
      </c>
      <c r="AA642" s="5">
        <f t="shared" si="165"/>
        <v>0</v>
      </c>
      <c r="AB642">
        <f t="shared" si="166"/>
        <v>5</v>
      </c>
      <c r="AC642" s="10">
        <f t="shared" si="167"/>
        <v>-8</v>
      </c>
      <c r="AD642">
        <f t="shared" si="168"/>
        <v>5</v>
      </c>
      <c r="AE642" s="10">
        <f t="shared" si="169"/>
        <v>22</v>
      </c>
      <c r="AF642" s="5">
        <f t="shared" ref="AF642:AF705" si="180">IF(X642="Accepted",1,0)</f>
        <v>1</v>
      </c>
      <c r="AG642" s="5">
        <f t="shared" ref="AG642:AG705" si="181">ROUNDUP((SUMIFS(S:S, B:B, B642, X:X, "Accepted")/SUMIF(B:B,B642,S:S)),2)</f>
        <v>1</v>
      </c>
      <c r="AH642" s="5">
        <f t="shared" si="170"/>
        <v>0</v>
      </c>
      <c r="AI642">
        <f>IF(B642&lt;&gt;"", COUNTIFS($B$2:B642, B642), "")</f>
        <v>21</v>
      </c>
      <c r="AJ642">
        <f t="shared" si="171"/>
        <v>5</v>
      </c>
      <c r="AK642">
        <f t="shared" ref="AK642:AK705" si="182">_xlfn.CEILING.MATH(((0.4*AJ642)+(0.3*AD642)+(0.3*AB642)),1)</f>
        <v>5</v>
      </c>
      <c r="AL642">
        <f t="shared" si="172"/>
        <v>8</v>
      </c>
      <c r="AM642" t="str">
        <f t="shared" si="173"/>
        <v>August</v>
      </c>
      <c r="AN642">
        <f t="shared" si="174"/>
        <v>2023</v>
      </c>
      <c r="AO642" t="str">
        <f t="shared" si="175"/>
        <v>&gt;3</v>
      </c>
      <c r="AP642" t="str">
        <f t="shared" si="176"/>
        <v>&gt;3</v>
      </c>
      <c r="AQ642" t="str">
        <f t="shared" si="177"/>
        <v>&gt;3</v>
      </c>
    </row>
    <row r="643" spans="1:43" x14ac:dyDescent="0.3">
      <c r="A643" t="str">
        <f>A632</f>
        <v>Woodpulp</v>
      </c>
      <c r="B643" t="s">
        <v>289</v>
      </c>
      <c r="C643" t="s">
        <v>394</v>
      </c>
      <c r="D643">
        <v>3805</v>
      </c>
      <c r="E643">
        <v>23320035</v>
      </c>
      <c r="F643" t="s">
        <v>575</v>
      </c>
      <c r="G643" t="s">
        <v>291</v>
      </c>
      <c r="H643">
        <v>100</v>
      </c>
      <c r="I643">
        <v>48000</v>
      </c>
      <c r="J643">
        <v>4800000</v>
      </c>
      <c r="K643" s="7" t="str">
        <f>IFERROR(IF(B643&lt;&gt;"", TEXT(VLOOKUP(B643, 'Expected Date'!A:B, 2, FALSE) + DATE(RIGHT(C643,2),MID(C643,4,2),LEFT(C643,2)), "dd/mm/yy"), ""), "")</f>
        <v>16/09/23</v>
      </c>
      <c r="L643" t="s">
        <v>38</v>
      </c>
      <c r="M643" t="str">
        <f>M642</f>
        <v>MT</v>
      </c>
      <c r="N643" t="s">
        <v>273</v>
      </c>
      <c r="O643" t="s">
        <v>164</v>
      </c>
      <c r="P643">
        <v>23390522</v>
      </c>
      <c r="Q643" t="s">
        <v>575</v>
      </c>
      <c r="R643" t="s">
        <v>291</v>
      </c>
      <c r="S643">
        <v>30.186</v>
      </c>
      <c r="T643">
        <v>48000</v>
      </c>
      <c r="U643">
        <v>1448928</v>
      </c>
      <c r="V643" t="str">
        <f t="shared" si="179"/>
        <v>Jhagadia</v>
      </c>
      <c r="W643" t="str">
        <f>VLOOKUP(B643, Currency!A:B, 2, FALSE)</f>
        <v>INR</v>
      </c>
      <c r="X643" t="str">
        <f t="shared" si="179"/>
        <v>Accepted</v>
      </c>
      <c r="Y643">
        <f>IFERROR(VLOOKUP(N643, Payment_Terms!A:B, 2, FALSE), "Payment term not found!")</f>
        <v>0</v>
      </c>
      <c r="Z643" t="str">
        <f>IFERROR(VLOOKUP(R643, Item_Category!A:B, 2, FALSE), "Uncategorized")</f>
        <v>Wood pulp</v>
      </c>
      <c r="AA643" s="5">
        <f t="shared" ref="AA643:AA706" si="183">IFERROR(IF(AND(E643&lt;&gt;"", G643&lt;&gt;""), MAX(0, (H643-SUMIFS(S:S, E:E, E643, G:G, G643))/H643), ""), (H643-S643)/H643)</f>
        <v>0</v>
      </c>
      <c r="AB643">
        <f t="shared" ref="AB643:AB706" si="184">IF(AA643&lt;=0%,5,(IF(AND(AA643&gt;0%,AA643&lt;=2%),4,IF(AND(AA643&gt;2%,AA643&lt;=5%),3,IF(AND(AA643&gt;5%,AA643&lt;10%),2,1)))))</f>
        <v>5</v>
      </c>
      <c r="AC643" s="10">
        <f t="shared" ref="AC643:AC706" si="185">DATE(RIGHT(O643,2),MID(O643,4,2),LEFT(O643,2)) - DATE(RIGHT(K643,2),MID(K643,4,2),LEFT(K643,2))</f>
        <v>-8</v>
      </c>
      <c r="AD643">
        <f t="shared" ref="AD643:AD706" si="186">IF(AC643 &lt;= 2, 5, IF(AC643 &lt;= 4, 4, IF(AC643 &lt;= 7, 3, IF(AC643&lt;=10,2,1))))</f>
        <v>5</v>
      </c>
      <c r="AE643" s="10">
        <f t="shared" ref="AE643:AE706" si="187">ABS(DATE(RIGHT(O643,2),MID(O643,4,2),LEFT(O643,2)) - DATE(RIGHT(C643,2),MID(C643,4,2),LEFT(C643,2)))</f>
        <v>22</v>
      </c>
      <c r="AF643" s="5">
        <f t="shared" si="180"/>
        <v>1</v>
      </c>
      <c r="AG643" s="5">
        <f t="shared" si="181"/>
        <v>1</v>
      </c>
      <c r="AH643" s="5">
        <f t="shared" ref="AH643:AH706" si="188">ROUNDUP(ABS(100%-AG643),2)</f>
        <v>0</v>
      </c>
      <c r="AI643">
        <f>IF(B643&lt;&gt;"", COUNTIFS($B$2:B643, B643), "")</f>
        <v>22</v>
      </c>
      <c r="AJ643">
        <f t="shared" ref="AJ643:AJ706" si="189">IF(AH643=0%,5,IF(AND(AH643&gt;0%,AH643&lt;=2%),4,IF(AND(AH643&gt;2%,AH643&lt;=5%),3,IF(AND(AH643&gt;5%,AH643&lt;10%),2,1))))</f>
        <v>5</v>
      </c>
      <c r="AK643">
        <f t="shared" si="182"/>
        <v>5</v>
      </c>
      <c r="AL643">
        <f t="shared" ref="AL643:AL706" si="190">MONTH(DATE(RIGHT(C643,2),MID(C643,4,2),LEFT(C643,2)))</f>
        <v>8</v>
      </c>
      <c r="AM643" t="str">
        <f t="shared" ref="AM643:AM706" si="191">TEXT(DATE(RIGHT(C643,2),MID(C643,4,2),LEFT(C643,2)),"mmmm")</f>
        <v>August</v>
      </c>
      <c r="AN643">
        <f t="shared" ref="AN643:AN706" si="192">YEAR(DATE(VALUE(MID(C643,7,2))+2000, MID(C643,4,2), MID(C643,1,2)))</f>
        <v>2023</v>
      </c>
      <c r="AO643" t="str">
        <f t="shared" ref="AO643:AO706" si="193">IF(AJ643&lt;=3,"&lt;=3","&gt;3")</f>
        <v>&gt;3</v>
      </c>
      <c r="AP643" t="str">
        <f t="shared" ref="AP643:AP706" si="194">IF(AB643&lt;=3,"&lt;=3","&gt;3")</f>
        <v>&gt;3</v>
      </c>
      <c r="AQ643" t="str">
        <f t="shared" ref="AQ643:AQ706" si="195">IF(AD643&lt;=3,"&lt;=3","&gt;3")</f>
        <v>&gt;3</v>
      </c>
    </row>
    <row r="644" spans="1:43" x14ac:dyDescent="0.3">
      <c r="A644" t="s">
        <v>33</v>
      </c>
      <c r="B644" t="s">
        <v>513</v>
      </c>
      <c r="C644" t="s">
        <v>172</v>
      </c>
      <c r="D644">
        <v>1186</v>
      </c>
      <c r="E644">
        <v>23310008</v>
      </c>
      <c r="F644" t="s">
        <v>563</v>
      </c>
      <c r="G644" t="s">
        <v>515</v>
      </c>
      <c r="H644">
        <v>2500</v>
      </c>
      <c r="I644">
        <v>26</v>
      </c>
      <c r="J644">
        <v>65000</v>
      </c>
      <c r="K644" s="7" t="str">
        <f>IFERROR(IF(B644&lt;&gt;"", TEXT(VLOOKUP(B644, 'Expected Date'!A:B, 2, FALSE) + DATE(RIGHT(C644,2),MID(C644,4,2),LEFT(C644,2)), "dd/mm/yy"), ""), "")</f>
        <v>08/04/23</v>
      </c>
      <c r="L644" t="s">
        <v>38</v>
      </c>
      <c r="M644" t="s">
        <v>48</v>
      </c>
      <c r="N644" t="s">
        <v>342</v>
      </c>
      <c r="O644" t="s">
        <v>562</v>
      </c>
      <c r="P644">
        <v>23390087</v>
      </c>
      <c r="Q644" t="s">
        <v>563</v>
      </c>
      <c r="R644" t="s">
        <v>515</v>
      </c>
      <c r="S644">
        <v>500</v>
      </c>
      <c r="T644">
        <v>26</v>
      </c>
      <c r="U644">
        <v>13000</v>
      </c>
      <c r="V644" t="str">
        <f t="shared" si="179"/>
        <v>Jhagadia</v>
      </c>
      <c r="W644" t="str">
        <f>VLOOKUP(B644, Currency!A:B, 2, FALSE)</f>
        <v>INR</v>
      </c>
      <c r="X644" t="str">
        <f t="shared" si="179"/>
        <v>Accepted</v>
      </c>
      <c r="Y644">
        <f>IFERROR(VLOOKUP(N644, Payment_Terms!A:B, 2, FALSE), "Payment term not found!")</f>
        <v>30</v>
      </c>
      <c r="Z644" t="str">
        <f>IFERROR(VLOOKUP(R644, Item_Category!A:B, 2, FALSE), "Uncategorized")</f>
        <v xml:space="preserve">Caustic Soda </v>
      </c>
      <c r="AA644" s="5">
        <f t="shared" si="183"/>
        <v>0</v>
      </c>
      <c r="AB644">
        <f t="shared" si="184"/>
        <v>5</v>
      </c>
      <c r="AC644" s="10">
        <f t="shared" si="185"/>
        <v>22</v>
      </c>
      <c r="AD644">
        <f t="shared" si="186"/>
        <v>1</v>
      </c>
      <c r="AE644" s="10">
        <f t="shared" si="187"/>
        <v>24</v>
      </c>
      <c r="AF644" s="5">
        <f t="shared" si="180"/>
        <v>1</v>
      </c>
      <c r="AG644" s="5">
        <f t="shared" si="181"/>
        <v>1</v>
      </c>
      <c r="AH644" s="5">
        <f t="shared" si="188"/>
        <v>0</v>
      </c>
      <c r="AI644">
        <f>IF(B644&lt;&gt;"", COUNTIFS($B$2:B644, B644), "")</f>
        <v>6</v>
      </c>
      <c r="AJ644">
        <f t="shared" si="189"/>
        <v>5</v>
      </c>
      <c r="AK644">
        <f t="shared" si="182"/>
        <v>4</v>
      </c>
      <c r="AL644">
        <f t="shared" si="190"/>
        <v>4</v>
      </c>
      <c r="AM644" t="str">
        <f t="shared" si="191"/>
        <v>April</v>
      </c>
      <c r="AN644">
        <f t="shared" si="192"/>
        <v>2023</v>
      </c>
      <c r="AO644" t="str">
        <f t="shared" si="193"/>
        <v>&gt;3</v>
      </c>
      <c r="AP644" t="str">
        <f t="shared" si="194"/>
        <v>&gt;3</v>
      </c>
      <c r="AQ644" t="str">
        <f t="shared" si="195"/>
        <v>&lt;=3</v>
      </c>
    </row>
    <row r="645" spans="1:43" x14ac:dyDescent="0.3">
      <c r="A645" t="s">
        <v>33</v>
      </c>
      <c r="B645" t="s">
        <v>386</v>
      </c>
      <c r="C645" t="s">
        <v>428</v>
      </c>
      <c r="D645">
        <v>1184</v>
      </c>
      <c r="E645">
        <v>23310006</v>
      </c>
      <c r="F645" t="s">
        <v>576</v>
      </c>
      <c r="G645" t="s">
        <v>577</v>
      </c>
      <c r="H645">
        <v>100</v>
      </c>
      <c r="I645">
        <v>62</v>
      </c>
      <c r="J645">
        <v>6200</v>
      </c>
      <c r="K645" s="7" t="str">
        <f>IFERROR(IF(B645&lt;&gt;"", TEXT(VLOOKUP(B645, 'Expected Date'!A:B, 2, FALSE) + DATE(RIGHT(C645,2),MID(C645,4,2),LEFT(C645,2)), "dd/mm/yy"), ""), "")</f>
        <v>08/04/23</v>
      </c>
      <c r="L645" t="s">
        <v>68</v>
      </c>
      <c r="M645" t="s">
        <v>39</v>
      </c>
      <c r="N645" t="s">
        <v>556</v>
      </c>
      <c r="O645" t="s">
        <v>419</v>
      </c>
      <c r="P645">
        <v>23390051</v>
      </c>
      <c r="Q645" t="s">
        <v>576</v>
      </c>
      <c r="R645" t="s">
        <v>577</v>
      </c>
      <c r="S645">
        <v>97.7</v>
      </c>
      <c r="T645">
        <v>62</v>
      </c>
      <c r="U645">
        <v>6057.4</v>
      </c>
      <c r="V645" t="str">
        <f t="shared" si="179"/>
        <v>Jhagadia</v>
      </c>
      <c r="W645" t="str">
        <f>VLOOKUP(B645, Currency!A:B, 2, FALSE)</f>
        <v>INR</v>
      </c>
      <c r="X645" t="str">
        <f t="shared" si="179"/>
        <v>Accepted</v>
      </c>
      <c r="Y645">
        <f>IFERROR(VLOOKUP(N645, Payment_Terms!A:B, 2, FALSE), "Payment term not found!")</f>
        <v>30</v>
      </c>
      <c r="Z645" t="str">
        <f>IFERROR(VLOOKUP(R645, Item_Category!A:B, 2, FALSE), "Uncategorized")</f>
        <v>Corrugated sheet</v>
      </c>
      <c r="AA645" s="5">
        <f t="shared" si="183"/>
        <v>2.2999999999999972E-2</v>
      </c>
      <c r="AB645">
        <f t="shared" si="184"/>
        <v>3</v>
      </c>
      <c r="AC645" s="10">
        <f t="shared" si="185"/>
        <v>14</v>
      </c>
      <c r="AD645">
        <f t="shared" si="186"/>
        <v>1</v>
      </c>
      <c r="AE645" s="10">
        <f t="shared" si="187"/>
        <v>19</v>
      </c>
      <c r="AF645" s="5">
        <f t="shared" si="180"/>
        <v>1</v>
      </c>
      <c r="AG645" s="5">
        <f t="shared" si="181"/>
        <v>1</v>
      </c>
      <c r="AH645" s="5">
        <f t="shared" si="188"/>
        <v>0</v>
      </c>
      <c r="AI645">
        <f>IF(B645&lt;&gt;"", COUNTIFS($B$2:B645, B645), "")</f>
        <v>33</v>
      </c>
      <c r="AJ645">
        <f t="shared" si="189"/>
        <v>5</v>
      </c>
      <c r="AK645">
        <f t="shared" si="182"/>
        <v>4</v>
      </c>
      <c r="AL645">
        <f t="shared" si="190"/>
        <v>4</v>
      </c>
      <c r="AM645" t="str">
        <f t="shared" si="191"/>
        <v>April</v>
      </c>
      <c r="AN645">
        <f t="shared" si="192"/>
        <v>2023</v>
      </c>
      <c r="AO645" t="str">
        <f t="shared" si="193"/>
        <v>&gt;3</v>
      </c>
      <c r="AP645" t="str">
        <f t="shared" si="194"/>
        <v>&lt;=3</v>
      </c>
      <c r="AQ645" t="str">
        <f t="shared" si="195"/>
        <v>&lt;=3</v>
      </c>
    </row>
    <row r="646" spans="1:43" x14ac:dyDescent="0.3">
      <c r="A646" t="s">
        <v>33</v>
      </c>
      <c r="B646" t="s">
        <v>513</v>
      </c>
      <c r="C646" t="s">
        <v>172</v>
      </c>
      <c r="D646">
        <v>1186</v>
      </c>
      <c r="E646">
        <v>23310008</v>
      </c>
      <c r="F646" t="s">
        <v>563</v>
      </c>
      <c r="G646" t="s">
        <v>515</v>
      </c>
      <c r="H646">
        <v>2500</v>
      </c>
      <c r="I646">
        <v>26</v>
      </c>
      <c r="J646">
        <v>65000</v>
      </c>
      <c r="K646" s="7" t="str">
        <f>IFERROR(IF(B646&lt;&gt;"", TEXT(VLOOKUP(B646, 'Expected Date'!A:B, 2, FALSE) + DATE(RIGHT(C646,2),MID(C646,4,2),LEFT(C646,2)), "dd/mm/yy"), ""), "")</f>
        <v>08/04/23</v>
      </c>
      <c r="L646" t="s">
        <v>38</v>
      </c>
      <c r="M646" t="s">
        <v>48</v>
      </c>
      <c r="N646" t="s">
        <v>342</v>
      </c>
      <c r="O646" t="s">
        <v>161</v>
      </c>
      <c r="P646">
        <v>23390220</v>
      </c>
      <c r="Q646" t="s">
        <v>563</v>
      </c>
      <c r="R646" t="s">
        <v>515</v>
      </c>
      <c r="S646">
        <v>500</v>
      </c>
      <c r="T646">
        <v>26</v>
      </c>
      <c r="U646">
        <v>13000</v>
      </c>
      <c r="V646" t="str">
        <f t="shared" si="179"/>
        <v>Jhagadia</v>
      </c>
      <c r="W646" t="str">
        <f>VLOOKUP(B646, Currency!A:B, 2, FALSE)</f>
        <v>INR</v>
      </c>
      <c r="X646" t="str">
        <f t="shared" si="179"/>
        <v>Accepted</v>
      </c>
      <c r="Y646">
        <f>IFERROR(VLOOKUP(N646, Payment_Terms!A:B, 2, FALSE), "Payment term not found!")</f>
        <v>30</v>
      </c>
      <c r="Z646" t="str">
        <f>IFERROR(VLOOKUP(R646, Item_Category!A:B, 2, FALSE), "Uncategorized")</f>
        <v xml:space="preserve">Caustic Soda </v>
      </c>
      <c r="AA646" s="5">
        <f t="shared" si="183"/>
        <v>0</v>
      </c>
      <c r="AB646">
        <f t="shared" si="184"/>
        <v>5</v>
      </c>
      <c r="AC646" s="10">
        <f t="shared" si="185"/>
        <v>56</v>
      </c>
      <c r="AD646">
        <f t="shared" si="186"/>
        <v>1</v>
      </c>
      <c r="AE646" s="10">
        <f t="shared" si="187"/>
        <v>58</v>
      </c>
      <c r="AF646" s="5">
        <f t="shared" si="180"/>
        <v>1</v>
      </c>
      <c r="AG646" s="5">
        <f t="shared" si="181"/>
        <v>1</v>
      </c>
      <c r="AH646" s="5">
        <f t="shared" si="188"/>
        <v>0</v>
      </c>
      <c r="AI646">
        <f>IF(B646&lt;&gt;"", COUNTIFS($B$2:B646, B646), "")</f>
        <v>7</v>
      </c>
      <c r="AJ646">
        <f t="shared" si="189"/>
        <v>5</v>
      </c>
      <c r="AK646">
        <f t="shared" si="182"/>
        <v>4</v>
      </c>
      <c r="AL646">
        <f t="shared" si="190"/>
        <v>4</v>
      </c>
      <c r="AM646" t="str">
        <f t="shared" si="191"/>
        <v>April</v>
      </c>
      <c r="AN646">
        <f t="shared" si="192"/>
        <v>2023</v>
      </c>
      <c r="AO646" t="str">
        <f t="shared" si="193"/>
        <v>&gt;3</v>
      </c>
      <c r="AP646" t="str">
        <f t="shared" si="194"/>
        <v>&gt;3</v>
      </c>
      <c r="AQ646" t="str">
        <f t="shared" si="195"/>
        <v>&lt;=3</v>
      </c>
    </row>
    <row r="647" spans="1:43" x14ac:dyDescent="0.3">
      <c r="A647" t="s">
        <v>33</v>
      </c>
      <c r="B647" t="s">
        <v>34</v>
      </c>
      <c r="C647" t="s">
        <v>352</v>
      </c>
      <c r="D647">
        <v>2378</v>
      </c>
      <c r="E647">
        <v>23310161</v>
      </c>
      <c r="F647" t="s">
        <v>572</v>
      </c>
      <c r="G647" t="s">
        <v>595</v>
      </c>
      <c r="H647">
        <v>3200</v>
      </c>
      <c r="I647">
        <v>35</v>
      </c>
      <c r="J647">
        <v>112000</v>
      </c>
      <c r="K647" s="7" t="str">
        <f>IFERROR(IF(B647&lt;&gt;"", TEXT(VLOOKUP(B647, 'Expected Date'!A:B, 2, FALSE) + DATE(RIGHT(C647,2),MID(C647,4,2),LEFT(C647,2)), "dd/mm/yy"), ""), "")</f>
        <v>12/06/23</v>
      </c>
      <c r="L647" t="s">
        <v>38</v>
      </c>
      <c r="M647" t="s">
        <v>39</v>
      </c>
      <c r="N647" t="s">
        <v>318</v>
      </c>
      <c r="O647" t="s">
        <v>275</v>
      </c>
      <c r="P647">
        <v>23390234</v>
      </c>
      <c r="Q647" t="s">
        <v>572</v>
      </c>
      <c r="R647" t="s">
        <v>595</v>
      </c>
      <c r="S647">
        <v>1000</v>
      </c>
      <c r="T647">
        <v>35</v>
      </c>
      <c r="U647">
        <v>35000</v>
      </c>
      <c r="V647" t="str">
        <f t="shared" si="179"/>
        <v>Jhagadia</v>
      </c>
      <c r="W647" t="str">
        <f>VLOOKUP(B647, Currency!A:B, 2, FALSE)</f>
        <v>INR</v>
      </c>
      <c r="X647" t="str">
        <f t="shared" si="179"/>
        <v>Accepted</v>
      </c>
      <c r="Y647">
        <f>IFERROR(VLOOKUP(N647, Payment_Terms!A:B, 2, FALSE), "Payment term not found!")</f>
        <v>30</v>
      </c>
      <c r="Z647" t="str">
        <f>IFERROR(VLOOKUP(R647, Item_Category!A:B, 2, FALSE), "Uncategorized")</f>
        <v>Bags</v>
      </c>
      <c r="AA647" s="5">
        <f t="shared" si="183"/>
        <v>0</v>
      </c>
      <c r="AB647">
        <f t="shared" si="184"/>
        <v>5</v>
      </c>
      <c r="AC647" s="10">
        <f t="shared" si="185"/>
        <v>0</v>
      </c>
      <c r="AD647">
        <f t="shared" si="186"/>
        <v>5</v>
      </c>
      <c r="AE647" s="10">
        <f t="shared" si="187"/>
        <v>10</v>
      </c>
      <c r="AF647" s="5">
        <f t="shared" si="180"/>
        <v>1</v>
      </c>
      <c r="AG647" s="5">
        <f t="shared" si="181"/>
        <v>1</v>
      </c>
      <c r="AH647" s="5">
        <f t="shared" si="188"/>
        <v>0</v>
      </c>
      <c r="AI647">
        <f>IF(B647&lt;&gt;"", COUNTIFS($B$2:B647, B647), "")</f>
        <v>44</v>
      </c>
      <c r="AJ647">
        <f t="shared" si="189"/>
        <v>5</v>
      </c>
      <c r="AK647">
        <f t="shared" si="182"/>
        <v>5</v>
      </c>
      <c r="AL647">
        <f t="shared" si="190"/>
        <v>6</v>
      </c>
      <c r="AM647" t="str">
        <f t="shared" si="191"/>
        <v>June</v>
      </c>
      <c r="AN647">
        <f t="shared" si="192"/>
        <v>2023</v>
      </c>
      <c r="AO647" t="str">
        <f t="shared" si="193"/>
        <v>&gt;3</v>
      </c>
      <c r="AP647" t="str">
        <f t="shared" si="194"/>
        <v>&gt;3</v>
      </c>
      <c r="AQ647" t="str">
        <f t="shared" si="195"/>
        <v>&gt;3</v>
      </c>
    </row>
    <row r="648" spans="1:43" x14ac:dyDescent="0.3">
      <c r="A648" t="s">
        <v>33</v>
      </c>
      <c r="B648" t="s">
        <v>366</v>
      </c>
      <c r="C648" t="s">
        <v>439</v>
      </c>
      <c r="D648">
        <v>1489</v>
      </c>
      <c r="E648">
        <v>23310037</v>
      </c>
      <c r="F648" t="s">
        <v>569</v>
      </c>
      <c r="G648" t="s">
        <v>570</v>
      </c>
      <c r="H648">
        <v>70</v>
      </c>
      <c r="I648">
        <v>10857.14</v>
      </c>
      <c r="J648">
        <v>759999.8</v>
      </c>
      <c r="K648" s="7" t="str">
        <f>IFERROR(IF(B648&lt;&gt;"", TEXT(VLOOKUP(B648, 'Expected Date'!A:B, 2, FALSE) + DATE(RIGHT(C648,2),MID(C648,4,2),LEFT(C648,2)), "dd/mm/yy"), ""), "")</f>
        <v>22/04/23</v>
      </c>
      <c r="L648" t="s">
        <v>38</v>
      </c>
      <c r="M648" t="s">
        <v>48</v>
      </c>
      <c r="N648" t="s">
        <v>574</v>
      </c>
      <c r="O648" t="s">
        <v>35</v>
      </c>
      <c r="P648">
        <v>23390080</v>
      </c>
      <c r="Q648" t="s">
        <v>569</v>
      </c>
      <c r="R648" t="s">
        <v>570</v>
      </c>
      <c r="S648">
        <v>26.114999999999998</v>
      </c>
      <c r="T648">
        <v>10857.14</v>
      </c>
      <c r="U648">
        <v>283534.21000000002</v>
      </c>
      <c r="V648" t="str">
        <f t="shared" si="179"/>
        <v>Jhagadia</v>
      </c>
      <c r="W648" t="str">
        <f>VLOOKUP(B648, Currency!A:B, 2, FALSE)</f>
        <v>INR</v>
      </c>
      <c r="X648" t="str">
        <f t="shared" si="179"/>
        <v>Accepted</v>
      </c>
      <c r="Y648">
        <f>IFERROR(VLOOKUP(N648, Payment_Terms!A:B, 2, FALSE), "Payment term not found!")</f>
        <v>0</v>
      </c>
      <c r="Z648" t="str">
        <f>IFERROR(VLOOKUP(R648, Item_Category!A:B, 2, FALSE), "Uncategorized")</f>
        <v>Coal materials</v>
      </c>
      <c r="AA648" s="5">
        <f t="shared" si="183"/>
        <v>0</v>
      </c>
      <c r="AB648">
        <f t="shared" si="184"/>
        <v>5</v>
      </c>
      <c r="AC648" s="10">
        <f t="shared" si="185"/>
        <v>5</v>
      </c>
      <c r="AD648">
        <f t="shared" si="186"/>
        <v>3</v>
      </c>
      <c r="AE648" s="10">
        <f t="shared" si="187"/>
        <v>7</v>
      </c>
      <c r="AF648" s="5">
        <f t="shared" si="180"/>
        <v>1</v>
      </c>
      <c r="AG648" s="5">
        <f t="shared" si="181"/>
        <v>1</v>
      </c>
      <c r="AH648" s="5">
        <f t="shared" si="188"/>
        <v>0</v>
      </c>
      <c r="AI648">
        <f>IF(B648&lt;&gt;"", COUNTIFS($B$2:B648, B648), "")</f>
        <v>75</v>
      </c>
      <c r="AJ648">
        <f t="shared" si="189"/>
        <v>5</v>
      </c>
      <c r="AK648">
        <f t="shared" si="182"/>
        <v>5</v>
      </c>
      <c r="AL648">
        <f t="shared" si="190"/>
        <v>4</v>
      </c>
      <c r="AM648" t="str">
        <f t="shared" si="191"/>
        <v>April</v>
      </c>
      <c r="AN648">
        <f t="shared" si="192"/>
        <v>2023</v>
      </c>
      <c r="AO648" t="str">
        <f t="shared" si="193"/>
        <v>&gt;3</v>
      </c>
      <c r="AP648" t="str">
        <f t="shared" si="194"/>
        <v>&gt;3</v>
      </c>
      <c r="AQ648" t="str">
        <f t="shared" si="195"/>
        <v>&lt;=3</v>
      </c>
    </row>
    <row r="649" spans="1:43" x14ac:dyDescent="0.3">
      <c r="A649" t="s">
        <v>33</v>
      </c>
      <c r="B649" t="s">
        <v>34</v>
      </c>
      <c r="C649" t="s">
        <v>354</v>
      </c>
      <c r="D649">
        <v>2798</v>
      </c>
      <c r="E649">
        <v>23310217</v>
      </c>
      <c r="F649" t="s">
        <v>572</v>
      </c>
      <c r="G649" t="s">
        <v>595</v>
      </c>
      <c r="H649">
        <v>2000</v>
      </c>
      <c r="I649">
        <v>34</v>
      </c>
      <c r="J649">
        <v>68000</v>
      </c>
      <c r="K649" s="7" t="str">
        <f>IFERROR(IF(B649&lt;&gt;"", TEXT(VLOOKUP(B649, 'Expected Date'!A:B, 2, FALSE) + DATE(RIGHT(C649,2),MID(C649,4,2),LEFT(C649,2)), "dd/mm/yy"), ""), "")</f>
        <v>13/07/23</v>
      </c>
      <c r="L649" t="s">
        <v>38</v>
      </c>
      <c r="M649" t="s">
        <v>39</v>
      </c>
      <c r="N649" t="s">
        <v>318</v>
      </c>
      <c r="O649" t="s">
        <v>117</v>
      </c>
      <c r="P649">
        <v>23390295</v>
      </c>
      <c r="Q649" t="s">
        <v>572</v>
      </c>
      <c r="R649" t="s">
        <v>595</v>
      </c>
      <c r="S649">
        <v>2283</v>
      </c>
      <c r="T649">
        <v>34</v>
      </c>
      <c r="U649">
        <v>77622</v>
      </c>
      <c r="V649" t="str">
        <f t="shared" si="179"/>
        <v>Jhagadia</v>
      </c>
      <c r="W649" t="str">
        <f>VLOOKUP(B649, Currency!A:B, 2, FALSE)</f>
        <v>INR</v>
      </c>
      <c r="X649" t="str">
        <f t="shared" si="179"/>
        <v>Accepted</v>
      </c>
      <c r="Y649">
        <f>IFERROR(VLOOKUP(N649, Payment_Terms!A:B, 2, FALSE), "Payment term not found!")</f>
        <v>30</v>
      </c>
      <c r="Z649" t="str">
        <f>IFERROR(VLOOKUP(R649, Item_Category!A:B, 2, FALSE), "Uncategorized")</f>
        <v>Bags</v>
      </c>
      <c r="AA649" s="5">
        <f t="shared" si="183"/>
        <v>0</v>
      </c>
      <c r="AB649">
        <f t="shared" si="184"/>
        <v>5</v>
      </c>
      <c r="AC649" s="10">
        <f t="shared" si="185"/>
        <v>-6</v>
      </c>
      <c r="AD649">
        <f t="shared" si="186"/>
        <v>5</v>
      </c>
      <c r="AE649" s="10">
        <f t="shared" si="187"/>
        <v>4</v>
      </c>
      <c r="AF649" s="5">
        <f t="shared" si="180"/>
        <v>1</v>
      </c>
      <c r="AG649" s="5">
        <f t="shared" si="181"/>
        <v>1</v>
      </c>
      <c r="AH649" s="5">
        <f t="shared" si="188"/>
        <v>0</v>
      </c>
      <c r="AI649">
        <f>IF(B649&lt;&gt;"", COUNTIFS($B$2:B649, B649), "")</f>
        <v>45</v>
      </c>
      <c r="AJ649">
        <f t="shared" si="189"/>
        <v>5</v>
      </c>
      <c r="AK649">
        <f t="shared" si="182"/>
        <v>5</v>
      </c>
      <c r="AL649">
        <f t="shared" si="190"/>
        <v>7</v>
      </c>
      <c r="AM649" t="str">
        <f t="shared" si="191"/>
        <v>July</v>
      </c>
      <c r="AN649">
        <f t="shared" si="192"/>
        <v>2023</v>
      </c>
      <c r="AO649" t="str">
        <f t="shared" si="193"/>
        <v>&gt;3</v>
      </c>
      <c r="AP649" t="str">
        <f t="shared" si="194"/>
        <v>&gt;3</v>
      </c>
      <c r="AQ649" t="str">
        <f t="shared" si="195"/>
        <v>&gt;3</v>
      </c>
    </row>
    <row r="650" spans="1:43" x14ac:dyDescent="0.3">
      <c r="A650" t="s">
        <v>33</v>
      </c>
      <c r="B650" t="s">
        <v>386</v>
      </c>
      <c r="C650" t="s">
        <v>428</v>
      </c>
      <c r="D650">
        <v>1184</v>
      </c>
      <c r="E650">
        <v>23310006</v>
      </c>
      <c r="F650" t="s">
        <v>578</v>
      </c>
      <c r="G650" t="s">
        <v>579</v>
      </c>
      <c r="H650">
        <v>150</v>
      </c>
      <c r="I650">
        <v>129</v>
      </c>
      <c r="J650">
        <v>19350</v>
      </c>
      <c r="K650" s="7" t="str">
        <f>IFERROR(IF(B650&lt;&gt;"", TEXT(VLOOKUP(B650, 'Expected Date'!A:B, 2, FALSE) + DATE(RIGHT(C650,2),MID(C650,4,2),LEFT(C650,2)), "dd/mm/yy"), ""), "")</f>
        <v>08/04/23</v>
      </c>
      <c r="L650" t="s">
        <v>38</v>
      </c>
      <c r="M650" t="s">
        <v>48</v>
      </c>
      <c r="N650" t="s">
        <v>556</v>
      </c>
      <c r="O650" t="s">
        <v>419</v>
      </c>
      <c r="P650">
        <v>23390051</v>
      </c>
      <c r="Q650" t="s">
        <v>578</v>
      </c>
      <c r="R650" t="s">
        <v>579</v>
      </c>
      <c r="S650">
        <v>172</v>
      </c>
      <c r="T650">
        <v>129</v>
      </c>
      <c r="U650">
        <v>22188</v>
      </c>
      <c r="V650" t="str">
        <f t="shared" si="179"/>
        <v>Jhagadia</v>
      </c>
      <c r="W650" t="str">
        <f>VLOOKUP(B650, Currency!A:B, 2, FALSE)</f>
        <v>INR</v>
      </c>
      <c r="X650" t="str">
        <f t="shared" si="179"/>
        <v>Accepted</v>
      </c>
      <c r="Y650">
        <f>IFERROR(VLOOKUP(N650, Payment_Terms!A:B, 2, FALSE), "Payment term not found!")</f>
        <v>30</v>
      </c>
      <c r="Z650" t="str">
        <f>IFERROR(VLOOKUP(R650, Item_Category!A:B, 2, FALSE), "Uncategorized")</f>
        <v>Film</v>
      </c>
      <c r="AA650" s="5">
        <f t="shared" si="183"/>
        <v>0</v>
      </c>
      <c r="AB650">
        <f t="shared" si="184"/>
        <v>5</v>
      </c>
      <c r="AC650" s="10">
        <f t="shared" si="185"/>
        <v>14</v>
      </c>
      <c r="AD650">
        <f t="shared" si="186"/>
        <v>1</v>
      </c>
      <c r="AE650" s="10">
        <f t="shared" si="187"/>
        <v>19</v>
      </c>
      <c r="AF650" s="5">
        <f t="shared" si="180"/>
        <v>1</v>
      </c>
      <c r="AG650" s="5">
        <f t="shared" si="181"/>
        <v>1</v>
      </c>
      <c r="AH650" s="5">
        <f t="shared" si="188"/>
        <v>0</v>
      </c>
      <c r="AI650">
        <f>IF(B650&lt;&gt;"", COUNTIFS($B$2:B650, B650), "")</f>
        <v>34</v>
      </c>
      <c r="AJ650">
        <f t="shared" si="189"/>
        <v>5</v>
      </c>
      <c r="AK650">
        <f t="shared" si="182"/>
        <v>4</v>
      </c>
      <c r="AL650">
        <f t="shared" si="190"/>
        <v>4</v>
      </c>
      <c r="AM650" t="str">
        <f t="shared" si="191"/>
        <v>April</v>
      </c>
      <c r="AN650">
        <f t="shared" si="192"/>
        <v>2023</v>
      </c>
      <c r="AO650" t="str">
        <f t="shared" si="193"/>
        <v>&gt;3</v>
      </c>
      <c r="AP650" t="str">
        <f t="shared" si="194"/>
        <v>&gt;3</v>
      </c>
      <c r="AQ650" t="str">
        <f t="shared" si="195"/>
        <v>&lt;=3</v>
      </c>
    </row>
    <row r="651" spans="1:43" x14ac:dyDescent="0.3">
      <c r="A651" t="s">
        <v>33</v>
      </c>
      <c r="B651" t="s">
        <v>122</v>
      </c>
      <c r="C651" t="s">
        <v>562</v>
      </c>
      <c r="D651">
        <v>1639</v>
      </c>
      <c r="E651">
        <v>23310061</v>
      </c>
      <c r="F651" t="s">
        <v>565</v>
      </c>
      <c r="G651" t="s">
        <v>566</v>
      </c>
      <c r="H651">
        <v>200</v>
      </c>
      <c r="I651">
        <v>930</v>
      </c>
      <c r="J651">
        <v>186000</v>
      </c>
      <c r="K651" s="7" t="str">
        <f>IFERROR(IF(B651&lt;&gt;"", TEXT(VLOOKUP(B651, 'Expected Date'!A:B, 2, FALSE) + DATE(RIGHT(C651,2),MID(C651,4,2),LEFT(C651,2)), "dd/mm/yy"), ""), "")</f>
        <v>15/05/23</v>
      </c>
      <c r="L651" t="s">
        <v>38</v>
      </c>
      <c r="M651" t="s">
        <v>39</v>
      </c>
      <c r="N651" t="s">
        <v>318</v>
      </c>
      <c r="O651" t="s">
        <v>110</v>
      </c>
      <c r="P651">
        <v>23390215</v>
      </c>
      <c r="Q651" t="s">
        <v>565</v>
      </c>
      <c r="R651" t="s">
        <v>566</v>
      </c>
      <c r="S651">
        <v>50</v>
      </c>
      <c r="T651">
        <v>930</v>
      </c>
      <c r="U651">
        <v>46500</v>
      </c>
      <c r="V651" t="str">
        <f t="shared" si="179"/>
        <v>Jhagadia</v>
      </c>
      <c r="W651" t="str">
        <f>VLOOKUP(B651, Currency!A:B, 2, FALSE)</f>
        <v>INR</v>
      </c>
      <c r="X651" t="str">
        <f t="shared" si="179"/>
        <v>Accepted</v>
      </c>
      <c r="Y651">
        <f>IFERROR(VLOOKUP(N651, Payment_Terms!A:B, 2, FALSE), "Payment term not found!")</f>
        <v>30</v>
      </c>
      <c r="Z651" t="str">
        <f>IFERROR(VLOOKUP(R651, Item_Category!A:B, 2, FALSE), "Uncategorized")</f>
        <v>Pallets</v>
      </c>
      <c r="AA651" s="5">
        <f t="shared" si="183"/>
        <v>0</v>
      </c>
      <c r="AB651">
        <f t="shared" si="184"/>
        <v>5</v>
      </c>
      <c r="AC651" s="10">
        <f t="shared" si="185"/>
        <v>16</v>
      </c>
      <c r="AD651">
        <f t="shared" si="186"/>
        <v>1</v>
      </c>
      <c r="AE651" s="10">
        <f t="shared" si="187"/>
        <v>31</v>
      </c>
      <c r="AF651" s="5">
        <f t="shared" si="180"/>
        <v>1</v>
      </c>
      <c r="AG651" s="5">
        <f t="shared" si="181"/>
        <v>1</v>
      </c>
      <c r="AH651" s="5">
        <f t="shared" si="188"/>
        <v>0</v>
      </c>
      <c r="AI651">
        <f>IF(B651&lt;&gt;"", COUNTIFS($B$2:B651, B651), "")</f>
        <v>39</v>
      </c>
      <c r="AJ651">
        <f t="shared" si="189"/>
        <v>5</v>
      </c>
      <c r="AK651">
        <f t="shared" si="182"/>
        <v>4</v>
      </c>
      <c r="AL651">
        <f t="shared" si="190"/>
        <v>4</v>
      </c>
      <c r="AM651" t="str">
        <f t="shared" si="191"/>
        <v>April</v>
      </c>
      <c r="AN651">
        <f t="shared" si="192"/>
        <v>2023</v>
      </c>
      <c r="AO651" t="str">
        <f t="shared" si="193"/>
        <v>&gt;3</v>
      </c>
      <c r="AP651" t="str">
        <f t="shared" si="194"/>
        <v>&gt;3</v>
      </c>
      <c r="AQ651" t="str">
        <f t="shared" si="195"/>
        <v>&lt;=3</v>
      </c>
    </row>
    <row r="652" spans="1:43" x14ac:dyDescent="0.3">
      <c r="A652" t="str">
        <f>A632</f>
        <v>Woodpulp</v>
      </c>
      <c r="B652" t="s">
        <v>289</v>
      </c>
      <c r="C652" t="s">
        <v>168</v>
      </c>
      <c r="D652">
        <v>1303</v>
      </c>
      <c r="E652">
        <v>23320007</v>
      </c>
      <c r="F652" t="s">
        <v>575</v>
      </c>
      <c r="G652" t="s">
        <v>291</v>
      </c>
      <c r="H652">
        <v>200000</v>
      </c>
      <c r="I652">
        <v>64.099999999999994</v>
      </c>
      <c r="J652">
        <v>12820000</v>
      </c>
      <c r="K652" s="7" t="str">
        <f>IFERROR(IF(B652&lt;&gt;"", TEXT(VLOOKUP(B652, 'Expected Date'!A:B, 2, FALSE) + DATE(RIGHT(C652,2),MID(C652,4,2),LEFT(C652,2)), "dd/mm/yy"), ""), "")</f>
        <v>17/05/23</v>
      </c>
      <c r="L652" t="s">
        <v>38</v>
      </c>
      <c r="M652" t="str">
        <f>M642</f>
        <v>MT</v>
      </c>
      <c r="N652" t="s">
        <v>292</v>
      </c>
      <c r="O652" t="s">
        <v>439</v>
      </c>
      <c r="P652">
        <v>23390050</v>
      </c>
      <c r="Q652" t="s">
        <v>575</v>
      </c>
      <c r="R652" t="s">
        <v>291</v>
      </c>
      <c r="S652">
        <v>24134</v>
      </c>
      <c r="T652">
        <v>64.099999999999994</v>
      </c>
      <c r="U652">
        <v>1546989.4</v>
      </c>
      <c r="V652" t="str">
        <f t="shared" si="179"/>
        <v>Jhagadia</v>
      </c>
      <c r="W652" t="str">
        <f>VLOOKUP(B652, Currency!A:B, 2, FALSE)</f>
        <v>INR</v>
      </c>
      <c r="X652" t="str">
        <f t="shared" si="179"/>
        <v>Accepted</v>
      </c>
      <c r="Y652">
        <f>IFERROR(VLOOKUP(N652, Payment_Terms!A:B, 2, FALSE), "Payment term not found!")</f>
        <v>0</v>
      </c>
      <c r="Z652" t="str">
        <f>IFERROR(VLOOKUP(R652, Item_Category!A:B, 2, FALSE), "Uncategorized")</f>
        <v>Wood pulp</v>
      </c>
      <c r="AA652" s="5">
        <f t="shared" si="183"/>
        <v>0</v>
      </c>
      <c r="AB652">
        <f t="shared" si="184"/>
        <v>5</v>
      </c>
      <c r="AC652" s="10">
        <f t="shared" si="185"/>
        <v>-27</v>
      </c>
      <c r="AD652">
        <f t="shared" si="186"/>
        <v>5</v>
      </c>
      <c r="AE652" s="10">
        <f t="shared" si="187"/>
        <v>3</v>
      </c>
      <c r="AF652" s="5">
        <f t="shared" si="180"/>
        <v>1</v>
      </c>
      <c r="AG652" s="5">
        <f t="shared" si="181"/>
        <v>1</v>
      </c>
      <c r="AH652" s="5">
        <f t="shared" si="188"/>
        <v>0</v>
      </c>
      <c r="AI652">
        <f>IF(B652&lt;&gt;"", COUNTIFS($B$2:B652, B652), "")</f>
        <v>23</v>
      </c>
      <c r="AJ652">
        <f t="shared" si="189"/>
        <v>5</v>
      </c>
      <c r="AK652">
        <f t="shared" si="182"/>
        <v>5</v>
      </c>
      <c r="AL652">
        <f t="shared" si="190"/>
        <v>4</v>
      </c>
      <c r="AM652" t="str">
        <f t="shared" si="191"/>
        <v>April</v>
      </c>
      <c r="AN652">
        <f t="shared" si="192"/>
        <v>2023</v>
      </c>
      <c r="AO652" t="str">
        <f t="shared" si="193"/>
        <v>&gt;3</v>
      </c>
      <c r="AP652" t="str">
        <f t="shared" si="194"/>
        <v>&gt;3</v>
      </c>
      <c r="AQ652" t="str">
        <f t="shared" si="195"/>
        <v>&gt;3</v>
      </c>
    </row>
    <row r="653" spans="1:43" x14ac:dyDescent="0.3">
      <c r="A653" t="s">
        <v>95</v>
      </c>
      <c r="B653" t="s">
        <v>580</v>
      </c>
      <c r="C653" t="s">
        <v>108</v>
      </c>
      <c r="D653">
        <v>1805</v>
      </c>
      <c r="E653">
        <v>23320011</v>
      </c>
      <c r="F653" t="s">
        <v>575</v>
      </c>
      <c r="G653" t="s">
        <v>291</v>
      </c>
      <c r="H653">
        <v>100</v>
      </c>
      <c r="I653">
        <v>57426</v>
      </c>
      <c r="J653">
        <v>5742600</v>
      </c>
      <c r="K653" s="7" t="str">
        <f>IFERROR(IF(B653&lt;&gt;"", TEXT(VLOOKUP(B653, 'Expected Date'!A:B, 2, FALSE) + DATE(RIGHT(C653,2),MID(C653,4,2),LEFT(C653,2)), "dd/mm/yy"), ""), "")</f>
        <v>09/06/23</v>
      </c>
      <c r="L653" t="s">
        <v>38</v>
      </c>
      <c r="M653" t="str">
        <f>M642</f>
        <v>MT</v>
      </c>
      <c r="N653" t="s">
        <v>292</v>
      </c>
      <c r="O653" t="s">
        <v>108</v>
      </c>
      <c r="P653">
        <v>23390137</v>
      </c>
      <c r="Q653" t="s">
        <v>575</v>
      </c>
      <c r="R653" t="s">
        <v>291</v>
      </c>
      <c r="S653">
        <v>24.097999999999999</v>
      </c>
      <c r="T653">
        <v>57430</v>
      </c>
      <c r="U653">
        <v>1383948.14</v>
      </c>
      <c r="V653" t="str">
        <f t="shared" si="179"/>
        <v>Jhagadia</v>
      </c>
      <c r="W653" t="str">
        <f>VLOOKUP(B653, Currency!A:B, 2, FALSE)</f>
        <v>INR</v>
      </c>
      <c r="X653" t="str">
        <f t="shared" si="179"/>
        <v>Accepted</v>
      </c>
      <c r="Y653">
        <f>IFERROR(VLOOKUP(N653, Payment_Terms!A:B, 2, FALSE), "Payment term not found!")</f>
        <v>0</v>
      </c>
      <c r="Z653" t="str">
        <f>IFERROR(VLOOKUP(R653, Item_Category!A:B, 2, FALSE), "Uncategorized")</f>
        <v>Wood pulp</v>
      </c>
      <c r="AA653" s="5">
        <f t="shared" si="183"/>
        <v>0</v>
      </c>
      <c r="AB653">
        <f t="shared" si="184"/>
        <v>5</v>
      </c>
      <c r="AC653" s="10">
        <f t="shared" si="185"/>
        <v>-30</v>
      </c>
      <c r="AD653">
        <f t="shared" si="186"/>
        <v>5</v>
      </c>
      <c r="AE653" s="10">
        <f t="shared" si="187"/>
        <v>0</v>
      </c>
      <c r="AF653" s="5">
        <f t="shared" si="180"/>
        <v>1</v>
      </c>
      <c r="AG653" s="5">
        <f t="shared" si="181"/>
        <v>1</v>
      </c>
      <c r="AH653" s="5">
        <f t="shared" si="188"/>
        <v>0</v>
      </c>
      <c r="AI653">
        <f>IF(B653&lt;&gt;"", COUNTIFS($B$2:B653, B653), "")</f>
        <v>1</v>
      </c>
      <c r="AJ653">
        <f t="shared" si="189"/>
        <v>5</v>
      </c>
      <c r="AK653">
        <f t="shared" si="182"/>
        <v>5</v>
      </c>
      <c r="AL653">
        <f t="shared" si="190"/>
        <v>5</v>
      </c>
      <c r="AM653" t="str">
        <f t="shared" si="191"/>
        <v>May</v>
      </c>
      <c r="AN653">
        <f t="shared" si="192"/>
        <v>2023</v>
      </c>
      <c r="AO653" t="str">
        <f t="shared" si="193"/>
        <v>&gt;3</v>
      </c>
      <c r="AP653" t="str">
        <f t="shared" si="194"/>
        <v>&gt;3</v>
      </c>
      <c r="AQ653" t="str">
        <f t="shared" si="195"/>
        <v>&gt;3</v>
      </c>
    </row>
    <row r="654" spans="1:43" x14ac:dyDescent="0.3">
      <c r="A654" t="str">
        <f>A653</f>
        <v>Woodpulp</v>
      </c>
      <c r="B654" t="s">
        <v>580</v>
      </c>
      <c r="C654" t="s">
        <v>108</v>
      </c>
      <c r="D654">
        <v>1805</v>
      </c>
      <c r="E654">
        <v>23320011</v>
      </c>
      <c r="F654" t="s">
        <v>575</v>
      </c>
      <c r="G654" t="s">
        <v>291</v>
      </c>
      <c r="H654">
        <v>100</v>
      </c>
      <c r="I654">
        <v>57426</v>
      </c>
      <c r="J654">
        <v>5742600</v>
      </c>
      <c r="K654" s="7" t="str">
        <f>IFERROR(IF(B654&lt;&gt;"", TEXT(VLOOKUP(B654, 'Expected Date'!A:B, 2, FALSE) + DATE(RIGHT(C654,2),MID(C654,4,2),LEFT(C654,2)), "dd/mm/yy"), ""), "")</f>
        <v>09/06/23</v>
      </c>
      <c r="L654" t="s">
        <v>38</v>
      </c>
      <c r="M654" t="str">
        <f>M642</f>
        <v>MT</v>
      </c>
      <c r="N654" t="s">
        <v>292</v>
      </c>
      <c r="O654" t="s">
        <v>108</v>
      </c>
      <c r="P654">
        <v>23390135</v>
      </c>
      <c r="Q654" t="s">
        <v>575</v>
      </c>
      <c r="R654" t="s">
        <v>291</v>
      </c>
      <c r="S654">
        <v>24.122</v>
      </c>
      <c r="T654">
        <v>57430</v>
      </c>
      <c r="U654">
        <v>1385326.46</v>
      </c>
      <c r="V654" t="str">
        <f t="shared" si="179"/>
        <v>Jhagadia</v>
      </c>
      <c r="W654" t="str">
        <f>VLOOKUP(B654, Currency!A:B, 2, FALSE)</f>
        <v>INR</v>
      </c>
      <c r="X654" t="str">
        <f t="shared" si="179"/>
        <v>Accepted</v>
      </c>
      <c r="Y654">
        <f>IFERROR(VLOOKUP(N654, Payment_Terms!A:B, 2, FALSE), "Payment term not found!")</f>
        <v>0</v>
      </c>
      <c r="Z654" t="str">
        <f>IFERROR(VLOOKUP(R654, Item_Category!A:B, 2, FALSE), "Uncategorized")</f>
        <v>Wood pulp</v>
      </c>
      <c r="AA654" s="5">
        <f t="shared" si="183"/>
        <v>0</v>
      </c>
      <c r="AB654">
        <f t="shared" si="184"/>
        <v>5</v>
      </c>
      <c r="AC654" s="10">
        <f t="shared" si="185"/>
        <v>-30</v>
      </c>
      <c r="AD654">
        <f t="shared" si="186"/>
        <v>5</v>
      </c>
      <c r="AE654" s="10">
        <f t="shared" si="187"/>
        <v>0</v>
      </c>
      <c r="AF654" s="5">
        <f t="shared" si="180"/>
        <v>1</v>
      </c>
      <c r="AG654" s="5">
        <f t="shared" si="181"/>
        <v>1</v>
      </c>
      <c r="AH654" s="5">
        <f t="shared" si="188"/>
        <v>0</v>
      </c>
      <c r="AI654">
        <f>IF(B654&lt;&gt;"", COUNTIFS($B$2:B654, B654), "")</f>
        <v>2</v>
      </c>
      <c r="AJ654">
        <f t="shared" si="189"/>
        <v>5</v>
      </c>
      <c r="AK654">
        <f t="shared" si="182"/>
        <v>5</v>
      </c>
      <c r="AL654">
        <f t="shared" si="190"/>
        <v>5</v>
      </c>
      <c r="AM654" t="str">
        <f t="shared" si="191"/>
        <v>May</v>
      </c>
      <c r="AN654">
        <f t="shared" si="192"/>
        <v>2023</v>
      </c>
      <c r="AO654" t="str">
        <f t="shared" si="193"/>
        <v>&gt;3</v>
      </c>
      <c r="AP654" t="str">
        <f t="shared" si="194"/>
        <v>&gt;3</v>
      </c>
      <c r="AQ654" t="str">
        <f t="shared" si="195"/>
        <v>&gt;3</v>
      </c>
    </row>
    <row r="655" spans="1:43" x14ac:dyDescent="0.3">
      <c r="A655" t="s">
        <v>33</v>
      </c>
      <c r="B655" t="s">
        <v>436</v>
      </c>
      <c r="C655" t="s">
        <v>562</v>
      </c>
      <c r="D655">
        <v>1634</v>
      </c>
      <c r="E655">
        <v>23310056</v>
      </c>
      <c r="F655" t="s">
        <v>581</v>
      </c>
      <c r="G655" t="s">
        <v>582</v>
      </c>
      <c r="H655">
        <v>2000</v>
      </c>
      <c r="I655">
        <v>8</v>
      </c>
      <c r="J655">
        <v>16000</v>
      </c>
      <c r="K655" s="7" t="str">
        <f>IFERROR(IF(B655&lt;&gt;"", TEXT(VLOOKUP(B655, 'Expected Date'!A:B, 2, FALSE) + DATE(RIGHT(C655,2),MID(C655,4,2),LEFT(C655,2)), "dd/mm/yy"), ""), "")</f>
        <v>10/05/23</v>
      </c>
      <c r="L655" t="s">
        <v>38</v>
      </c>
      <c r="M655" t="s">
        <v>48</v>
      </c>
      <c r="N655" t="s">
        <v>318</v>
      </c>
      <c r="O655" t="s">
        <v>141</v>
      </c>
      <c r="P655">
        <v>23390118</v>
      </c>
      <c r="Q655" t="s">
        <v>581</v>
      </c>
      <c r="R655" t="s">
        <v>582</v>
      </c>
      <c r="S655">
        <v>2280</v>
      </c>
      <c r="T655">
        <v>8</v>
      </c>
      <c r="U655">
        <v>18240</v>
      </c>
      <c r="V655" t="str">
        <f t="shared" si="179"/>
        <v>Jhagadia</v>
      </c>
      <c r="W655" t="str">
        <f>VLOOKUP(B655, Currency!A:B, 2, FALSE)</f>
        <v>INR</v>
      </c>
      <c r="X655" t="str">
        <f t="shared" si="179"/>
        <v>Accepted</v>
      </c>
      <c r="Y655">
        <f>IFERROR(VLOOKUP(N655, Payment_Terms!A:B, 2, FALSE), "Payment term not found!")</f>
        <v>30</v>
      </c>
      <c r="Z655" t="str">
        <f>IFERROR(VLOOKUP(R655, Item_Category!A:B, 2, FALSE), "Uncategorized")</f>
        <v>Lime</v>
      </c>
      <c r="AA655" s="5">
        <f t="shared" si="183"/>
        <v>0</v>
      </c>
      <c r="AB655">
        <f t="shared" si="184"/>
        <v>5</v>
      </c>
      <c r="AC655" s="10">
        <f t="shared" si="185"/>
        <v>-2</v>
      </c>
      <c r="AD655">
        <f t="shared" si="186"/>
        <v>5</v>
      </c>
      <c r="AE655" s="10">
        <f t="shared" si="187"/>
        <v>8</v>
      </c>
      <c r="AF655" s="5">
        <f t="shared" si="180"/>
        <v>1</v>
      </c>
      <c r="AG655" s="5">
        <f t="shared" si="181"/>
        <v>1</v>
      </c>
      <c r="AH655" s="5">
        <f t="shared" si="188"/>
        <v>0</v>
      </c>
      <c r="AI655">
        <f>IF(B655&lt;&gt;"", COUNTIFS($B$2:B655, B655), "")</f>
        <v>6</v>
      </c>
      <c r="AJ655">
        <f t="shared" si="189"/>
        <v>5</v>
      </c>
      <c r="AK655">
        <f t="shared" si="182"/>
        <v>5</v>
      </c>
      <c r="AL655">
        <f t="shared" si="190"/>
        <v>4</v>
      </c>
      <c r="AM655" t="str">
        <f t="shared" si="191"/>
        <v>April</v>
      </c>
      <c r="AN655">
        <f t="shared" si="192"/>
        <v>2023</v>
      </c>
      <c r="AO655" t="str">
        <f t="shared" si="193"/>
        <v>&gt;3</v>
      </c>
      <c r="AP655" t="str">
        <f t="shared" si="194"/>
        <v>&gt;3</v>
      </c>
      <c r="AQ655" t="str">
        <f t="shared" si="195"/>
        <v>&gt;3</v>
      </c>
    </row>
    <row r="656" spans="1:43" x14ac:dyDescent="0.3">
      <c r="A656" t="s">
        <v>33</v>
      </c>
      <c r="B656" t="s">
        <v>34</v>
      </c>
      <c r="C656" t="s">
        <v>352</v>
      </c>
      <c r="D656">
        <v>2378</v>
      </c>
      <c r="E656">
        <v>23310161</v>
      </c>
      <c r="F656" t="s">
        <v>572</v>
      </c>
      <c r="G656" t="s">
        <v>595</v>
      </c>
      <c r="H656">
        <v>3200</v>
      </c>
      <c r="I656">
        <v>35</v>
      </c>
      <c r="J656">
        <v>112000</v>
      </c>
      <c r="K656" s="7" t="str">
        <f>IFERROR(IF(B656&lt;&gt;"", TEXT(VLOOKUP(B656, 'Expected Date'!A:B, 2, FALSE) + DATE(RIGHT(C656,2),MID(C656,4,2),LEFT(C656,2)), "dd/mm/yy"), ""), "")</f>
        <v>12/06/23</v>
      </c>
      <c r="L656" t="s">
        <v>38</v>
      </c>
      <c r="M656" t="s">
        <v>39</v>
      </c>
      <c r="N656" t="s">
        <v>318</v>
      </c>
      <c r="O656" t="s">
        <v>182</v>
      </c>
      <c r="P656">
        <v>23390237</v>
      </c>
      <c r="Q656" t="s">
        <v>572</v>
      </c>
      <c r="R656" t="s">
        <v>595</v>
      </c>
      <c r="S656">
        <v>2404</v>
      </c>
      <c r="T656">
        <v>35</v>
      </c>
      <c r="U656">
        <v>84140</v>
      </c>
      <c r="V656" t="str">
        <f t="shared" si="179"/>
        <v>Jhagadia</v>
      </c>
      <c r="W656" t="str">
        <f>VLOOKUP(B656, Currency!A:B, 2, FALSE)</f>
        <v>INR</v>
      </c>
      <c r="X656" t="str">
        <f t="shared" si="179"/>
        <v>Accepted</v>
      </c>
      <c r="Y656">
        <f>IFERROR(VLOOKUP(N656, Payment_Terms!A:B, 2, FALSE), "Payment term not found!")</f>
        <v>30</v>
      </c>
      <c r="Z656" t="str">
        <f>IFERROR(VLOOKUP(R656, Item_Category!A:B, 2, FALSE), "Uncategorized")</f>
        <v>Bags</v>
      </c>
      <c r="AA656" s="5">
        <f t="shared" si="183"/>
        <v>0</v>
      </c>
      <c r="AB656">
        <f t="shared" si="184"/>
        <v>5</v>
      </c>
      <c r="AC656" s="10">
        <f t="shared" si="185"/>
        <v>1</v>
      </c>
      <c r="AD656">
        <f t="shared" si="186"/>
        <v>5</v>
      </c>
      <c r="AE656" s="10">
        <f t="shared" si="187"/>
        <v>11</v>
      </c>
      <c r="AF656" s="5">
        <f t="shared" si="180"/>
        <v>1</v>
      </c>
      <c r="AG656" s="5">
        <f t="shared" si="181"/>
        <v>1</v>
      </c>
      <c r="AH656" s="5">
        <f t="shared" si="188"/>
        <v>0</v>
      </c>
      <c r="AI656">
        <f>IF(B656&lt;&gt;"", COUNTIFS($B$2:B656, B656), "")</f>
        <v>46</v>
      </c>
      <c r="AJ656">
        <f t="shared" si="189"/>
        <v>5</v>
      </c>
      <c r="AK656">
        <f t="shared" si="182"/>
        <v>5</v>
      </c>
      <c r="AL656">
        <f t="shared" si="190"/>
        <v>6</v>
      </c>
      <c r="AM656" t="str">
        <f t="shared" si="191"/>
        <v>June</v>
      </c>
      <c r="AN656">
        <f t="shared" si="192"/>
        <v>2023</v>
      </c>
      <c r="AO656" t="str">
        <f t="shared" si="193"/>
        <v>&gt;3</v>
      </c>
      <c r="AP656" t="str">
        <f t="shared" si="194"/>
        <v>&gt;3</v>
      </c>
      <c r="AQ656" t="str">
        <f t="shared" si="195"/>
        <v>&gt;3</v>
      </c>
    </row>
    <row r="657" spans="1:43" x14ac:dyDescent="0.3">
      <c r="A657" t="str">
        <f>A632</f>
        <v>Woodpulp</v>
      </c>
      <c r="B657" t="s">
        <v>289</v>
      </c>
      <c r="C657" t="s">
        <v>394</v>
      </c>
      <c r="D657">
        <v>3808</v>
      </c>
      <c r="E657">
        <v>23320036</v>
      </c>
      <c r="F657" t="s">
        <v>571</v>
      </c>
      <c r="G657" t="s">
        <v>360</v>
      </c>
      <c r="H657">
        <v>98</v>
      </c>
      <c r="I657">
        <v>61500</v>
      </c>
      <c r="J657">
        <v>6027000</v>
      </c>
      <c r="K657" s="7" t="str">
        <f>IFERROR(IF(B657&lt;&gt;"", TEXT(VLOOKUP(B657, 'Expected Date'!A:B, 2, FALSE) + DATE(RIGHT(C657,2),MID(C657,4,2),LEFT(C657,2)), "dd/mm/yy"), ""), "")</f>
        <v>16/09/23</v>
      </c>
      <c r="L657" t="s">
        <v>38</v>
      </c>
      <c r="M657" t="str">
        <f>M642</f>
        <v>MT</v>
      </c>
      <c r="N657" t="s">
        <v>109</v>
      </c>
      <c r="O657" t="s">
        <v>164</v>
      </c>
      <c r="P657">
        <v>23390519</v>
      </c>
      <c r="Q657" t="s">
        <v>571</v>
      </c>
      <c r="R657" t="s">
        <v>360</v>
      </c>
      <c r="S657">
        <v>30.34</v>
      </c>
      <c r="T657">
        <v>61500</v>
      </c>
      <c r="U657">
        <v>1865910</v>
      </c>
      <c r="V657" t="str">
        <f t="shared" si="179"/>
        <v>Jhagadia</v>
      </c>
      <c r="W657" t="str">
        <f>VLOOKUP(B657, Currency!A:B, 2, FALSE)</f>
        <v>INR</v>
      </c>
      <c r="X657" t="str">
        <f t="shared" si="179"/>
        <v>Accepted</v>
      </c>
      <c r="Y657">
        <f>IFERROR(VLOOKUP(N657, Payment_Terms!A:B, 2, FALSE), "Payment term not found!")</f>
        <v>0</v>
      </c>
      <c r="Z657" t="str">
        <f>IFERROR(VLOOKUP(R657, Item_Category!A:B, 2, FALSE), "Uncategorized")</f>
        <v>Wood pulp</v>
      </c>
      <c r="AA657" s="5">
        <f t="shared" si="183"/>
        <v>0</v>
      </c>
      <c r="AB657">
        <f t="shared" si="184"/>
        <v>5</v>
      </c>
      <c r="AC657" s="10">
        <f t="shared" si="185"/>
        <v>-8</v>
      </c>
      <c r="AD657">
        <f t="shared" si="186"/>
        <v>5</v>
      </c>
      <c r="AE657" s="10">
        <f t="shared" si="187"/>
        <v>22</v>
      </c>
      <c r="AF657" s="5">
        <f t="shared" si="180"/>
        <v>1</v>
      </c>
      <c r="AG657" s="5">
        <f t="shared" si="181"/>
        <v>1</v>
      </c>
      <c r="AH657" s="5">
        <f t="shared" si="188"/>
        <v>0</v>
      </c>
      <c r="AI657">
        <f>IF(B657&lt;&gt;"", COUNTIFS($B$2:B657, B657), "")</f>
        <v>24</v>
      </c>
      <c r="AJ657">
        <f t="shared" si="189"/>
        <v>5</v>
      </c>
      <c r="AK657">
        <f t="shared" si="182"/>
        <v>5</v>
      </c>
      <c r="AL657">
        <f t="shared" si="190"/>
        <v>8</v>
      </c>
      <c r="AM657" t="str">
        <f t="shared" si="191"/>
        <v>August</v>
      </c>
      <c r="AN657">
        <f t="shared" si="192"/>
        <v>2023</v>
      </c>
      <c r="AO657" t="str">
        <f t="shared" si="193"/>
        <v>&gt;3</v>
      </c>
      <c r="AP657" t="str">
        <f t="shared" si="194"/>
        <v>&gt;3</v>
      </c>
      <c r="AQ657" t="str">
        <f t="shared" si="195"/>
        <v>&gt;3</v>
      </c>
    </row>
    <row r="658" spans="1:43" x14ac:dyDescent="0.3">
      <c r="A658" t="s">
        <v>33</v>
      </c>
      <c r="B658" t="s">
        <v>557</v>
      </c>
      <c r="C658" t="s">
        <v>562</v>
      </c>
      <c r="D658">
        <v>1637</v>
      </c>
      <c r="E658">
        <v>23310059</v>
      </c>
      <c r="F658" t="s">
        <v>558</v>
      </c>
      <c r="G658" t="s">
        <v>384</v>
      </c>
      <c r="H658">
        <v>400</v>
      </c>
      <c r="I658">
        <v>99</v>
      </c>
      <c r="J658">
        <v>39600</v>
      </c>
      <c r="K658" s="7" t="str">
        <f>IFERROR(IF(B658&lt;&gt;"", TEXT(VLOOKUP(B658, 'Expected Date'!A:B, 2, FALSE) + DATE(RIGHT(C658,2),MID(C658,4,2),LEFT(C658,2)), "dd/mm/yy"), ""), "")</f>
        <v>10/05/23</v>
      </c>
      <c r="L658" t="s">
        <v>38</v>
      </c>
      <c r="M658" t="s">
        <v>48</v>
      </c>
      <c r="N658" t="s">
        <v>364</v>
      </c>
      <c r="O658" t="s">
        <v>447</v>
      </c>
      <c r="P658">
        <v>23390221</v>
      </c>
      <c r="Q658" t="s">
        <v>558</v>
      </c>
      <c r="R658" t="s">
        <v>384</v>
      </c>
      <c r="S658">
        <v>100</v>
      </c>
      <c r="T658">
        <v>99</v>
      </c>
      <c r="U658">
        <v>9900</v>
      </c>
      <c r="V658" t="str">
        <f t="shared" si="179"/>
        <v>Jhagadia</v>
      </c>
      <c r="W658" t="str">
        <f>VLOOKUP(B658, Currency!A:B, 2, FALSE)</f>
        <v>INR</v>
      </c>
      <c r="X658" t="str">
        <f t="shared" si="179"/>
        <v>Accepted</v>
      </c>
      <c r="Y658">
        <f>IFERROR(VLOOKUP(N658, Payment_Terms!A:B, 2, FALSE), "Payment term not found!")</f>
        <v>30</v>
      </c>
      <c r="Z658" t="str">
        <f>IFERROR(VLOOKUP(R658, Item_Category!A:B, 2, FALSE), "Uncategorized")</f>
        <v>Gas</v>
      </c>
      <c r="AA658" s="5">
        <f t="shared" si="183"/>
        <v>0</v>
      </c>
      <c r="AB658">
        <f t="shared" si="184"/>
        <v>5</v>
      </c>
      <c r="AC658" s="10">
        <f t="shared" si="185"/>
        <v>25</v>
      </c>
      <c r="AD658">
        <f t="shared" si="186"/>
        <v>1</v>
      </c>
      <c r="AE658" s="10">
        <f t="shared" si="187"/>
        <v>35</v>
      </c>
      <c r="AF658" s="5">
        <f t="shared" si="180"/>
        <v>1</v>
      </c>
      <c r="AG658" s="5">
        <f t="shared" si="181"/>
        <v>1</v>
      </c>
      <c r="AH658" s="5">
        <f t="shared" si="188"/>
        <v>0</v>
      </c>
      <c r="AI658">
        <f>IF(B658&lt;&gt;"", COUNTIFS($B$2:B658, B658), "")</f>
        <v>3</v>
      </c>
      <c r="AJ658">
        <f t="shared" si="189"/>
        <v>5</v>
      </c>
      <c r="AK658">
        <f t="shared" si="182"/>
        <v>4</v>
      </c>
      <c r="AL658">
        <f t="shared" si="190"/>
        <v>4</v>
      </c>
      <c r="AM658" t="str">
        <f t="shared" si="191"/>
        <v>April</v>
      </c>
      <c r="AN658">
        <f t="shared" si="192"/>
        <v>2023</v>
      </c>
      <c r="AO658" t="str">
        <f t="shared" si="193"/>
        <v>&gt;3</v>
      </c>
      <c r="AP658" t="str">
        <f t="shared" si="194"/>
        <v>&gt;3</v>
      </c>
      <c r="AQ658" t="str">
        <f t="shared" si="195"/>
        <v>&lt;=3</v>
      </c>
    </row>
    <row r="659" spans="1:43" x14ac:dyDescent="0.3">
      <c r="A659" t="s">
        <v>33</v>
      </c>
      <c r="B659" t="s">
        <v>395</v>
      </c>
      <c r="C659" t="s">
        <v>416</v>
      </c>
      <c r="D659">
        <v>2024</v>
      </c>
      <c r="E659">
        <v>23310112</v>
      </c>
      <c r="F659" t="s">
        <v>569</v>
      </c>
      <c r="G659" t="s">
        <v>570</v>
      </c>
      <c r="H659">
        <v>100</v>
      </c>
      <c r="I659">
        <v>11523.81</v>
      </c>
      <c r="J659">
        <v>1152381</v>
      </c>
      <c r="K659" s="7" t="str">
        <f>IFERROR(IF(B659&lt;&gt;"", TEXT(VLOOKUP(B659, 'Expected Date'!A:B, 2, FALSE) + DATE(RIGHT(C659,2),MID(C659,4,2),LEFT(C659,2)), "dd/mm/yy"), ""), "")</f>
        <v>25/05/23</v>
      </c>
      <c r="L659" t="s">
        <v>38</v>
      </c>
      <c r="M659" t="s">
        <v>48</v>
      </c>
      <c r="N659" t="s">
        <v>342</v>
      </c>
      <c r="O659" t="s">
        <v>447</v>
      </c>
      <c r="P659">
        <v>23390222</v>
      </c>
      <c r="Q659" t="s">
        <v>569</v>
      </c>
      <c r="R659" t="s">
        <v>570</v>
      </c>
      <c r="S659">
        <v>30.54</v>
      </c>
      <c r="T659">
        <v>11523.81</v>
      </c>
      <c r="U659">
        <v>351937.16</v>
      </c>
      <c r="V659" t="str">
        <f t="shared" si="179"/>
        <v>Jhagadia</v>
      </c>
      <c r="W659" t="str">
        <f>VLOOKUP(B659, Currency!A:B, 2, FALSE)</f>
        <v>INR</v>
      </c>
      <c r="X659" t="str">
        <f t="shared" si="179"/>
        <v>Accepted</v>
      </c>
      <c r="Y659">
        <f>IFERROR(VLOOKUP(N659, Payment_Terms!A:B, 2, FALSE), "Payment term not found!")</f>
        <v>30</v>
      </c>
      <c r="Z659" t="str">
        <f>IFERROR(VLOOKUP(R659, Item_Category!A:B, 2, FALSE), "Uncategorized")</f>
        <v>Coal materials</v>
      </c>
      <c r="AA659" s="5">
        <f t="shared" si="183"/>
        <v>0</v>
      </c>
      <c r="AB659">
        <f t="shared" si="184"/>
        <v>5</v>
      </c>
      <c r="AC659" s="10">
        <f t="shared" si="185"/>
        <v>10</v>
      </c>
      <c r="AD659">
        <f t="shared" si="186"/>
        <v>2</v>
      </c>
      <c r="AE659" s="10">
        <f t="shared" si="187"/>
        <v>15</v>
      </c>
      <c r="AF659" s="5">
        <f t="shared" si="180"/>
        <v>1</v>
      </c>
      <c r="AG659" s="5">
        <f t="shared" si="181"/>
        <v>1</v>
      </c>
      <c r="AH659" s="5">
        <f t="shared" si="188"/>
        <v>0</v>
      </c>
      <c r="AI659">
        <f>IF(B659&lt;&gt;"", COUNTIFS($B$2:B659, B659), "")</f>
        <v>29</v>
      </c>
      <c r="AJ659">
        <f t="shared" si="189"/>
        <v>5</v>
      </c>
      <c r="AK659">
        <f t="shared" si="182"/>
        <v>5</v>
      </c>
      <c r="AL659">
        <f t="shared" si="190"/>
        <v>5</v>
      </c>
      <c r="AM659" t="str">
        <f t="shared" si="191"/>
        <v>May</v>
      </c>
      <c r="AN659">
        <f t="shared" si="192"/>
        <v>2023</v>
      </c>
      <c r="AO659" t="str">
        <f t="shared" si="193"/>
        <v>&gt;3</v>
      </c>
      <c r="AP659" t="str">
        <f t="shared" si="194"/>
        <v>&gt;3</v>
      </c>
      <c r="AQ659" t="str">
        <f t="shared" si="195"/>
        <v>&lt;=3</v>
      </c>
    </row>
    <row r="660" spans="1:43" x14ac:dyDescent="0.3">
      <c r="A660" t="s">
        <v>33</v>
      </c>
      <c r="B660" t="s">
        <v>366</v>
      </c>
      <c r="C660" t="s">
        <v>265</v>
      </c>
      <c r="D660">
        <v>1264</v>
      </c>
      <c r="E660">
        <v>23310015</v>
      </c>
      <c r="F660" t="s">
        <v>569</v>
      </c>
      <c r="G660" t="s">
        <v>570</v>
      </c>
      <c r="H660">
        <v>70</v>
      </c>
      <c r="I660">
        <v>10857.14</v>
      </c>
      <c r="J660">
        <v>759999.8</v>
      </c>
      <c r="K660" s="7" t="str">
        <f>IFERROR(IF(B660&lt;&gt;"", TEXT(VLOOKUP(B660, 'Expected Date'!A:B, 2, FALSE) + DATE(RIGHT(C660,2),MID(C660,4,2),LEFT(C660,2)), "dd/mm/yy"), ""), "")</f>
        <v>12/04/23</v>
      </c>
      <c r="L660" t="s">
        <v>38</v>
      </c>
      <c r="M660" t="s">
        <v>48</v>
      </c>
      <c r="N660" t="s">
        <v>574</v>
      </c>
      <c r="O660" t="s">
        <v>124</v>
      </c>
      <c r="P660">
        <v>23390036</v>
      </c>
      <c r="Q660" t="s">
        <v>569</v>
      </c>
      <c r="R660" t="s">
        <v>570</v>
      </c>
      <c r="S660">
        <v>28.67</v>
      </c>
      <c r="T660">
        <v>10857.14</v>
      </c>
      <c r="U660">
        <v>311274.2</v>
      </c>
      <c r="V660" t="str">
        <f t="shared" si="179"/>
        <v>Jhagadia</v>
      </c>
      <c r="W660" t="str">
        <f>VLOOKUP(B660, Currency!A:B, 2, FALSE)</f>
        <v>INR</v>
      </c>
      <c r="X660" t="str">
        <f t="shared" si="179"/>
        <v>Accepted</v>
      </c>
      <c r="Y660">
        <f>IFERROR(VLOOKUP(N660, Payment_Terms!A:B, 2, FALSE), "Payment term not found!")</f>
        <v>0</v>
      </c>
      <c r="Z660" t="str">
        <f>IFERROR(VLOOKUP(R660, Item_Category!A:B, 2, FALSE), "Uncategorized")</f>
        <v>Coal materials</v>
      </c>
      <c r="AA660" s="5">
        <f t="shared" si="183"/>
        <v>0</v>
      </c>
      <c r="AB660">
        <f t="shared" si="184"/>
        <v>5</v>
      </c>
      <c r="AC660" s="10">
        <f t="shared" si="185"/>
        <v>6</v>
      </c>
      <c r="AD660">
        <f t="shared" si="186"/>
        <v>3</v>
      </c>
      <c r="AE660" s="10">
        <f t="shared" si="187"/>
        <v>8</v>
      </c>
      <c r="AF660" s="5">
        <f t="shared" si="180"/>
        <v>1</v>
      </c>
      <c r="AG660" s="5">
        <f t="shared" si="181"/>
        <v>1</v>
      </c>
      <c r="AH660" s="5">
        <f t="shared" si="188"/>
        <v>0</v>
      </c>
      <c r="AI660">
        <f>IF(B660&lt;&gt;"", COUNTIFS($B$2:B660, B660), "")</f>
        <v>76</v>
      </c>
      <c r="AJ660">
        <f t="shared" si="189"/>
        <v>5</v>
      </c>
      <c r="AK660">
        <f t="shared" si="182"/>
        <v>5</v>
      </c>
      <c r="AL660">
        <f t="shared" si="190"/>
        <v>4</v>
      </c>
      <c r="AM660" t="str">
        <f t="shared" si="191"/>
        <v>April</v>
      </c>
      <c r="AN660">
        <f t="shared" si="192"/>
        <v>2023</v>
      </c>
      <c r="AO660" t="str">
        <f t="shared" si="193"/>
        <v>&gt;3</v>
      </c>
      <c r="AP660" t="str">
        <f t="shared" si="194"/>
        <v>&gt;3</v>
      </c>
      <c r="AQ660" t="str">
        <f t="shared" si="195"/>
        <v>&lt;=3</v>
      </c>
    </row>
    <row r="661" spans="1:43" x14ac:dyDescent="0.3">
      <c r="A661" t="s">
        <v>33</v>
      </c>
      <c r="B661" t="str">
        <f>B649</f>
        <v>Ami Enterprises</v>
      </c>
      <c r="C661" t="s">
        <v>146</v>
      </c>
      <c r="D661">
        <v>1769</v>
      </c>
      <c r="E661">
        <v>23310081</v>
      </c>
      <c r="F661" t="s">
        <v>572</v>
      </c>
      <c r="G661" t="s">
        <v>595</v>
      </c>
      <c r="H661">
        <v>5000</v>
      </c>
      <c r="I661">
        <v>35</v>
      </c>
      <c r="J661">
        <v>175000</v>
      </c>
      <c r="K661" s="7" t="str">
        <f>IFERROR(IF(B661&lt;&gt;"", TEXT(VLOOKUP(B661, 'Expected Date'!A:B, 2, FALSE) + DATE(RIGHT(C661,2),MID(C661,4,2),LEFT(C661,2)), "dd/mm/yy"), ""), "")</f>
        <v>19/05/23</v>
      </c>
      <c r="L661" t="s">
        <v>38</v>
      </c>
      <c r="M661" t="s">
        <v>39</v>
      </c>
      <c r="N661" t="s">
        <v>318</v>
      </c>
      <c r="O661" t="s">
        <v>210</v>
      </c>
      <c r="P661">
        <v>23390136</v>
      </c>
      <c r="Q661" t="s">
        <v>572</v>
      </c>
      <c r="R661" t="s">
        <v>595</v>
      </c>
      <c r="S661">
        <v>3030</v>
      </c>
      <c r="T661">
        <v>35</v>
      </c>
      <c r="U661">
        <v>106050</v>
      </c>
      <c r="V661" t="str">
        <f t="shared" si="179"/>
        <v>Jhagadia</v>
      </c>
      <c r="W661" t="str">
        <f>VLOOKUP(B661, Currency!A:B, 2, FALSE)</f>
        <v>INR</v>
      </c>
      <c r="X661" t="str">
        <f t="shared" si="179"/>
        <v>Accepted</v>
      </c>
      <c r="Y661">
        <f>IFERROR(VLOOKUP(N661, Payment_Terms!A:B, 2, FALSE), "Payment term not found!")</f>
        <v>30</v>
      </c>
      <c r="Z661" t="str">
        <f>IFERROR(VLOOKUP(R661, Item_Category!A:B, 2, FALSE), "Uncategorized")</f>
        <v>Bags</v>
      </c>
      <c r="AA661" s="5">
        <f t="shared" si="183"/>
        <v>0</v>
      </c>
      <c r="AB661">
        <f t="shared" si="184"/>
        <v>5</v>
      </c>
      <c r="AC661" s="10">
        <f t="shared" si="185"/>
        <v>-6</v>
      </c>
      <c r="AD661">
        <f t="shared" si="186"/>
        <v>5</v>
      </c>
      <c r="AE661" s="10">
        <f t="shared" si="187"/>
        <v>4</v>
      </c>
      <c r="AF661" s="5">
        <f t="shared" si="180"/>
        <v>1</v>
      </c>
      <c r="AG661" s="5">
        <f t="shared" si="181"/>
        <v>1</v>
      </c>
      <c r="AH661" s="5">
        <f t="shared" si="188"/>
        <v>0</v>
      </c>
      <c r="AI661">
        <f>IF(B661&lt;&gt;"", COUNTIFS($B$2:B661, B661), "")</f>
        <v>47</v>
      </c>
      <c r="AJ661">
        <f t="shared" si="189"/>
        <v>5</v>
      </c>
      <c r="AK661">
        <f t="shared" si="182"/>
        <v>5</v>
      </c>
      <c r="AL661">
        <f t="shared" si="190"/>
        <v>5</v>
      </c>
      <c r="AM661" t="str">
        <f t="shared" si="191"/>
        <v>May</v>
      </c>
      <c r="AN661">
        <f t="shared" si="192"/>
        <v>2023</v>
      </c>
      <c r="AO661" t="str">
        <f t="shared" si="193"/>
        <v>&gt;3</v>
      </c>
      <c r="AP661" t="str">
        <f t="shared" si="194"/>
        <v>&gt;3</v>
      </c>
      <c r="AQ661" t="str">
        <f t="shared" si="195"/>
        <v>&gt;3</v>
      </c>
    </row>
    <row r="662" spans="1:43" x14ac:dyDescent="0.3">
      <c r="A662" t="s">
        <v>33</v>
      </c>
      <c r="B662" t="s">
        <v>157</v>
      </c>
      <c r="C662" t="s">
        <v>162</v>
      </c>
      <c r="D662">
        <v>2764</v>
      </c>
      <c r="E662">
        <v>23310209</v>
      </c>
      <c r="F662" t="s">
        <v>583</v>
      </c>
      <c r="G662" t="s">
        <v>159</v>
      </c>
      <c r="H662">
        <v>400</v>
      </c>
      <c r="I662">
        <v>270</v>
      </c>
      <c r="J662">
        <v>108000</v>
      </c>
      <c r="K662" s="7" t="str">
        <f>IFERROR(IF(B662&lt;&gt;"", TEXT(VLOOKUP(B662, 'Expected Date'!A:B, 2, FALSE) + DATE(RIGHT(C662,2),MID(C662,4,2),LEFT(C662,2)), "dd/mm/yy"), ""), "")</f>
        <v>09/07/23</v>
      </c>
      <c r="L662" t="s">
        <v>38</v>
      </c>
      <c r="M662" t="s">
        <v>48</v>
      </c>
      <c r="N662" t="s">
        <v>584</v>
      </c>
      <c r="O662" t="s">
        <v>117</v>
      </c>
      <c r="P662">
        <v>23390296</v>
      </c>
      <c r="Q662" t="s">
        <v>583</v>
      </c>
      <c r="R662" t="s">
        <v>159</v>
      </c>
      <c r="S662">
        <v>400</v>
      </c>
      <c r="T662">
        <v>270</v>
      </c>
      <c r="U662">
        <v>108000</v>
      </c>
      <c r="V662" t="str">
        <f t="shared" si="179"/>
        <v>Jhagadia</v>
      </c>
      <c r="W662" t="str">
        <f>VLOOKUP(B662, Currency!A:B, 2, FALSE)</f>
        <v>INR</v>
      </c>
      <c r="X662" t="str">
        <f t="shared" si="179"/>
        <v>Accepted</v>
      </c>
      <c r="Y662">
        <f>IFERROR(VLOOKUP(N662, Payment_Terms!A:B, 2, FALSE), "Payment term not found!")</f>
        <v>0</v>
      </c>
      <c r="Z662" t="str">
        <f>IFERROR(VLOOKUP(R662, Item_Category!A:B, 2, FALSE), "Uncategorized")</f>
        <v>Sodium salts</v>
      </c>
      <c r="AA662" s="5">
        <f t="shared" si="183"/>
        <v>0</v>
      </c>
      <c r="AB662">
        <f t="shared" si="184"/>
        <v>5</v>
      </c>
      <c r="AC662" s="10">
        <f t="shared" si="185"/>
        <v>-2</v>
      </c>
      <c r="AD662">
        <f t="shared" si="186"/>
        <v>5</v>
      </c>
      <c r="AE662" s="10">
        <f t="shared" si="187"/>
        <v>8</v>
      </c>
      <c r="AF662" s="5">
        <f t="shared" si="180"/>
        <v>1</v>
      </c>
      <c r="AG662" s="5">
        <f t="shared" si="181"/>
        <v>1</v>
      </c>
      <c r="AH662" s="5">
        <f t="shared" si="188"/>
        <v>0</v>
      </c>
      <c r="AI662">
        <f>IF(B662&lt;&gt;"", COUNTIFS($B$2:B662, B662), "")</f>
        <v>8</v>
      </c>
      <c r="AJ662">
        <f t="shared" si="189"/>
        <v>5</v>
      </c>
      <c r="AK662">
        <f t="shared" si="182"/>
        <v>5</v>
      </c>
      <c r="AL662">
        <f t="shared" si="190"/>
        <v>6</v>
      </c>
      <c r="AM662" t="str">
        <f t="shared" si="191"/>
        <v>June</v>
      </c>
      <c r="AN662">
        <f t="shared" si="192"/>
        <v>2023</v>
      </c>
      <c r="AO662" t="str">
        <f t="shared" si="193"/>
        <v>&gt;3</v>
      </c>
      <c r="AP662" t="str">
        <f t="shared" si="194"/>
        <v>&gt;3</v>
      </c>
      <c r="AQ662" t="str">
        <f t="shared" si="195"/>
        <v>&gt;3</v>
      </c>
    </row>
    <row r="663" spans="1:43" x14ac:dyDescent="0.3">
      <c r="A663" t="s">
        <v>33</v>
      </c>
      <c r="B663" t="s">
        <v>429</v>
      </c>
      <c r="C663" t="s">
        <v>58</v>
      </c>
      <c r="D663">
        <v>3492</v>
      </c>
      <c r="E663">
        <v>23310270</v>
      </c>
      <c r="F663" t="s">
        <v>581</v>
      </c>
      <c r="G663" t="s">
        <v>582</v>
      </c>
      <c r="H663">
        <v>4000</v>
      </c>
      <c r="I663">
        <v>8</v>
      </c>
      <c r="J663">
        <v>32000</v>
      </c>
      <c r="K663" s="7" t="str">
        <f>IFERROR(IF(B663&lt;&gt;"", TEXT(VLOOKUP(B663, 'Expected Date'!A:B, 2, FALSE) + DATE(RIGHT(C663,2),MID(C663,4,2),LEFT(C663,2)), "dd/mm/yy"), ""), "")</f>
        <v>06/08/23</v>
      </c>
      <c r="L663" t="s">
        <v>38</v>
      </c>
      <c r="M663" t="s">
        <v>48</v>
      </c>
      <c r="N663" t="s">
        <v>318</v>
      </c>
      <c r="O663" t="s">
        <v>127</v>
      </c>
      <c r="P663">
        <v>23390377</v>
      </c>
      <c r="Q663" t="s">
        <v>581</v>
      </c>
      <c r="R663" t="s">
        <v>582</v>
      </c>
      <c r="S663">
        <v>2590</v>
      </c>
      <c r="T663">
        <v>8</v>
      </c>
      <c r="U663">
        <v>20720</v>
      </c>
      <c r="V663" t="str">
        <f t="shared" si="179"/>
        <v>Jhagadia</v>
      </c>
      <c r="W663" t="str">
        <f>VLOOKUP(B663, Currency!A:B, 2, FALSE)</f>
        <v>INR</v>
      </c>
      <c r="X663" t="str">
        <f t="shared" si="179"/>
        <v>Accepted</v>
      </c>
      <c r="Y663">
        <f>IFERROR(VLOOKUP(N663, Payment_Terms!A:B, 2, FALSE), "Payment term not found!")</f>
        <v>30</v>
      </c>
      <c r="Z663" t="str">
        <f>IFERROR(VLOOKUP(R663, Item_Category!A:B, 2, FALSE), "Uncategorized")</f>
        <v>Lime</v>
      </c>
      <c r="AA663" s="5">
        <f t="shared" si="183"/>
        <v>0</v>
      </c>
      <c r="AB663">
        <f t="shared" si="184"/>
        <v>5</v>
      </c>
      <c r="AC663" s="10">
        <f t="shared" si="185"/>
        <v>-4</v>
      </c>
      <c r="AD663">
        <f t="shared" si="186"/>
        <v>5</v>
      </c>
      <c r="AE663" s="10">
        <f t="shared" si="187"/>
        <v>1</v>
      </c>
      <c r="AF663" s="5">
        <f t="shared" si="180"/>
        <v>1</v>
      </c>
      <c r="AG663" s="5">
        <f t="shared" si="181"/>
        <v>1</v>
      </c>
      <c r="AH663" s="5">
        <f t="shared" si="188"/>
        <v>0</v>
      </c>
      <c r="AI663">
        <f>IF(B663&lt;&gt;"", COUNTIFS($B$2:B663, B663), "")</f>
        <v>10</v>
      </c>
      <c r="AJ663">
        <f t="shared" si="189"/>
        <v>5</v>
      </c>
      <c r="AK663">
        <f t="shared" si="182"/>
        <v>5</v>
      </c>
      <c r="AL663">
        <f t="shared" si="190"/>
        <v>8</v>
      </c>
      <c r="AM663" t="str">
        <f t="shared" si="191"/>
        <v>August</v>
      </c>
      <c r="AN663">
        <f t="shared" si="192"/>
        <v>2023</v>
      </c>
      <c r="AO663" t="str">
        <f t="shared" si="193"/>
        <v>&gt;3</v>
      </c>
      <c r="AP663" t="str">
        <f t="shared" si="194"/>
        <v>&gt;3</v>
      </c>
      <c r="AQ663" t="str">
        <f t="shared" si="195"/>
        <v>&gt;3</v>
      </c>
    </row>
    <row r="664" spans="1:43" x14ac:dyDescent="0.3">
      <c r="A664" t="str">
        <f>A632</f>
        <v>Woodpulp</v>
      </c>
      <c r="B664" t="s">
        <v>289</v>
      </c>
      <c r="C664" t="s">
        <v>168</v>
      </c>
      <c r="D664">
        <v>1303</v>
      </c>
      <c r="E664">
        <v>23320007</v>
      </c>
      <c r="F664" t="s">
        <v>575</v>
      </c>
      <c r="G664" t="s">
        <v>291</v>
      </c>
      <c r="H664">
        <v>200000</v>
      </c>
      <c r="I664">
        <v>64.099999999999994</v>
      </c>
      <c r="J664">
        <v>12820000</v>
      </c>
      <c r="K664" s="7" t="str">
        <f>IFERROR(IF(B664&lt;&gt;"", TEXT(VLOOKUP(B664, 'Expected Date'!A:B, 2, FALSE) + DATE(RIGHT(C664,2),MID(C664,4,2),LEFT(C664,2)), "dd/mm/yy"), ""), "")</f>
        <v>17/05/23</v>
      </c>
      <c r="L664" t="s">
        <v>38</v>
      </c>
      <c r="M664" t="str">
        <f>M642</f>
        <v>MT</v>
      </c>
      <c r="N664" t="s">
        <v>292</v>
      </c>
      <c r="O664" t="s">
        <v>124</v>
      </c>
      <c r="P664">
        <v>23390038</v>
      </c>
      <c r="Q664" t="s">
        <v>575</v>
      </c>
      <c r="R664" t="s">
        <v>291</v>
      </c>
      <c r="S664">
        <v>24134</v>
      </c>
      <c r="T664">
        <v>64.099999999999994</v>
      </c>
      <c r="U664">
        <v>1546989.4</v>
      </c>
      <c r="V664" t="str">
        <f t="shared" si="179"/>
        <v>Jhagadia</v>
      </c>
      <c r="W664" t="str">
        <f>VLOOKUP(B664, Currency!A:B, 2, FALSE)</f>
        <v>INR</v>
      </c>
      <c r="X664" t="str">
        <f t="shared" si="179"/>
        <v>Accepted</v>
      </c>
      <c r="Y664">
        <f>IFERROR(VLOOKUP(N664, Payment_Terms!A:B, 2, FALSE), "Payment term not found!")</f>
        <v>0</v>
      </c>
      <c r="Z664" t="str">
        <f>IFERROR(VLOOKUP(R664, Item_Category!A:B, 2, FALSE), "Uncategorized")</f>
        <v>Wood pulp</v>
      </c>
      <c r="AA664" s="5">
        <f t="shared" si="183"/>
        <v>0</v>
      </c>
      <c r="AB664">
        <f t="shared" si="184"/>
        <v>5</v>
      </c>
      <c r="AC664" s="10">
        <f t="shared" si="185"/>
        <v>-29</v>
      </c>
      <c r="AD664">
        <f t="shared" si="186"/>
        <v>5</v>
      </c>
      <c r="AE664" s="10">
        <f t="shared" si="187"/>
        <v>1</v>
      </c>
      <c r="AF664" s="5">
        <f t="shared" si="180"/>
        <v>1</v>
      </c>
      <c r="AG664" s="5">
        <f t="shared" si="181"/>
        <v>1</v>
      </c>
      <c r="AH664" s="5">
        <f t="shared" si="188"/>
        <v>0</v>
      </c>
      <c r="AI664">
        <f>IF(B664&lt;&gt;"", COUNTIFS($B$2:B664, B664), "")</f>
        <v>25</v>
      </c>
      <c r="AJ664">
        <f t="shared" si="189"/>
        <v>5</v>
      </c>
      <c r="AK664">
        <f t="shared" si="182"/>
        <v>5</v>
      </c>
      <c r="AL664">
        <f t="shared" si="190"/>
        <v>4</v>
      </c>
      <c r="AM664" t="str">
        <f t="shared" si="191"/>
        <v>April</v>
      </c>
      <c r="AN664">
        <f t="shared" si="192"/>
        <v>2023</v>
      </c>
      <c r="AO664" t="str">
        <f t="shared" si="193"/>
        <v>&gt;3</v>
      </c>
      <c r="AP664" t="str">
        <f t="shared" si="194"/>
        <v>&gt;3</v>
      </c>
      <c r="AQ664" t="str">
        <f t="shared" si="195"/>
        <v>&gt;3</v>
      </c>
    </row>
    <row r="665" spans="1:43" x14ac:dyDescent="0.3">
      <c r="A665" t="str">
        <f>A632</f>
        <v>Woodpulp</v>
      </c>
      <c r="B665" t="s">
        <v>289</v>
      </c>
      <c r="C665" t="s">
        <v>168</v>
      </c>
      <c r="D665">
        <v>1303</v>
      </c>
      <c r="E665">
        <v>23320007</v>
      </c>
      <c r="F665" t="s">
        <v>575</v>
      </c>
      <c r="G665" t="s">
        <v>291</v>
      </c>
      <c r="H665">
        <v>200000</v>
      </c>
      <c r="I665">
        <v>64.099999999999994</v>
      </c>
      <c r="J665">
        <v>12820000</v>
      </c>
      <c r="K665" s="7" t="str">
        <f>IFERROR(IF(B665&lt;&gt;"", TEXT(VLOOKUP(B665, 'Expected Date'!A:B, 2, FALSE) + DATE(RIGHT(C665,2),MID(C665,4,2),LEFT(C665,2)), "dd/mm/yy"), ""), "")</f>
        <v>17/05/23</v>
      </c>
      <c r="L665" t="s">
        <v>38</v>
      </c>
      <c r="M665" t="str">
        <f>M642</f>
        <v>MT</v>
      </c>
      <c r="N665" t="s">
        <v>292</v>
      </c>
      <c r="O665" t="s">
        <v>65</v>
      </c>
      <c r="P665">
        <v>23390046</v>
      </c>
      <c r="Q665" t="s">
        <v>575</v>
      </c>
      <c r="R665" t="s">
        <v>291</v>
      </c>
      <c r="S665">
        <v>24134</v>
      </c>
      <c r="T665">
        <v>64.099999999999994</v>
      </c>
      <c r="U665">
        <v>1546989.4</v>
      </c>
      <c r="V665" t="str">
        <f t="shared" si="179"/>
        <v>Jhagadia</v>
      </c>
      <c r="W665" t="str">
        <f>VLOOKUP(B665, Currency!A:B, 2, FALSE)</f>
        <v>INR</v>
      </c>
      <c r="X665" t="str">
        <f t="shared" si="179"/>
        <v>Accepted</v>
      </c>
      <c r="Y665">
        <f>IFERROR(VLOOKUP(N665, Payment_Terms!A:B, 2, FALSE), "Payment term not found!")</f>
        <v>0</v>
      </c>
      <c r="Z665" t="str">
        <f>IFERROR(VLOOKUP(R665, Item_Category!A:B, 2, FALSE), "Uncategorized")</f>
        <v>Wood pulp</v>
      </c>
      <c r="AA665" s="5">
        <f t="shared" si="183"/>
        <v>0</v>
      </c>
      <c r="AB665">
        <f t="shared" si="184"/>
        <v>5</v>
      </c>
      <c r="AC665" s="10">
        <f t="shared" si="185"/>
        <v>-28</v>
      </c>
      <c r="AD665">
        <f t="shared" si="186"/>
        <v>5</v>
      </c>
      <c r="AE665" s="10">
        <f t="shared" si="187"/>
        <v>2</v>
      </c>
      <c r="AF665" s="5">
        <f t="shared" si="180"/>
        <v>1</v>
      </c>
      <c r="AG665" s="5">
        <f t="shared" si="181"/>
        <v>1</v>
      </c>
      <c r="AH665" s="5">
        <f t="shared" si="188"/>
        <v>0</v>
      </c>
      <c r="AI665">
        <f>IF(B665&lt;&gt;"", COUNTIFS($B$2:B665, B665), "")</f>
        <v>26</v>
      </c>
      <c r="AJ665">
        <f t="shared" si="189"/>
        <v>5</v>
      </c>
      <c r="AK665">
        <f t="shared" si="182"/>
        <v>5</v>
      </c>
      <c r="AL665">
        <f t="shared" si="190"/>
        <v>4</v>
      </c>
      <c r="AM665" t="str">
        <f t="shared" si="191"/>
        <v>April</v>
      </c>
      <c r="AN665">
        <f t="shared" si="192"/>
        <v>2023</v>
      </c>
      <c r="AO665" t="str">
        <f t="shared" si="193"/>
        <v>&gt;3</v>
      </c>
      <c r="AP665" t="str">
        <f t="shared" si="194"/>
        <v>&gt;3</v>
      </c>
      <c r="AQ665" t="str">
        <f t="shared" si="195"/>
        <v>&gt;3</v>
      </c>
    </row>
    <row r="666" spans="1:43" x14ac:dyDescent="0.3">
      <c r="A666" t="s">
        <v>33</v>
      </c>
      <c r="B666" t="s">
        <v>122</v>
      </c>
      <c r="C666" t="s">
        <v>397</v>
      </c>
      <c r="D666">
        <v>1189</v>
      </c>
      <c r="E666">
        <v>23310011</v>
      </c>
      <c r="F666" t="s">
        <v>565</v>
      </c>
      <c r="G666" t="s">
        <v>566</v>
      </c>
      <c r="H666">
        <v>160</v>
      </c>
      <c r="I666">
        <v>930</v>
      </c>
      <c r="J666">
        <v>148800</v>
      </c>
      <c r="K666" s="7" t="str">
        <f>IFERROR(IF(B666&lt;&gt;"", TEXT(VLOOKUP(B666, 'Expected Date'!A:B, 2, FALSE) + DATE(RIGHT(C666,2),MID(C666,4,2),LEFT(C666,2)), "dd/mm/yy"), ""), "")</f>
        <v>20/04/23</v>
      </c>
      <c r="L666" t="s">
        <v>38</v>
      </c>
      <c r="M666" t="s">
        <v>39</v>
      </c>
      <c r="N666" t="s">
        <v>318</v>
      </c>
      <c r="O666" t="s">
        <v>65</v>
      </c>
      <c r="P666">
        <v>23390047</v>
      </c>
      <c r="Q666" t="s">
        <v>565</v>
      </c>
      <c r="R666" t="s">
        <v>566</v>
      </c>
      <c r="S666">
        <v>50</v>
      </c>
      <c r="T666">
        <v>930</v>
      </c>
      <c r="U666">
        <v>46500</v>
      </c>
      <c r="V666" t="str">
        <f t="shared" si="179"/>
        <v>Jhagadia</v>
      </c>
      <c r="W666" t="str">
        <f>VLOOKUP(B666, Currency!A:B, 2, FALSE)</f>
        <v>INR</v>
      </c>
      <c r="X666" t="str">
        <f t="shared" si="179"/>
        <v>Accepted</v>
      </c>
      <c r="Y666">
        <f>IFERROR(VLOOKUP(N666, Payment_Terms!A:B, 2, FALSE), "Payment term not found!")</f>
        <v>30</v>
      </c>
      <c r="Z666" t="str">
        <f>IFERROR(VLOOKUP(R666, Item_Category!A:B, 2, FALSE), "Uncategorized")</f>
        <v>Pallets</v>
      </c>
      <c r="AA666" s="5">
        <f t="shared" si="183"/>
        <v>0</v>
      </c>
      <c r="AB666">
        <f t="shared" si="184"/>
        <v>5</v>
      </c>
      <c r="AC666" s="10">
        <f t="shared" si="185"/>
        <v>-1</v>
      </c>
      <c r="AD666">
        <f t="shared" si="186"/>
        <v>5</v>
      </c>
      <c r="AE666" s="10">
        <f t="shared" si="187"/>
        <v>14</v>
      </c>
      <c r="AF666" s="5">
        <f t="shared" si="180"/>
        <v>1</v>
      </c>
      <c r="AG666" s="5">
        <f t="shared" si="181"/>
        <v>1</v>
      </c>
      <c r="AH666" s="5">
        <f t="shared" si="188"/>
        <v>0</v>
      </c>
      <c r="AI666">
        <f>IF(B666&lt;&gt;"", COUNTIFS($B$2:B666, B666), "")</f>
        <v>40</v>
      </c>
      <c r="AJ666">
        <f t="shared" si="189"/>
        <v>5</v>
      </c>
      <c r="AK666">
        <f t="shared" si="182"/>
        <v>5</v>
      </c>
      <c r="AL666">
        <f t="shared" si="190"/>
        <v>4</v>
      </c>
      <c r="AM666" t="str">
        <f t="shared" si="191"/>
        <v>April</v>
      </c>
      <c r="AN666">
        <f t="shared" si="192"/>
        <v>2023</v>
      </c>
      <c r="AO666" t="str">
        <f t="shared" si="193"/>
        <v>&gt;3</v>
      </c>
      <c r="AP666" t="str">
        <f t="shared" si="194"/>
        <v>&gt;3</v>
      </c>
      <c r="AQ666" t="str">
        <f t="shared" si="195"/>
        <v>&gt;3</v>
      </c>
    </row>
    <row r="667" spans="1:43" x14ac:dyDescent="0.3">
      <c r="A667" t="s">
        <v>33</v>
      </c>
      <c r="B667" t="s">
        <v>429</v>
      </c>
      <c r="C667" t="s">
        <v>354</v>
      </c>
      <c r="D667">
        <v>2795</v>
      </c>
      <c r="E667">
        <v>23310214</v>
      </c>
      <c r="F667" t="s">
        <v>581</v>
      </c>
      <c r="G667" t="s">
        <v>582</v>
      </c>
      <c r="H667">
        <v>3000</v>
      </c>
      <c r="I667">
        <v>8</v>
      </c>
      <c r="J667">
        <v>24000</v>
      </c>
      <c r="K667" s="7" t="str">
        <f>IFERROR(IF(B667&lt;&gt;"", TEXT(VLOOKUP(B667, 'Expected Date'!A:B, 2, FALSE) + DATE(RIGHT(C667,2),MID(C667,4,2),LEFT(C667,2)), "dd/mm/yy"), ""), "")</f>
        <v>08/07/23</v>
      </c>
      <c r="L667" t="s">
        <v>38</v>
      </c>
      <c r="M667" t="s">
        <v>48</v>
      </c>
      <c r="N667" t="s">
        <v>318</v>
      </c>
      <c r="O667" t="s">
        <v>91</v>
      </c>
      <c r="P667">
        <v>23390315</v>
      </c>
      <c r="Q667" t="s">
        <v>581</v>
      </c>
      <c r="R667" t="s">
        <v>582</v>
      </c>
      <c r="S667">
        <v>3000</v>
      </c>
      <c r="T667">
        <v>8</v>
      </c>
      <c r="U667">
        <v>24000</v>
      </c>
      <c r="V667" t="str">
        <f t="shared" si="179"/>
        <v>Jhagadia</v>
      </c>
      <c r="W667" t="str">
        <f>VLOOKUP(B667, Currency!A:B, 2, FALSE)</f>
        <v>INR</v>
      </c>
      <c r="X667" t="str">
        <f t="shared" si="179"/>
        <v>Accepted</v>
      </c>
      <c r="Y667">
        <f>IFERROR(VLOOKUP(N667, Payment_Terms!A:B, 2, FALSE), "Payment term not found!")</f>
        <v>30</v>
      </c>
      <c r="Z667" t="str">
        <f>IFERROR(VLOOKUP(R667, Item_Category!A:B, 2, FALSE), "Uncategorized")</f>
        <v>Lime</v>
      </c>
      <c r="AA667" s="5">
        <f t="shared" si="183"/>
        <v>0</v>
      </c>
      <c r="AB667">
        <f t="shared" si="184"/>
        <v>5</v>
      </c>
      <c r="AC667" s="10">
        <f t="shared" si="185"/>
        <v>1</v>
      </c>
      <c r="AD667">
        <f t="shared" si="186"/>
        <v>5</v>
      </c>
      <c r="AE667" s="10">
        <f t="shared" si="187"/>
        <v>6</v>
      </c>
      <c r="AF667" s="5">
        <f t="shared" si="180"/>
        <v>1</v>
      </c>
      <c r="AG667" s="5">
        <f t="shared" si="181"/>
        <v>1</v>
      </c>
      <c r="AH667" s="5">
        <f t="shared" si="188"/>
        <v>0</v>
      </c>
      <c r="AI667">
        <f>IF(B667&lt;&gt;"", COUNTIFS($B$2:B667, B667), "")</f>
        <v>11</v>
      </c>
      <c r="AJ667">
        <f t="shared" si="189"/>
        <v>5</v>
      </c>
      <c r="AK667">
        <f t="shared" si="182"/>
        <v>5</v>
      </c>
      <c r="AL667">
        <f t="shared" si="190"/>
        <v>7</v>
      </c>
      <c r="AM667" t="str">
        <f t="shared" si="191"/>
        <v>July</v>
      </c>
      <c r="AN667">
        <f t="shared" si="192"/>
        <v>2023</v>
      </c>
      <c r="AO667" t="str">
        <f t="shared" si="193"/>
        <v>&gt;3</v>
      </c>
      <c r="AP667" t="str">
        <f t="shared" si="194"/>
        <v>&gt;3</v>
      </c>
      <c r="AQ667" t="str">
        <f t="shared" si="195"/>
        <v>&gt;3</v>
      </c>
    </row>
    <row r="668" spans="1:43" x14ac:dyDescent="0.3">
      <c r="A668" t="s">
        <v>33</v>
      </c>
      <c r="B668" t="s">
        <v>366</v>
      </c>
      <c r="C668" t="s">
        <v>398</v>
      </c>
      <c r="D668">
        <v>1699</v>
      </c>
      <c r="E668">
        <v>23310072</v>
      </c>
      <c r="F668" t="s">
        <v>569</v>
      </c>
      <c r="G668" t="s">
        <v>570</v>
      </c>
      <c r="H668">
        <v>70</v>
      </c>
      <c r="I668">
        <v>10857.14</v>
      </c>
      <c r="J668">
        <v>759999.8</v>
      </c>
      <c r="K668" s="7" t="str">
        <f>IFERROR(IF(B668&lt;&gt;"", TEXT(VLOOKUP(B668, 'Expected Date'!A:B, 2, FALSE) + DATE(RIGHT(C668,2),MID(C668,4,2),LEFT(C668,2)), "dd/mm/yy"), ""), "")</f>
        <v>03/05/23</v>
      </c>
      <c r="L668" t="s">
        <v>38</v>
      </c>
      <c r="M668" t="s">
        <v>48</v>
      </c>
      <c r="N668" t="s">
        <v>574</v>
      </c>
      <c r="O668" t="s">
        <v>145</v>
      </c>
      <c r="P668">
        <v>23390116</v>
      </c>
      <c r="Q668" t="s">
        <v>569</v>
      </c>
      <c r="R668" t="s">
        <v>570</v>
      </c>
      <c r="S668">
        <v>23.36</v>
      </c>
      <c r="T668">
        <v>10857.14</v>
      </c>
      <c r="U668">
        <v>253622.79</v>
      </c>
      <c r="V668" t="str">
        <f t="shared" si="179"/>
        <v>Jhagadia</v>
      </c>
      <c r="W668" t="str">
        <f>VLOOKUP(B668, Currency!A:B, 2, FALSE)</f>
        <v>INR</v>
      </c>
      <c r="X668" t="str">
        <f t="shared" si="179"/>
        <v>Accepted</v>
      </c>
      <c r="Y668">
        <f>IFERROR(VLOOKUP(N668, Payment_Terms!A:B, 2, FALSE), "Payment term not found!")</f>
        <v>0</v>
      </c>
      <c r="Z668" t="str">
        <f>IFERROR(VLOOKUP(R668, Item_Category!A:B, 2, FALSE), "Uncategorized")</f>
        <v>Coal materials</v>
      </c>
      <c r="AA668" s="5">
        <f t="shared" si="183"/>
        <v>0</v>
      </c>
      <c r="AB668">
        <f t="shared" si="184"/>
        <v>5</v>
      </c>
      <c r="AC668" s="10">
        <f t="shared" si="185"/>
        <v>4</v>
      </c>
      <c r="AD668">
        <f t="shared" si="186"/>
        <v>4</v>
      </c>
      <c r="AE668" s="10">
        <f t="shared" si="187"/>
        <v>6</v>
      </c>
      <c r="AF668" s="5">
        <f t="shared" si="180"/>
        <v>1</v>
      </c>
      <c r="AG668" s="5">
        <f t="shared" si="181"/>
        <v>1</v>
      </c>
      <c r="AH668" s="5">
        <f t="shared" si="188"/>
        <v>0</v>
      </c>
      <c r="AI668">
        <f>IF(B668&lt;&gt;"", COUNTIFS($B$2:B668, B668), "")</f>
        <v>77</v>
      </c>
      <c r="AJ668">
        <f t="shared" si="189"/>
        <v>5</v>
      </c>
      <c r="AK668">
        <f t="shared" si="182"/>
        <v>5</v>
      </c>
      <c r="AL668">
        <f t="shared" si="190"/>
        <v>5</v>
      </c>
      <c r="AM668" t="str">
        <f t="shared" si="191"/>
        <v>May</v>
      </c>
      <c r="AN668">
        <f t="shared" si="192"/>
        <v>2023</v>
      </c>
      <c r="AO668" t="str">
        <f t="shared" si="193"/>
        <v>&gt;3</v>
      </c>
      <c r="AP668" t="str">
        <f t="shared" si="194"/>
        <v>&gt;3</v>
      </c>
      <c r="AQ668" t="str">
        <f t="shared" si="195"/>
        <v>&gt;3</v>
      </c>
    </row>
    <row r="669" spans="1:43" x14ac:dyDescent="0.3">
      <c r="A669" t="s">
        <v>33</v>
      </c>
      <c r="B669" t="s">
        <v>557</v>
      </c>
      <c r="C669" t="s">
        <v>414</v>
      </c>
      <c r="D669">
        <v>2296</v>
      </c>
      <c r="E669">
        <v>23310158</v>
      </c>
      <c r="F669" t="s">
        <v>558</v>
      </c>
      <c r="G669" t="s">
        <v>384</v>
      </c>
      <c r="H669">
        <v>400</v>
      </c>
      <c r="I669">
        <v>99</v>
      </c>
      <c r="J669">
        <v>39600</v>
      </c>
      <c r="K669" s="7" t="str">
        <f>IFERROR(IF(B669&lt;&gt;"", TEXT(VLOOKUP(B669, 'Expected Date'!A:B, 2, FALSE) + DATE(RIGHT(C669,2),MID(C669,4,2),LEFT(C669,2)), "dd/mm/yy"), ""), "")</f>
        <v>11/06/23</v>
      </c>
      <c r="L669" t="s">
        <v>68</v>
      </c>
      <c r="M669" t="s">
        <v>48</v>
      </c>
      <c r="N669" t="s">
        <v>364</v>
      </c>
      <c r="O669" t="s">
        <v>182</v>
      </c>
      <c r="P669">
        <v>23390238</v>
      </c>
      <c r="Q669" t="s">
        <v>558</v>
      </c>
      <c r="R669" t="s">
        <v>384</v>
      </c>
      <c r="S669">
        <v>100</v>
      </c>
      <c r="T669">
        <v>99</v>
      </c>
      <c r="U669">
        <v>9900</v>
      </c>
      <c r="V669" t="str">
        <f t="shared" si="179"/>
        <v>Jhagadia</v>
      </c>
      <c r="W669" t="str">
        <f>VLOOKUP(B669, Currency!A:B, 2, FALSE)</f>
        <v>INR</v>
      </c>
      <c r="X669" t="str">
        <f t="shared" si="179"/>
        <v>Accepted</v>
      </c>
      <c r="Y669">
        <f>IFERROR(VLOOKUP(N669, Payment_Terms!A:B, 2, FALSE), "Payment term not found!")</f>
        <v>30</v>
      </c>
      <c r="Z669" t="str">
        <f>IFERROR(VLOOKUP(R669, Item_Category!A:B, 2, FALSE), "Uncategorized")</f>
        <v>Gas</v>
      </c>
      <c r="AA669" s="5">
        <f t="shared" si="183"/>
        <v>0.25</v>
      </c>
      <c r="AB669">
        <f t="shared" si="184"/>
        <v>1</v>
      </c>
      <c r="AC669" s="10">
        <f t="shared" si="185"/>
        <v>2</v>
      </c>
      <c r="AD669">
        <f t="shared" si="186"/>
        <v>5</v>
      </c>
      <c r="AE669" s="10">
        <f t="shared" si="187"/>
        <v>12</v>
      </c>
      <c r="AF669" s="5">
        <f t="shared" si="180"/>
        <v>1</v>
      </c>
      <c r="AG669" s="5">
        <f t="shared" si="181"/>
        <v>1</v>
      </c>
      <c r="AH669" s="5">
        <f t="shared" si="188"/>
        <v>0</v>
      </c>
      <c r="AI669">
        <f>IF(B669&lt;&gt;"", COUNTIFS($B$2:B669, B669), "")</f>
        <v>4</v>
      </c>
      <c r="AJ669">
        <f t="shared" si="189"/>
        <v>5</v>
      </c>
      <c r="AK669">
        <f t="shared" si="182"/>
        <v>4</v>
      </c>
      <c r="AL669">
        <f t="shared" si="190"/>
        <v>6</v>
      </c>
      <c r="AM669" t="str">
        <f t="shared" si="191"/>
        <v>June</v>
      </c>
      <c r="AN669">
        <f t="shared" si="192"/>
        <v>2023</v>
      </c>
      <c r="AO669" t="str">
        <f t="shared" si="193"/>
        <v>&gt;3</v>
      </c>
      <c r="AP669" t="str">
        <f t="shared" si="194"/>
        <v>&lt;=3</v>
      </c>
      <c r="AQ669" t="str">
        <f t="shared" si="195"/>
        <v>&gt;3</v>
      </c>
    </row>
    <row r="670" spans="1:43" x14ac:dyDescent="0.3">
      <c r="A670" t="s">
        <v>33</v>
      </c>
      <c r="B670" t="s">
        <v>513</v>
      </c>
      <c r="C670" t="s">
        <v>78</v>
      </c>
      <c r="D670">
        <v>3973</v>
      </c>
      <c r="E670">
        <v>23310321</v>
      </c>
      <c r="F670" t="s">
        <v>563</v>
      </c>
      <c r="G670" t="s">
        <v>515</v>
      </c>
      <c r="H670">
        <v>2500</v>
      </c>
      <c r="I670">
        <v>24</v>
      </c>
      <c r="J670">
        <v>60000</v>
      </c>
      <c r="K670" s="7" t="str">
        <f>IFERROR(IF(B670&lt;&gt;"", TEXT(VLOOKUP(B670, 'Expected Date'!A:B, 2, FALSE) + DATE(RIGHT(C670,2),MID(C670,4,2),LEFT(C670,2)), "dd/mm/yy"), ""), "")</f>
        <v>26/08/23</v>
      </c>
      <c r="L670" t="s">
        <v>68</v>
      </c>
      <c r="M670" t="s">
        <v>48</v>
      </c>
      <c r="N670" t="s">
        <v>342</v>
      </c>
      <c r="O670" t="s">
        <v>105</v>
      </c>
      <c r="P670">
        <v>23390477</v>
      </c>
      <c r="Q670" t="s">
        <v>563</v>
      </c>
      <c r="R670" t="s">
        <v>515</v>
      </c>
      <c r="S670">
        <v>1000</v>
      </c>
      <c r="T670">
        <v>24</v>
      </c>
      <c r="U670">
        <v>24000</v>
      </c>
      <c r="V670" t="str">
        <f t="shared" si="179"/>
        <v>Jhagadia</v>
      </c>
      <c r="W670" t="str">
        <f>VLOOKUP(B670, Currency!A:B, 2, FALSE)</f>
        <v>INR</v>
      </c>
      <c r="X670" t="str">
        <f t="shared" si="179"/>
        <v>Accepted</v>
      </c>
      <c r="Y670">
        <f>IFERROR(VLOOKUP(N670, Payment_Terms!A:B, 2, FALSE), "Payment term not found!")</f>
        <v>30</v>
      </c>
      <c r="Z670" t="str">
        <f>IFERROR(VLOOKUP(R670, Item_Category!A:B, 2, FALSE), "Uncategorized")</f>
        <v xml:space="preserve">Caustic Soda </v>
      </c>
      <c r="AA670" s="5">
        <f t="shared" si="183"/>
        <v>0.2</v>
      </c>
      <c r="AB670">
        <f t="shared" si="184"/>
        <v>1</v>
      </c>
      <c r="AC670" s="10">
        <f t="shared" si="185"/>
        <v>-1</v>
      </c>
      <c r="AD670">
        <f t="shared" si="186"/>
        <v>5</v>
      </c>
      <c r="AE670" s="10">
        <f t="shared" si="187"/>
        <v>1</v>
      </c>
      <c r="AF670" s="5">
        <f t="shared" si="180"/>
        <v>1</v>
      </c>
      <c r="AG670" s="5">
        <f t="shared" si="181"/>
        <v>1</v>
      </c>
      <c r="AH670" s="5">
        <f t="shared" si="188"/>
        <v>0</v>
      </c>
      <c r="AI670">
        <f>IF(B670&lt;&gt;"", COUNTIFS($B$2:B670, B670), "")</f>
        <v>8</v>
      </c>
      <c r="AJ670">
        <f t="shared" si="189"/>
        <v>5</v>
      </c>
      <c r="AK670">
        <f t="shared" si="182"/>
        <v>4</v>
      </c>
      <c r="AL670">
        <f t="shared" si="190"/>
        <v>8</v>
      </c>
      <c r="AM670" t="str">
        <f t="shared" si="191"/>
        <v>August</v>
      </c>
      <c r="AN670">
        <f t="shared" si="192"/>
        <v>2023</v>
      </c>
      <c r="AO670" t="str">
        <f t="shared" si="193"/>
        <v>&gt;3</v>
      </c>
      <c r="AP670" t="str">
        <f t="shared" si="194"/>
        <v>&lt;=3</v>
      </c>
      <c r="AQ670" t="str">
        <f t="shared" si="195"/>
        <v>&gt;3</v>
      </c>
    </row>
    <row r="671" spans="1:43" x14ac:dyDescent="0.3">
      <c r="A671" t="s">
        <v>95</v>
      </c>
      <c r="B671" t="s">
        <v>96</v>
      </c>
      <c r="C671" t="s">
        <v>97</v>
      </c>
      <c r="D671">
        <v>1227</v>
      </c>
      <c r="E671">
        <v>23320002</v>
      </c>
      <c r="F671" t="s">
        <v>585</v>
      </c>
      <c r="G671" t="s">
        <v>99</v>
      </c>
      <c r="H671">
        <v>78</v>
      </c>
      <c r="I671">
        <v>820</v>
      </c>
      <c r="J671">
        <v>5187156</v>
      </c>
      <c r="K671" s="7" t="str">
        <f>IFERROR(IF(B671&lt;&gt;"", TEXT(VLOOKUP(B671, 'Expected Date'!A:B, 2, FALSE) + DATE(RIGHT(C671,2),MID(C671,4,2),LEFT(C671,2)), "dd/mm/yy"), ""), "")</f>
        <v>10/06/23</v>
      </c>
      <c r="L671" t="s">
        <v>38</v>
      </c>
      <c r="M671" t="str">
        <f>M642</f>
        <v>MT</v>
      </c>
      <c r="N671" t="s">
        <v>102</v>
      </c>
      <c r="O671" t="s">
        <v>78</v>
      </c>
      <c r="P671">
        <v>23390475</v>
      </c>
      <c r="Q671" t="s">
        <v>585</v>
      </c>
      <c r="R671" t="s">
        <v>99</v>
      </c>
      <c r="S671">
        <v>79.307000000000002</v>
      </c>
      <c r="T671">
        <v>820</v>
      </c>
      <c r="U671">
        <v>5345609.03</v>
      </c>
      <c r="V671" t="str">
        <f t="shared" si="179"/>
        <v>Jhagadia</v>
      </c>
      <c r="W671" t="str">
        <f>VLOOKUP(B671, Currency!A:B, 2, FALSE)</f>
        <v>USD</v>
      </c>
      <c r="X671" t="str">
        <f t="shared" si="179"/>
        <v>Accepted</v>
      </c>
      <c r="Y671">
        <f>IFERROR(VLOOKUP(N671, Payment_Terms!A:B, 2, FALSE), "Payment term not found!")</f>
        <v>60</v>
      </c>
      <c r="Z671" t="str">
        <f>IFERROR(VLOOKUP(R671, Item_Category!A:B, 2, FALSE), "Uncategorized")</f>
        <v>Wood pulp</v>
      </c>
      <c r="AA671" s="5">
        <f t="shared" si="183"/>
        <v>0</v>
      </c>
      <c r="AB671">
        <f t="shared" si="184"/>
        <v>5</v>
      </c>
      <c r="AC671" s="10">
        <f t="shared" si="185"/>
        <v>75</v>
      </c>
      <c r="AD671">
        <f t="shared" si="186"/>
        <v>1</v>
      </c>
      <c r="AE671" s="10">
        <f t="shared" si="187"/>
        <v>135</v>
      </c>
      <c r="AF671" s="5">
        <f t="shared" si="180"/>
        <v>1</v>
      </c>
      <c r="AG671" s="5">
        <f t="shared" si="181"/>
        <v>1</v>
      </c>
      <c r="AH671" s="5">
        <f t="shared" si="188"/>
        <v>0</v>
      </c>
      <c r="AI671">
        <f>IF(B671&lt;&gt;"", COUNTIFS($B$2:B671, B671), "")</f>
        <v>17</v>
      </c>
      <c r="AJ671">
        <f t="shared" si="189"/>
        <v>5</v>
      </c>
      <c r="AK671">
        <f t="shared" si="182"/>
        <v>4</v>
      </c>
      <c r="AL671">
        <f t="shared" si="190"/>
        <v>4</v>
      </c>
      <c r="AM671" t="str">
        <f t="shared" si="191"/>
        <v>April</v>
      </c>
      <c r="AN671">
        <f t="shared" si="192"/>
        <v>2023</v>
      </c>
      <c r="AO671" t="str">
        <f t="shared" si="193"/>
        <v>&gt;3</v>
      </c>
      <c r="AP671" t="str">
        <f t="shared" si="194"/>
        <v>&gt;3</v>
      </c>
      <c r="AQ671" t="str">
        <f t="shared" si="195"/>
        <v>&lt;=3</v>
      </c>
    </row>
    <row r="672" spans="1:43" x14ac:dyDescent="0.3">
      <c r="A672" t="s">
        <v>33</v>
      </c>
      <c r="B672" t="s">
        <v>366</v>
      </c>
      <c r="C672" t="s">
        <v>476</v>
      </c>
      <c r="D672">
        <v>3937</v>
      </c>
      <c r="E672">
        <v>23310313</v>
      </c>
      <c r="F672" t="s">
        <v>569</v>
      </c>
      <c r="G672" t="s">
        <v>570</v>
      </c>
      <c r="H672">
        <v>100</v>
      </c>
      <c r="I672">
        <v>9800</v>
      </c>
      <c r="J672">
        <v>980000</v>
      </c>
      <c r="K672" s="7" t="str">
        <f>IFERROR(IF(B672&lt;&gt;"", TEXT(VLOOKUP(B672, 'Expected Date'!A:B, 2, FALSE) + DATE(RIGHT(C672,2),MID(C672,4,2),LEFT(C672,2)), "dd/mm/yy"), ""), "")</f>
        <v>17/08/23</v>
      </c>
      <c r="L672" t="s">
        <v>38</v>
      </c>
      <c r="M672" t="s">
        <v>48</v>
      </c>
      <c r="N672" t="s">
        <v>532</v>
      </c>
      <c r="O672" t="s">
        <v>105</v>
      </c>
      <c r="P672">
        <v>23390476</v>
      </c>
      <c r="Q672" t="s">
        <v>569</v>
      </c>
      <c r="R672" t="s">
        <v>570</v>
      </c>
      <c r="S672">
        <v>23.64</v>
      </c>
      <c r="T672">
        <v>9800</v>
      </c>
      <c r="U672">
        <v>231672</v>
      </c>
      <c r="V672" t="str">
        <f t="shared" si="179"/>
        <v>Jhagadia</v>
      </c>
      <c r="W672" t="str">
        <f>VLOOKUP(B672, Currency!A:B, 2, FALSE)</f>
        <v>INR</v>
      </c>
      <c r="X672" t="str">
        <f t="shared" si="179"/>
        <v>Accepted</v>
      </c>
      <c r="Y672">
        <f>IFERROR(VLOOKUP(N672, Payment_Terms!A:B, 2, FALSE), "Payment term not found!")</f>
        <v>15</v>
      </c>
      <c r="Z672" t="str">
        <f>IFERROR(VLOOKUP(R672, Item_Category!A:B, 2, FALSE), "Uncategorized")</f>
        <v>Coal materials</v>
      </c>
      <c r="AA672" s="5">
        <f t="shared" si="183"/>
        <v>0</v>
      </c>
      <c r="AB672">
        <f t="shared" si="184"/>
        <v>5</v>
      </c>
      <c r="AC672" s="10">
        <f t="shared" si="185"/>
        <v>8</v>
      </c>
      <c r="AD672">
        <f t="shared" si="186"/>
        <v>2</v>
      </c>
      <c r="AE672" s="10">
        <f t="shared" si="187"/>
        <v>10</v>
      </c>
      <c r="AF672" s="5">
        <f t="shared" si="180"/>
        <v>1</v>
      </c>
      <c r="AG672" s="5">
        <f t="shared" si="181"/>
        <v>1</v>
      </c>
      <c r="AH672" s="5">
        <f t="shared" si="188"/>
        <v>0</v>
      </c>
      <c r="AI672">
        <f>IF(B672&lt;&gt;"", COUNTIFS($B$2:B672, B672), "")</f>
        <v>78</v>
      </c>
      <c r="AJ672">
        <f t="shared" si="189"/>
        <v>5</v>
      </c>
      <c r="AK672">
        <f t="shared" si="182"/>
        <v>5</v>
      </c>
      <c r="AL672">
        <f t="shared" si="190"/>
        <v>8</v>
      </c>
      <c r="AM672" t="str">
        <f t="shared" si="191"/>
        <v>August</v>
      </c>
      <c r="AN672">
        <f t="shared" si="192"/>
        <v>2023</v>
      </c>
      <c r="AO672" t="str">
        <f t="shared" si="193"/>
        <v>&gt;3</v>
      </c>
      <c r="AP672" t="str">
        <f t="shared" si="194"/>
        <v>&gt;3</v>
      </c>
      <c r="AQ672" t="str">
        <f t="shared" si="195"/>
        <v>&lt;=3</v>
      </c>
    </row>
    <row r="673" spans="1:43" x14ac:dyDescent="0.3">
      <c r="A673" t="s">
        <v>33</v>
      </c>
      <c r="B673" t="s">
        <v>386</v>
      </c>
      <c r="C673" t="s">
        <v>496</v>
      </c>
      <c r="D673">
        <v>4201</v>
      </c>
      <c r="E673">
        <v>23310343</v>
      </c>
      <c r="F673" t="s">
        <v>567</v>
      </c>
      <c r="G673" t="s">
        <v>568</v>
      </c>
      <c r="H673">
        <v>500</v>
      </c>
      <c r="I673">
        <v>133</v>
      </c>
      <c r="J673">
        <v>66500</v>
      </c>
      <c r="K673" s="7" t="str">
        <f>IFERROR(IF(B673&lt;&gt;"", TEXT(VLOOKUP(B673, 'Expected Date'!A:B, 2, FALSE) + DATE(RIGHT(C673,2),MID(C673,4,2),LEFT(C673,2)), "dd/mm/yy"), ""), "")</f>
        <v>07/09/23</v>
      </c>
      <c r="L673" t="s">
        <v>38</v>
      </c>
      <c r="M673" t="s">
        <v>39</v>
      </c>
      <c r="N673" t="s">
        <v>318</v>
      </c>
      <c r="O673" t="s">
        <v>226</v>
      </c>
      <c r="P673">
        <v>23390552</v>
      </c>
      <c r="Q673" t="s">
        <v>567</v>
      </c>
      <c r="R673" t="s">
        <v>568</v>
      </c>
      <c r="S673">
        <v>420.1</v>
      </c>
      <c r="T673">
        <v>133</v>
      </c>
      <c r="U673">
        <v>55873.3</v>
      </c>
      <c r="V673" t="str">
        <f t="shared" si="179"/>
        <v>Jhagadia</v>
      </c>
      <c r="W673" t="str">
        <f>VLOOKUP(B673, Currency!A:B, 2, FALSE)</f>
        <v>INR</v>
      </c>
      <c r="X673" t="str">
        <f t="shared" si="179"/>
        <v>Accepted</v>
      </c>
      <c r="Y673">
        <f>IFERROR(VLOOKUP(N673, Payment_Terms!A:B, 2, FALSE), "Payment term not found!")</f>
        <v>30</v>
      </c>
      <c r="Z673" t="str">
        <f>IFERROR(VLOOKUP(R673, Item_Category!A:B, 2, FALSE), "Uncategorized")</f>
        <v>Liner</v>
      </c>
      <c r="AA673" s="5">
        <f t="shared" si="183"/>
        <v>0</v>
      </c>
      <c r="AB673">
        <f t="shared" si="184"/>
        <v>5</v>
      </c>
      <c r="AC673" s="10">
        <f t="shared" si="185"/>
        <v>4</v>
      </c>
      <c r="AD673">
        <f t="shared" si="186"/>
        <v>4</v>
      </c>
      <c r="AE673" s="10">
        <f t="shared" si="187"/>
        <v>9</v>
      </c>
      <c r="AF673" s="5">
        <f t="shared" si="180"/>
        <v>1</v>
      </c>
      <c r="AG673" s="5">
        <f t="shared" si="181"/>
        <v>1</v>
      </c>
      <c r="AH673" s="5">
        <f t="shared" si="188"/>
        <v>0</v>
      </c>
      <c r="AI673">
        <f>IF(B673&lt;&gt;"", COUNTIFS($B$2:B673, B673), "")</f>
        <v>35</v>
      </c>
      <c r="AJ673">
        <f t="shared" si="189"/>
        <v>5</v>
      </c>
      <c r="AK673">
        <f t="shared" si="182"/>
        <v>5</v>
      </c>
      <c r="AL673">
        <f t="shared" si="190"/>
        <v>9</v>
      </c>
      <c r="AM673" t="str">
        <f t="shared" si="191"/>
        <v>September</v>
      </c>
      <c r="AN673">
        <f t="shared" si="192"/>
        <v>2023</v>
      </c>
      <c r="AO673" t="str">
        <f t="shared" si="193"/>
        <v>&gt;3</v>
      </c>
      <c r="AP673" t="str">
        <f t="shared" si="194"/>
        <v>&gt;3</v>
      </c>
      <c r="AQ673" t="str">
        <f t="shared" si="195"/>
        <v>&gt;3</v>
      </c>
    </row>
    <row r="674" spans="1:43" x14ac:dyDescent="0.3">
      <c r="A674" t="s">
        <v>33</v>
      </c>
      <c r="B674" t="s">
        <v>366</v>
      </c>
      <c r="C674" t="s">
        <v>178</v>
      </c>
      <c r="D674">
        <v>4155</v>
      </c>
      <c r="E674">
        <v>23310339</v>
      </c>
      <c r="F674" t="s">
        <v>569</v>
      </c>
      <c r="G674" t="s">
        <v>570</v>
      </c>
      <c r="H674">
        <v>150</v>
      </c>
      <c r="I674">
        <v>9800</v>
      </c>
      <c r="J674">
        <v>1470000</v>
      </c>
      <c r="K674" s="7" t="str">
        <f>IFERROR(IF(B674&lt;&gt;"", TEXT(VLOOKUP(B674, 'Expected Date'!A:B, 2, FALSE) + DATE(RIGHT(C674,2),MID(C674,4,2),LEFT(C674,2)), "dd/mm/yy"), ""), "")</f>
        <v>03/09/23</v>
      </c>
      <c r="L674" t="s">
        <v>38</v>
      </c>
      <c r="M674" t="s">
        <v>48</v>
      </c>
      <c r="N674" t="s">
        <v>532</v>
      </c>
      <c r="O674" t="s">
        <v>151</v>
      </c>
      <c r="P674">
        <v>23390553</v>
      </c>
      <c r="Q674" t="s">
        <v>569</v>
      </c>
      <c r="R674" t="s">
        <v>570</v>
      </c>
      <c r="S674">
        <v>28.86</v>
      </c>
      <c r="T674">
        <v>9800</v>
      </c>
      <c r="U674">
        <v>282828</v>
      </c>
      <c r="V674" t="str">
        <f t="shared" si="179"/>
        <v>Jhagadia</v>
      </c>
      <c r="W674" t="str">
        <f>VLOOKUP(B674, Currency!A:B, 2, FALSE)</f>
        <v>INR</v>
      </c>
      <c r="X674" t="str">
        <f t="shared" si="179"/>
        <v>Accepted</v>
      </c>
      <c r="Y674">
        <f>IFERROR(VLOOKUP(N674, Payment_Terms!A:B, 2, FALSE), "Payment term not found!")</f>
        <v>15</v>
      </c>
      <c r="Z674" t="str">
        <f>IFERROR(VLOOKUP(R674, Item_Category!A:B, 2, FALSE), "Uncategorized")</f>
        <v>Coal materials</v>
      </c>
      <c r="AA674" s="5">
        <f t="shared" si="183"/>
        <v>0</v>
      </c>
      <c r="AB674">
        <f t="shared" si="184"/>
        <v>5</v>
      </c>
      <c r="AC674" s="10">
        <f t="shared" si="185"/>
        <v>11</v>
      </c>
      <c r="AD674">
        <f t="shared" si="186"/>
        <v>1</v>
      </c>
      <c r="AE674" s="10">
        <f t="shared" si="187"/>
        <v>13</v>
      </c>
      <c r="AF674" s="5">
        <f t="shared" si="180"/>
        <v>1</v>
      </c>
      <c r="AG674" s="5">
        <f t="shared" si="181"/>
        <v>1</v>
      </c>
      <c r="AH674" s="5">
        <f t="shared" si="188"/>
        <v>0</v>
      </c>
      <c r="AI674">
        <f>IF(B674&lt;&gt;"", COUNTIFS($B$2:B674, B674), "")</f>
        <v>79</v>
      </c>
      <c r="AJ674">
        <f t="shared" si="189"/>
        <v>5</v>
      </c>
      <c r="AK674">
        <f t="shared" si="182"/>
        <v>4</v>
      </c>
      <c r="AL674">
        <f t="shared" si="190"/>
        <v>9</v>
      </c>
      <c r="AM674" t="str">
        <f t="shared" si="191"/>
        <v>September</v>
      </c>
      <c r="AN674">
        <f t="shared" si="192"/>
        <v>2023</v>
      </c>
      <c r="AO674" t="str">
        <f t="shared" si="193"/>
        <v>&gt;3</v>
      </c>
      <c r="AP674" t="str">
        <f t="shared" si="194"/>
        <v>&gt;3</v>
      </c>
      <c r="AQ674" t="str">
        <f t="shared" si="195"/>
        <v>&lt;=3</v>
      </c>
    </row>
    <row r="675" spans="1:43" x14ac:dyDescent="0.3">
      <c r="A675" t="s">
        <v>111</v>
      </c>
      <c r="B675" t="s">
        <v>296</v>
      </c>
      <c r="C675" t="s">
        <v>482</v>
      </c>
      <c r="D675">
        <v>4223</v>
      </c>
      <c r="E675">
        <v>23310345</v>
      </c>
      <c r="F675" t="s">
        <v>587</v>
      </c>
      <c r="G675" t="s">
        <v>588</v>
      </c>
      <c r="H675">
        <v>1000</v>
      </c>
      <c r="I675">
        <v>205</v>
      </c>
      <c r="J675">
        <v>205000</v>
      </c>
      <c r="K675" s="7" t="str">
        <f>IFERROR(IF(B675&lt;&gt;"", TEXT(VLOOKUP(B675, 'Expected Date'!A:B, 2, FALSE) + DATE(RIGHT(C675,2),MID(C675,4,2),LEFT(C675,2)), "dd/mm/yy"), ""), "")</f>
        <v>22/09/23</v>
      </c>
      <c r="L675" t="s">
        <v>38</v>
      </c>
      <c r="M675" t="s">
        <v>48</v>
      </c>
      <c r="N675" t="s">
        <v>342</v>
      </c>
      <c r="O675" t="s">
        <v>323</v>
      </c>
      <c r="P675">
        <v>23390566</v>
      </c>
      <c r="Q675" t="s">
        <v>587</v>
      </c>
      <c r="R675" t="s">
        <v>588</v>
      </c>
      <c r="S675">
        <v>1000</v>
      </c>
      <c r="T675">
        <v>205</v>
      </c>
      <c r="U675">
        <v>205000</v>
      </c>
      <c r="V675" t="str">
        <f t="shared" si="179"/>
        <v>Jhagadia</v>
      </c>
      <c r="W675" t="str">
        <f>VLOOKUP(B675, Currency!A:B, 2, FALSE)</f>
        <v>INR</v>
      </c>
      <c r="X675" t="str">
        <f t="shared" si="179"/>
        <v>Accepted</v>
      </c>
      <c r="Y675">
        <f>IFERROR(VLOOKUP(N675, Payment_Terms!A:B, 2, FALSE), "Payment term not found!")</f>
        <v>30</v>
      </c>
      <c r="Z675" t="str">
        <f>IFERROR(VLOOKUP(R675, Item_Category!A:B, 2, FALSE), "Uncategorized")</f>
        <v>SSG - Potato</v>
      </c>
      <c r="AA675" s="5">
        <f t="shared" si="183"/>
        <v>0</v>
      </c>
      <c r="AB675">
        <f t="shared" si="184"/>
        <v>5</v>
      </c>
      <c r="AC675" s="10">
        <f t="shared" si="185"/>
        <v>-7</v>
      </c>
      <c r="AD675">
        <f t="shared" si="186"/>
        <v>5</v>
      </c>
      <c r="AE675" s="10">
        <f t="shared" si="187"/>
        <v>8</v>
      </c>
      <c r="AF675" s="5">
        <f t="shared" si="180"/>
        <v>1</v>
      </c>
      <c r="AG675" s="5">
        <f t="shared" si="181"/>
        <v>1</v>
      </c>
      <c r="AH675" s="5">
        <f t="shared" si="188"/>
        <v>0</v>
      </c>
      <c r="AI675">
        <f>IF(B675&lt;&gt;"", COUNTIFS($B$2:B675, B675), "")</f>
        <v>14</v>
      </c>
      <c r="AJ675">
        <f t="shared" si="189"/>
        <v>5</v>
      </c>
      <c r="AK675">
        <f t="shared" si="182"/>
        <v>5</v>
      </c>
      <c r="AL675">
        <f t="shared" si="190"/>
        <v>9</v>
      </c>
      <c r="AM675" t="str">
        <f t="shared" si="191"/>
        <v>September</v>
      </c>
      <c r="AN675">
        <f t="shared" si="192"/>
        <v>2023</v>
      </c>
      <c r="AO675" t="str">
        <f t="shared" si="193"/>
        <v>&gt;3</v>
      </c>
      <c r="AP675" t="str">
        <f t="shared" si="194"/>
        <v>&gt;3</v>
      </c>
      <c r="AQ675" t="str">
        <f t="shared" si="195"/>
        <v>&gt;3</v>
      </c>
    </row>
    <row r="676" spans="1:43" x14ac:dyDescent="0.3">
      <c r="A676" t="str">
        <f>A632</f>
        <v>Woodpulp</v>
      </c>
      <c r="B676" t="s">
        <v>289</v>
      </c>
      <c r="C676" t="s">
        <v>394</v>
      </c>
      <c r="D676">
        <v>3805</v>
      </c>
      <c r="E676">
        <v>23320035</v>
      </c>
      <c r="F676" t="s">
        <v>575</v>
      </c>
      <c r="G676" t="s">
        <v>291</v>
      </c>
      <c r="H676">
        <v>100</v>
      </c>
      <c r="I676">
        <v>48000</v>
      </c>
      <c r="J676">
        <v>4800000</v>
      </c>
      <c r="K676" s="7" t="str">
        <f>IFERROR(IF(B676&lt;&gt;"", TEXT(VLOOKUP(B676, 'Expected Date'!A:B, 2, FALSE) + DATE(RIGHT(C676,2),MID(C676,4,2),LEFT(C676,2)), "dd/mm/yy"), ""), "")</f>
        <v>16/09/23</v>
      </c>
      <c r="L676" t="s">
        <v>38</v>
      </c>
      <c r="M676" t="str">
        <f>M642</f>
        <v>MT</v>
      </c>
      <c r="N676" t="s">
        <v>273</v>
      </c>
      <c r="O676" t="s">
        <v>226</v>
      </c>
      <c r="P676">
        <v>23390551</v>
      </c>
      <c r="Q676" t="s">
        <v>575</v>
      </c>
      <c r="R676" t="s">
        <v>291</v>
      </c>
      <c r="S676">
        <v>15.093</v>
      </c>
      <c r="T676">
        <v>48000</v>
      </c>
      <c r="U676">
        <v>724464</v>
      </c>
      <c r="V676" t="str">
        <f t="shared" si="179"/>
        <v>Jhagadia</v>
      </c>
      <c r="W676" t="str">
        <f>VLOOKUP(B676, Currency!A:B, 2, FALSE)</f>
        <v>INR</v>
      </c>
      <c r="X676" t="str">
        <f t="shared" si="179"/>
        <v>Accepted</v>
      </c>
      <c r="Y676">
        <f>IFERROR(VLOOKUP(N676, Payment_Terms!A:B, 2, FALSE), "Payment term not found!")</f>
        <v>0</v>
      </c>
      <c r="Z676" t="str">
        <f>IFERROR(VLOOKUP(R676, Item_Category!A:B, 2, FALSE), "Uncategorized")</f>
        <v>Wood pulp</v>
      </c>
      <c r="AA676" s="5">
        <f t="shared" si="183"/>
        <v>0</v>
      </c>
      <c r="AB676">
        <f t="shared" si="184"/>
        <v>5</v>
      </c>
      <c r="AC676" s="10">
        <f t="shared" si="185"/>
        <v>-5</v>
      </c>
      <c r="AD676">
        <f t="shared" si="186"/>
        <v>5</v>
      </c>
      <c r="AE676" s="10">
        <f t="shared" si="187"/>
        <v>25</v>
      </c>
      <c r="AF676" s="5">
        <f t="shared" si="180"/>
        <v>1</v>
      </c>
      <c r="AG676" s="5">
        <f t="shared" si="181"/>
        <v>1</v>
      </c>
      <c r="AH676" s="5">
        <f t="shared" si="188"/>
        <v>0</v>
      </c>
      <c r="AI676">
        <f>IF(B676&lt;&gt;"", COUNTIFS($B$2:B676, B676), "")</f>
        <v>27</v>
      </c>
      <c r="AJ676">
        <f t="shared" si="189"/>
        <v>5</v>
      </c>
      <c r="AK676">
        <f t="shared" si="182"/>
        <v>5</v>
      </c>
      <c r="AL676">
        <f t="shared" si="190"/>
        <v>8</v>
      </c>
      <c r="AM676" t="str">
        <f t="shared" si="191"/>
        <v>August</v>
      </c>
      <c r="AN676">
        <f t="shared" si="192"/>
        <v>2023</v>
      </c>
      <c r="AO676" t="str">
        <f t="shared" si="193"/>
        <v>&gt;3</v>
      </c>
      <c r="AP676" t="str">
        <f t="shared" si="194"/>
        <v>&gt;3</v>
      </c>
      <c r="AQ676" t="str">
        <f t="shared" si="195"/>
        <v>&gt;3</v>
      </c>
    </row>
    <row r="677" spans="1:43" x14ac:dyDescent="0.3">
      <c r="A677" t="s">
        <v>33</v>
      </c>
      <c r="B677" t="s">
        <v>513</v>
      </c>
      <c r="C677" t="s">
        <v>172</v>
      </c>
      <c r="D677">
        <v>1186</v>
      </c>
      <c r="E677">
        <v>23310008</v>
      </c>
      <c r="F677" t="s">
        <v>563</v>
      </c>
      <c r="G677" t="s">
        <v>515</v>
      </c>
      <c r="H677">
        <v>2500</v>
      </c>
      <c r="I677">
        <v>26</v>
      </c>
      <c r="J677">
        <v>65000</v>
      </c>
      <c r="K677" s="7" t="str">
        <f>IFERROR(IF(B677&lt;&gt;"", TEXT(VLOOKUP(B677, 'Expected Date'!A:B, 2, FALSE) + DATE(RIGHT(C677,2),MID(C677,4,2),LEFT(C677,2)), "dd/mm/yy"), ""), "")</f>
        <v>08/04/23</v>
      </c>
      <c r="L677" t="s">
        <v>38</v>
      </c>
      <c r="M677" t="s">
        <v>48</v>
      </c>
      <c r="N677" t="s">
        <v>342</v>
      </c>
      <c r="O677" t="s">
        <v>419</v>
      </c>
      <c r="P677">
        <v>23390052</v>
      </c>
      <c r="Q677" t="s">
        <v>563</v>
      </c>
      <c r="R677" t="s">
        <v>515</v>
      </c>
      <c r="S677">
        <v>500</v>
      </c>
      <c r="T677">
        <v>26</v>
      </c>
      <c r="U677">
        <v>13000</v>
      </c>
      <c r="V677" t="str">
        <f t="shared" si="179"/>
        <v>Jhagadia</v>
      </c>
      <c r="W677" t="str">
        <f>VLOOKUP(B677, Currency!A:B, 2, FALSE)</f>
        <v>INR</v>
      </c>
      <c r="X677" t="str">
        <f t="shared" si="179"/>
        <v>Accepted</v>
      </c>
      <c r="Y677">
        <f>IFERROR(VLOOKUP(N677, Payment_Terms!A:B, 2, FALSE), "Payment term not found!")</f>
        <v>30</v>
      </c>
      <c r="Z677" t="str">
        <f>IFERROR(VLOOKUP(R677, Item_Category!A:B, 2, FALSE), "Uncategorized")</f>
        <v xml:space="preserve">Caustic Soda </v>
      </c>
      <c r="AA677" s="5">
        <f t="shared" si="183"/>
        <v>0</v>
      </c>
      <c r="AB677">
        <f t="shared" si="184"/>
        <v>5</v>
      </c>
      <c r="AC677" s="10">
        <f t="shared" si="185"/>
        <v>14</v>
      </c>
      <c r="AD677">
        <f t="shared" si="186"/>
        <v>1</v>
      </c>
      <c r="AE677" s="10">
        <f t="shared" si="187"/>
        <v>16</v>
      </c>
      <c r="AF677" s="5">
        <f t="shared" si="180"/>
        <v>1</v>
      </c>
      <c r="AG677" s="5">
        <f t="shared" si="181"/>
        <v>1</v>
      </c>
      <c r="AH677" s="5">
        <f t="shared" si="188"/>
        <v>0</v>
      </c>
      <c r="AI677">
        <f>IF(B677&lt;&gt;"", COUNTIFS($B$2:B677, B677), "")</f>
        <v>9</v>
      </c>
      <c r="AJ677">
        <f t="shared" si="189"/>
        <v>5</v>
      </c>
      <c r="AK677">
        <f t="shared" si="182"/>
        <v>4</v>
      </c>
      <c r="AL677">
        <f t="shared" si="190"/>
        <v>4</v>
      </c>
      <c r="AM677" t="str">
        <f t="shared" si="191"/>
        <v>April</v>
      </c>
      <c r="AN677">
        <f t="shared" si="192"/>
        <v>2023</v>
      </c>
      <c r="AO677" t="str">
        <f t="shared" si="193"/>
        <v>&gt;3</v>
      </c>
      <c r="AP677" t="str">
        <f t="shared" si="194"/>
        <v>&gt;3</v>
      </c>
      <c r="AQ677" t="str">
        <f t="shared" si="195"/>
        <v>&lt;=3</v>
      </c>
    </row>
    <row r="678" spans="1:43" x14ac:dyDescent="0.3">
      <c r="A678" t="str">
        <f>A632</f>
        <v>Woodpulp</v>
      </c>
      <c r="B678" t="s">
        <v>289</v>
      </c>
      <c r="C678" t="s">
        <v>394</v>
      </c>
      <c r="D678">
        <v>3808</v>
      </c>
      <c r="E678">
        <v>23320036</v>
      </c>
      <c r="F678" t="s">
        <v>571</v>
      </c>
      <c r="G678" t="s">
        <v>360</v>
      </c>
      <c r="H678">
        <v>98</v>
      </c>
      <c r="I678">
        <v>61500</v>
      </c>
      <c r="J678">
        <v>6027000</v>
      </c>
      <c r="K678" s="7" t="str">
        <f>IFERROR(IF(B678&lt;&gt;"", TEXT(VLOOKUP(B678, 'Expected Date'!A:B, 2, FALSE) + DATE(RIGHT(C678,2),MID(C678,4,2),LEFT(C678,2)), "dd/mm/yy"), ""), "")</f>
        <v>16/09/23</v>
      </c>
      <c r="L678" t="s">
        <v>38</v>
      </c>
      <c r="M678" t="str">
        <f>M642</f>
        <v>MT</v>
      </c>
      <c r="N678" t="s">
        <v>109</v>
      </c>
      <c r="O678" t="s">
        <v>226</v>
      </c>
      <c r="P678">
        <v>23390550</v>
      </c>
      <c r="Q678" t="s">
        <v>571</v>
      </c>
      <c r="R678" t="s">
        <v>360</v>
      </c>
      <c r="S678">
        <v>18.86</v>
      </c>
      <c r="T678">
        <v>61500</v>
      </c>
      <c r="U678">
        <v>1159890</v>
      </c>
      <c r="V678" t="str">
        <f t="shared" si="179"/>
        <v>Jhagadia</v>
      </c>
      <c r="W678" t="str">
        <f>VLOOKUP(B678, Currency!A:B, 2, FALSE)</f>
        <v>INR</v>
      </c>
      <c r="X678" t="str">
        <f t="shared" si="179"/>
        <v>Accepted</v>
      </c>
      <c r="Y678">
        <f>IFERROR(VLOOKUP(N678, Payment_Terms!A:B, 2, FALSE), "Payment term not found!")</f>
        <v>0</v>
      </c>
      <c r="Z678" t="str">
        <f>IFERROR(VLOOKUP(R678, Item_Category!A:B, 2, FALSE), "Uncategorized")</f>
        <v>Wood pulp</v>
      </c>
      <c r="AA678" s="5">
        <f t="shared" si="183"/>
        <v>0</v>
      </c>
      <c r="AB678">
        <f t="shared" si="184"/>
        <v>5</v>
      </c>
      <c r="AC678" s="10">
        <f t="shared" si="185"/>
        <v>-5</v>
      </c>
      <c r="AD678">
        <f t="shared" si="186"/>
        <v>5</v>
      </c>
      <c r="AE678" s="10">
        <f t="shared" si="187"/>
        <v>25</v>
      </c>
      <c r="AF678" s="5">
        <f t="shared" si="180"/>
        <v>1</v>
      </c>
      <c r="AG678" s="5">
        <f t="shared" si="181"/>
        <v>1</v>
      </c>
      <c r="AH678" s="5">
        <f t="shared" si="188"/>
        <v>0</v>
      </c>
      <c r="AI678">
        <f>IF(B678&lt;&gt;"", COUNTIFS($B$2:B678, B678), "")</f>
        <v>28</v>
      </c>
      <c r="AJ678">
        <f t="shared" si="189"/>
        <v>5</v>
      </c>
      <c r="AK678">
        <f t="shared" si="182"/>
        <v>5</v>
      </c>
      <c r="AL678">
        <f t="shared" si="190"/>
        <v>8</v>
      </c>
      <c r="AM678" t="str">
        <f t="shared" si="191"/>
        <v>August</v>
      </c>
      <c r="AN678">
        <f t="shared" si="192"/>
        <v>2023</v>
      </c>
      <c r="AO678" t="str">
        <f t="shared" si="193"/>
        <v>&gt;3</v>
      </c>
      <c r="AP678" t="str">
        <f t="shared" si="194"/>
        <v>&gt;3</v>
      </c>
      <c r="AQ678" t="str">
        <f t="shared" si="195"/>
        <v>&gt;3</v>
      </c>
    </row>
    <row r="679" spans="1:43" x14ac:dyDescent="0.3">
      <c r="A679" t="s">
        <v>95</v>
      </c>
      <c r="B679" t="s">
        <v>589</v>
      </c>
      <c r="C679" t="s">
        <v>226</v>
      </c>
      <c r="D679">
        <v>4297</v>
      </c>
      <c r="E679">
        <v>23320044</v>
      </c>
      <c r="F679" t="s">
        <v>571</v>
      </c>
      <c r="G679" t="s">
        <v>360</v>
      </c>
      <c r="H679">
        <v>51.36</v>
      </c>
      <c r="I679">
        <v>51325</v>
      </c>
      <c r="J679">
        <v>2636052</v>
      </c>
      <c r="K679" s="7" t="str">
        <f>IFERROR(IF(B679&lt;&gt;"", TEXT(VLOOKUP(B679, 'Expected Date'!A:B, 2, FALSE) + DATE(RIGHT(C679,2),MID(C679,4,2),LEFT(C679,2)), "dd/mm/yy"), ""), "")</f>
        <v>21/09/23</v>
      </c>
      <c r="L679" t="s">
        <v>38</v>
      </c>
      <c r="M679" t="str">
        <f>M642</f>
        <v>MT</v>
      </c>
      <c r="N679" t="s">
        <v>590</v>
      </c>
      <c r="O679" t="s">
        <v>482</v>
      </c>
      <c r="P679">
        <v>23390549</v>
      </c>
      <c r="Q679" t="s">
        <v>571</v>
      </c>
      <c r="R679" t="s">
        <v>360</v>
      </c>
      <c r="S679">
        <v>51.36</v>
      </c>
      <c r="T679">
        <v>51325</v>
      </c>
      <c r="U679">
        <v>2636052</v>
      </c>
      <c r="V679" t="str">
        <f t="shared" si="179"/>
        <v>Jhagadia</v>
      </c>
      <c r="W679" t="str">
        <f>VLOOKUP(B679, Currency!A:B, 2, FALSE)</f>
        <v>USD</v>
      </c>
      <c r="X679" t="str">
        <f t="shared" si="179"/>
        <v>Accepted</v>
      </c>
      <c r="Y679">
        <f>IFERROR(VLOOKUP(N679, Payment_Terms!A:B, 2, FALSE), "Payment term not found!")</f>
        <v>0</v>
      </c>
      <c r="Z679" t="str">
        <f>IFERROR(VLOOKUP(R679, Item_Category!A:B, 2, FALSE), "Uncategorized")</f>
        <v>Wood pulp</v>
      </c>
      <c r="AA679" s="5">
        <f t="shared" si="183"/>
        <v>0</v>
      </c>
      <c r="AB679">
        <f t="shared" si="184"/>
        <v>5</v>
      </c>
      <c r="AC679" s="10">
        <f t="shared" si="185"/>
        <v>-14</v>
      </c>
      <c r="AD679">
        <f t="shared" si="186"/>
        <v>5</v>
      </c>
      <c r="AE679" s="10">
        <f t="shared" si="187"/>
        <v>4</v>
      </c>
      <c r="AF679" s="5">
        <f t="shared" si="180"/>
        <v>1</v>
      </c>
      <c r="AG679" s="5">
        <f t="shared" si="181"/>
        <v>1</v>
      </c>
      <c r="AH679" s="5">
        <f t="shared" si="188"/>
        <v>0</v>
      </c>
      <c r="AI679">
        <f>IF(B679&lt;&gt;"", COUNTIFS($B$2:B679, B679), "")</f>
        <v>1</v>
      </c>
      <c r="AJ679">
        <f t="shared" si="189"/>
        <v>5</v>
      </c>
      <c r="AK679">
        <f t="shared" si="182"/>
        <v>5</v>
      </c>
      <c r="AL679">
        <f t="shared" si="190"/>
        <v>9</v>
      </c>
      <c r="AM679" t="str">
        <f t="shared" si="191"/>
        <v>September</v>
      </c>
      <c r="AN679">
        <f t="shared" si="192"/>
        <v>2023</v>
      </c>
      <c r="AO679" t="str">
        <f t="shared" si="193"/>
        <v>&gt;3</v>
      </c>
      <c r="AP679" t="str">
        <f t="shared" si="194"/>
        <v>&gt;3</v>
      </c>
      <c r="AQ679" t="str">
        <f t="shared" si="195"/>
        <v>&gt;3</v>
      </c>
    </row>
    <row r="680" spans="1:43" x14ac:dyDescent="0.3">
      <c r="A680" t="s">
        <v>111</v>
      </c>
      <c r="B680" t="s">
        <v>296</v>
      </c>
      <c r="C680" t="s">
        <v>103</v>
      </c>
      <c r="D680">
        <v>4213</v>
      </c>
      <c r="E680">
        <v>23320043</v>
      </c>
      <c r="F680" t="s">
        <v>591</v>
      </c>
      <c r="G680" t="s">
        <v>311</v>
      </c>
      <c r="H680">
        <v>1000</v>
      </c>
      <c r="I680">
        <v>413</v>
      </c>
      <c r="J680">
        <v>413000</v>
      </c>
      <c r="K680" s="7" t="str">
        <f>IFERROR(IF(B680&lt;&gt;"", TEXT(VLOOKUP(B680, 'Expected Date'!A:B, 2, FALSE) + DATE(RIGHT(C680,2),MID(C680,4,2),LEFT(C680,2)), "dd/mm/yy"), ""), "")</f>
        <v>21/09/23</v>
      </c>
      <c r="L680" t="s">
        <v>38</v>
      </c>
      <c r="M680" t="s">
        <v>48</v>
      </c>
      <c r="N680" t="s">
        <v>470</v>
      </c>
      <c r="O680" t="s">
        <v>323</v>
      </c>
      <c r="P680">
        <v>23390566</v>
      </c>
      <c r="Q680" t="s">
        <v>591</v>
      </c>
      <c r="R680" t="s">
        <v>311</v>
      </c>
      <c r="S680">
        <v>1000</v>
      </c>
      <c r="T680">
        <v>413</v>
      </c>
      <c r="U680">
        <v>413000</v>
      </c>
      <c r="V680" t="str">
        <f t="shared" si="179"/>
        <v>Jhagadia</v>
      </c>
      <c r="W680" t="str">
        <f>VLOOKUP(B680, Currency!A:B, 2, FALSE)</f>
        <v>INR</v>
      </c>
      <c r="X680" t="str">
        <f t="shared" si="179"/>
        <v>Accepted</v>
      </c>
      <c r="Y680">
        <f>IFERROR(VLOOKUP(N680, Payment_Terms!A:B, 2, FALSE), "Payment term not found!")</f>
        <v>30</v>
      </c>
      <c r="Z680" t="str">
        <f>IFERROR(VLOOKUP(R680, Item_Category!A:B, 2, FALSE), "Uncategorized")</f>
        <v>CROSSCARMELLOSE SODIUM</v>
      </c>
      <c r="AA680" s="5">
        <f t="shared" si="183"/>
        <v>0</v>
      </c>
      <c r="AB680">
        <f t="shared" si="184"/>
        <v>5</v>
      </c>
      <c r="AC680" s="10">
        <f t="shared" si="185"/>
        <v>-6</v>
      </c>
      <c r="AD680">
        <f t="shared" si="186"/>
        <v>5</v>
      </c>
      <c r="AE680" s="10">
        <f t="shared" si="187"/>
        <v>9</v>
      </c>
      <c r="AF680" s="5">
        <f t="shared" si="180"/>
        <v>1</v>
      </c>
      <c r="AG680" s="5">
        <f t="shared" si="181"/>
        <v>1</v>
      </c>
      <c r="AH680" s="5">
        <f t="shared" si="188"/>
        <v>0</v>
      </c>
      <c r="AI680">
        <f>IF(B680&lt;&gt;"", COUNTIFS($B$2:B680, B680), "")</f>
        <v>15</v>
      </c>
      <c r="AJ680">
        <f t="shared" si="189"/>
        <v>5</v>
      </c>
      <c r="AK680">
        <f t="shared" si="182"/>
        <v>5</v>
      </c>
      <c r="AL680">
        <f t="shared" si="190"/>
        <v>9</v>
      </c>
      <c r="AM680" t="str">
        <f t="shared" si="191"/>
        <v>September</v>
      </c>
      <c r="AN680">
        <f t="shared" si="192"/>
        <v>2023</v>
      </c>
      <c r="AO680" t="str">
        <f t="shared" si="193"/>
        <v>&gt;3</v>
      </c>
      <c r="AP680" t="str">
        <f t="shared" si="194"/>
        <v>&gt;3</v>
      </c>
      <c r="AQ680" t="str">
        <f t="shared" si="195"/>
        <v>&gt;3</v>
      </c>
    </row>
    <row r="681" spans="1:43" x14ac:dyDescent="0.3">
      <c r="A681" t="s">
        <v>33</v>
      </c>
      <c r="B681" t="s">
        <v>557</v>
      </c>
      <c r="C681" t="s">
        <v>354</v>
      </c>
      <c r="D681">
        <v>2796</v>
      </c>
      <c r="E681">
        <v>23310215</v>
      </c>
      <c r="F681" t="s">
        <v>558</v>
      </c>
      <c r="G681" t="s">
        <v>384</v>
      </c>
      <c r="H681">
        <v>400</v>
      </c>
      <c r="I681">
        <v>99</v>
      </c>
      <c r="J681">
        <v>39600</v>
      </c>
      <c r="K681" s="7" t="str">
        <f>IFERROR(IF(B681&lt;&gt;"", TEXT(VLOOKUP(B681, 'Expected Date'!A:B, 2, FALSE) + DATE(RIGHT(C681,2),MID(C681,4,2),LEFT(C681,2)), "dd/mm/yy"), ""), "")</f>
        <v>13/07/23</v>
      </c>
      <c r="L681" t="s">
        <v>68</v>
      </c>
      <c r="M681" t="s">
        <v>48</v>
      </c>
      <c r="N681" t="s">
        <v>364</v>
      </c>
      <c r="O681" t="s">
        <v>198</v>
      </c>
      <c r="P681">
        <v>23390370</v>
      </c>
      <c r="Q681" t="s">
        <v>558</v>
      </c>
      <c r="R681" t="s">
        <v>384</v>
      </c>
      <c r="S681">
        <v>100</v>
      </c>
      <c r="T681">
        <v>99</v>
      </c>
      <c r="U681">
        <v>9900</v>
      </c>
      <c r="V681" t="str">
        <f t="shared" si="179"/>
        <v>Jhagadia</v>
      </c>
      <c r="W681" t="str">
        <f>VLOOKUP(B681, Currency!A:B, 2, FALSE)</f>
        <v>INR</v>
      </c>
      <c r="X681" t="str">
        <f t="shared" si="179"/>
        <v>Accepted</v>
      </c>
      <c r="Y681">
        <f>IFERROR(VLOOKUP(N681, Payment_Terms!A:B, 2, FALSE), "Payment term not found!")</f>
        <v>30</v>
      </c>
      <c r="Z681" t="str">
        <f>IFERROR(VLOOKUP(R681, Item_Category!A:B, 2, FALSE), "Uncategorized")</f>
        <v>Gas</v>
      </c>
      <c r="AA681" s="5">
        <f t="shared" si="183"/>
        <v>0.25</v>
      </c>
      <c r="AB681">
        <f t="shared" si="184"/>
        <v>1</v>
      </c>
      <c r="AC681" s="10">
        <f t="shared" si="185"/>
        <v>18</v>
      </c>
      <c r="AD681">
        <f t="shared" si="186"/>
        <v>1</v>
      </c>
      <c r="AE681" s="10">
        <f t="shared" si="187"/>
        <v>28</v>
      </c>
      <c r="AF681" s="5">
        <f t="shared" si="180"/>
        <v>1</v>
      </c>
      <c r="AG681" s="5">
        <f t="shared" si="181"/>
        <v>1</v>
      </c>
      <c r="AH681" s="5">
        <f t="shared" si="188"/>
        <v>0</v>
      </c>
      <c r="AI681">
        <f>IF(B681&lt;&gt;"", COUNTIFS($B$2:B681, B681), "")</f>
        <v>5</v>
      </c>
      <c r="AJ681">
        <f t="shared" si="189"/>
        <v>5</v>
      </c>
      <c r="AK681">
        <f t="shared" si="182"/>
        <v>3</v>
      </c>
      <c r="AL681">
        <f t="shared" si="190"/>
        <v>7</v>
      </c>
      <c r="AM681" t="str">
        <f t="shared" si="191"/>
        <v>July</v>
      </c>
      <c r="AN681">
        <f t="shared" si="192"/>
        <v>2023</v>
      </c>
      <c r="AO681" t="str">
        <f t="shared" si="193"/>
        <v>&gt;3</v>
      </c>
      <c r="AP681" t="str">
        <f t="shared" si="194"/>
        <v>&lt;=3</v>
      </c>
      <c r="AQ681" t="str">
        <f t="shared" si="195"/>
        <v>&lt;=3</v>
      </c>
    </row>
    <row r="682" spans="1:43" x14ac:dyDescent="0.3">
      <c r="A682" t="s">
        <v>111</v>
      </c>
      <c r="B682" t="s">
        <v>296</v>
      </c>
      <c r="C682" t="s">
        <v>84</v>
      </c>
      <c r="D682">
        <v>1453</v>
      </c>
      <c r="E682">
        <v>23310029</v>
      </c>
      <c r="F682" t="s">
        <v>587</v>
      </c>
      <c r="G682" t="s">
        <v>588</v>
      </c>
      <c r="H682">
        <v>1000</v>
      </c>
      <c r="I682">
        <v>205</v>
      </c>
      <c r="J682">
        <v>205000</v>
      </c>
      <c r="K682" s="7" t="str">
        <f>IFERROR(IF(B682&lt;&gt;"", TEXT(VLOOKUP(B682, 'Expected Date'!A:B, 2, FALSE) + DATE(RIGHT(C682,2),MID(C682,4,2),LEFT(C682,2)), "dd/mm/yy"), ""), "")</f>
        <v>06/05/23</v>
      </c>
      <c r="L682" t="s">
        <v>38</v>
      </c>
      <c r="M682" t="s">
        <v>48</v>
      </c>
      <c r="N682" t="s">
        <v>381</v>
      </c>
      <c r="O682" t="s">
        <v>84</v>
      </c>
      <c r="P682">
        <v>23390056</v>
      </c>
      <c r="Q682" t="s">
        <v>587</v>
      </c>
      <c r="R682" t="s">
        <v>588</v>
      </c>
      <c r="S682">
        <v>1000</v>
      </c>
      <c r="T682">
        <v>205</v>
      </c>
      <c r="U682">
        <v>205000</v>
      </c>
      <c r="V682" t="str">
        <f t="shared" si="179"/>
        <v>Jhagadia</v>
      </c>
      <c r="W682" t="str">
        <f>VLOOKUP(B682, Currency!A:B, 2, FALSE)</f>
        <v>INR</v>
      </c>
      <c r="X682" t="str">
        <f t="shared" si="179"/>
        <v>Accepted</v>
      </c>
      <c r="Y682">
        <f>IFERROR(VLOOKUP(N682, Payment_Terms!A:B, 2, FALSE), "Payment term not found!")</f>
        <v>30</v>
      </c>
      <c r="Z682" t="str">
        <f>IFERROR(VLOOKUP(R682, Item_Category!A:B, 2, FALSE), "Uncategorized")</f>
        <v>SSG - Potato</v>
      </c>
      <c r="AA682" s="5">
        <f t="shared" si="183"/>
        <v>0</v>
      </c>
      <c r="AB682">
        <f t="shared" si="184"/>
        <v>5</v>
      </c>
      <c r="AC682" s="10">
        <f t="shared" si="185"/>
        <v>-15</v>
      </c>
      <c r="AD682">
        <f t="shared" si="186"/>
        <v>5</v>
      </c>
      <c r="AE682" s="10">
        <f t="shared" si="187"/>
        <v>0</v>
      </c>
      <c r="AF682" s="5">
        <f t="shared" si="180"/>
        <v>1</v>
      </c>
      <c r="AG682" s="5">
        <f t="shared" si="181"/>
        <v>1</v>
      </c>
      <c r="AH682" s="5">
        <f t="shared" si="188"/>
        <v>0</v>
      </c>
      <c r="AI682">
        <f>IF(B682&lt;&gt;"", COUNTIFS($B$2:B682, B682), "")</f>
        <v>16</v>
      </c>
      <c r="AJ682">
        <f t="shared" si="189"/>
        <v>5</v>
      </c>
      <c r="AK682">
        <f t="shared" si="182"/>
        <v>5</v>
      </c>
      <c r="AL682">
        <f t="shared" si="190"/>
        <v>4</v>
      </c>
      <c r="AM682" t="str">
        <f t="shared" si="191"/>
        <v>April</v>
      </c>
      <c r="AN682">
        <f t="shared" si="192"/>
        <v>2023</v>
      </c>
      <c r="AO682" t="str">
        <f t="shared" si="193"/>
        <v>&gt;3</v>
      </c>
      <c r="AP682" t="str">
        <f t="shared" si="194"/>
        <v>&gt;3</v>
      </c>
      <c r="AQ682" t="str">
        <f t="shared" si="195"/>
        <v>&gt;3</v>
      </c>
    </row>
    <row r="683" spans="1:43" x14ac:dyDescent="0.3">
      <c r="A683" t="s">
        <v>33</v>
      </c>
      <c r="B683" t="s">
        <v>395</v>
      </c>
      <c r="C683" t="s">
        <v>352</v>
      </c>
      <c r="D683">
        <v>2380</v>
      </c>
      <c r="E683">
        <v>23310163</v>
      </c>
      <c r="F683" t="s">
        <v>569</v>
      </c>
      <c r="G683" t="s">
        <v>570</v>
      </c>
      <c r="H683">
        <v>100</v>
      </c>
      <c r="I683">
        <v>11523.81</v>
      </c>
      <c r="J683">
        <v>1152381</v>
      </c>
      <c r="K683" s="7" t="str">
        <f>IFERROR(IF(B683&lt;&gt;"", TEXT(VLOOKUP(B683, 'Expected Date'!A:B, 2, FALSE) + DATE(RIGHT(C683,2),MID(C683,4,2),LEFT(C683,2)), "dd/mm/yy"), ""), "")</f>
        <v>07/06/23</v>
      </c>
      <c r="L683" t="s">
        <v>68</v>
      </c>
      <c r="M683" t="s">
        <v>48</v>
      </c>
      <c r="N683" t="s">
        <v>342</v>
      </c>
      <c r="O683" t="s">
        <v>134</v>
      </c>
      <c r="P683">
        <v>23390230</v>
      </c>
      <c r="Q683" t="s">
        <v>569</v>
      </c>
      <c r="R683" t="s">
        <v>570</v>
      </c>
      <c r="S683">
        <v>22.5</v>
      </c>
      <c r="T683">
        <v>11523.81</v>
      </c>
      <c r="U683">
        <v>259285.73</v>
      </c>
      <c r="V683" t="str">
        <f t="shared" si="179"/>
        <v>Jhagadia</v>
      </c>
      <c r="W683" t="str">
        <f>VLOOKUP(B683, Currency!A:B, 2, FALSE)</f>
        <v>INR</v>
      </c>
      <c r="X683" t="str">
        <f t="shared" si="179"/>
        <v>Accepted</v>
      </c>
      <c r="Y683">
        <f>IFERROR(VLOOKUP(N683, Payment_Terms!A:B, 2, FALSE), "Payment term not found!")</f>
        <v>30</v>
      </c>
      <c r="Z683" t="str">
        <f>IFERROR(VLOOKUP(R683, Item_Category!A:B, 2, FALSE), "Uncategorized")</f>
        <v>Coal materials</v>
      </c>
      <c r="AA683" s="5">
        <f t="shared" si="183"/>
        <v>0.23749999999999999</v>
      </c>
      <c r="AB683">
        <f t="shared" si="184"/>
        <v>1</v>
      </c>
      <c r="AC683" s="10">
        <f t="shared" si="185"/>
        <v>1</v>
      </c>
      <c r="AD683">
        <f t="shared" si="186"/>
        <v>5</v>
      </c>
      <c r="AE683" s="10">
        <f t="shared" si="187"/>
        <v>6</v>
      </c>
      <c r="AF683" s="5">
        <f t="shared" si="180"/>
        <v>1</v>
      </c>
      <c r="AG683" s="5">
        <f t="shared" si="181"/>
        <v>1</v>
      </c>
      <c r="AH683" s="5">
        <f t="shared" si="188"/>
        <v>0</v>
      </c>
      <c r="AI683">
        <f>IF(B683&lt;&gt;"", COUNTIFS($B$2:B683, B683), "")</f>
        <v>30</v>
      </c>
      <c r="AJ683">
        <f t="shared" si="189"/>
        <v>5</v>
      </c>
      <c r="AK683">
        <f t="shared" si="182"/>
        <v>4</v>
      </c>
      <c r="AL683">
        <f t="shared" si="190"/>
        <v>6</v>
      </c>
      <c r="AM683" t="str">
        <f t="shared" si="191"/>
        <v>June</v>
      </c>
      <c r="AN683">
        <f t="shared" si="192"/>
        <v>2023</v>
      </c>
      <c r="AO683" t="str">
        <f t="shared" si="193"/>
        <v>&gt;3</v>
      </c>
      <c r="AP683" t="str">
        <f t="shared" si="194"/>
        <v>&lt;=3</v>
      </c>
      <c r="AQ683" t="str">
        <f t="shared" si="195"/>
        <v>&gt;3</v>
      </c>
    </row>
    <row r="684" spans="1:43" x14ac:dyDescent="0.3">
      <c r="A684" t="str">
        <f>A671</f>
        <v>Woodpulp</v>
      </c>
      <c r="B684" t="s">
        <v>96</v>
      </c>
      <c r="C684" t="s">
        <v>97</v>
      </c>
      <c r="D684">
        <v>1226</v>
      </c>
      <c r="E684">
        <v>23320001</v>
      </c>
      <c r="F684" t="s">
        <v>585</v>
      </c>
      <c r="G684" t="s">
        <v>99</v>
      </c>
      <c r="H684">
        <v>78</v>
      </c>
      <c r="I684">
        <v>820</v>
      </c>
      <c r="J684">
        <v>5187156</v>
      </c>
      <c r="K684" s="7" t="str">
        <f>IFERROR(IF(B684&lt;&gt;"", TEXT(VLOOKUP(B684, 'Expected Date'!A:B, 2, FALSE) + DATE(RIGHT(C684,2),MID(C684,4,2),LEFT(C684,2)), "dd/mm/yy"), ""), "")</f>
        <v>10/06/23</v>
      </c>
      <c r="L684" t="s">
        <v>38</v>
      </c>
      <c r="M684" t="str">
        <f>M642</f>
        <v>MT</v>
      </c>
      <c r="N684" t="s">
        <v>102</v>
      </c>
      <c r="O684" t="s">
        <v>91</v>
      </c>
      <c r="P684">
        <v>23390316</v>
      </c>
      <c r="Q684" t="s">
        <v>585</v>
      </c>
      <c r="R684" t="s">
        <v>99</v>
      </c>
      <c r="S684">
        <v>80.262</v>
      </c>
      <c r="T684">
        <v>820</v>
      </c>
      <c r="U684">
        <v>5367200.2</v>
      </c>
      <c r="V684" t="str">
        <f t="shared" si="179"/>
        <v>Jhagadia</v>
      </c>
      <c r="W684" t="str">
        <f>VLOOKUP(B684, Currency!A:B, 2, FALSE)</f>
        <v>USD</v>
      </c>
      <c r="X684" t="str">
        <f t="shared" si="179"/>
        <v>Accepted</v>
      </c>
      <c r="Y684">
        <f>IFERROR(VLOOKUP(N684, Payment_Terms!A:B, 2, FALSE), "Payment term not found!")</f>
        <v>60</v>
      </c>
      <c r="Z684" t="str">
        <f>IFERROR(VLOOKUP(R684, Item_Category!A:B, 2, FALSE), "Uncategorized")</f>
        <v>Wood pulp</v>
      </c>
      <c r="AA684" s="5">
        <f t="shared" si="183"/>
        <v>0</v>
      </c>
      <c r="AB684">
        <f t="shared" si="184"/>
        <v>5</v>
      </c>
      <c r="AC684" s="10">
        <f t="shared" si="185"/>
        <v>29</v>
      </c>
      <c r="AD684">
        <f t="shared" si="186"/>
        <v>1</v>
      </c>
      <c r="AE684" s="10">
        <f t="shared" si="187"/>
        <v>89</v>
      </c>
      <c r="AF684" s="5">
        <f t="shared" si="180"/>
        <v>1</v>
      </c>
      <c r="AG684" s="5">
        <f t="shared" si="181"/>
        <v>1</v>
      </c>
      <c r="AH684" s="5">
        <f t="shared" si="188"/>
        <v>0</v>
      </c>
      <c r="AI684">
        <f>IF(B684&lt;&gt;"", COUNTIFS($B$2:B684, B684), "")</f>
        <v>18</v>
      </c>
      <c r="AJ684">
        <f t="shared" si="189"/>
        <v>5</v>
      </c>
      <c r="AK684">
        <f t="shared" si="182"/>
        <v>4</v>
      </c>
      <c r="AL684">
        <f t="shared" si="190"/>
        <v>4</v>
      </c>
      <c r="AM684" t="str">
        <f t="shared" si="191"/>
        <v>April</v>
      </c>
      <c r="AN684">
        <f t="shared" si="192"/>
        <v>2023</v>
      </c>
      <c r="AO684" t="str">
        <f t="shared" si="193"/>
        <v>&gt;3</v>
      </c>
      <c r="AP684" t="str">
        <f t="shared" si="194"/>
        <v>&gt;3</v>
      </c>
      <c r="AQ684" t="str">
        <f t="shared" si="195"/>
        <v>&lt;=3</v>
      </c>
    </row>
    <row r="685" spans="1:43" x14ac:dyDescent="0.3">
      <c r="A685" t="s">
        <v>33</v>
      </c>
      <c r="B685" t="str">
        <f>B661</f>
        <v>Ami Enterprises</v>
      </c>
      <c r="C685" t="s">
        <v>423</v>
      </c>
      <c r="D685">
        <v>3419</v>
      </c>
      <c r="E685">
        <v>23310263</v>
      </c>
      <c r="F685" t="s">
        <v>572</v>
      </c>
      <c r="G685" t="s">
        <v>595</v>
      </c>
      <c r="H685">
        <v>2200</v>
      </c>
      <c r="I685">
        <v>34</v>
      </c>
      <c r="J685">
        <v>74800</v>
      </c>
      <c r="K685" s="7" t="str">
        <f>IFERROR(IF(B685&lt;&gt;"", TEXT(VLOOKUP(B685, 'Expected Date'!A:B, 2, FALSE) + DATE(RIGHT(C685,2),MID(C685,4,2),LEFT(C685,2)), "dd/mm/yy"), ""), "")</f>
        <v>01/08/23</v>
      </c>
      <c r="L685" t="s">
        <v>38</v>
      </c>
      <c r="M685" t="s">
        <v>39</v>
      </c>
      <c r="N685" t="s">
        <v>318</v>
      </c>
      <c r="O685" t="s">
        <v>227</v>
      </c>
      <c r="P685">
        <v>23390368</v>
      </c>
      <c r="Q685" t="s">
        <v>572</v>
      </c>
      <c r="R685" t="s">
        <v>595</v>
      </c>
      <c r="S685">
        <v>2200</v>
      </c>
      <c r="T685">
        <v>34</v>
      </c>
      <c r="U685">
        <v>74800</v>
      </c>
      <c r="V685" t="str">
        <f t="shared" si="179"/>
        <v>Jhagadia</v>
      </c>
      <c r="W685" t="str">
        <f>VLOOKUP(B685, Currency!A:B, 2, FALSE)</f>
        <v>INR</v>
      </c>
      <c r="X685" t="str">
        <f t="shared" si="179"/>
        <v>Accepted</v>
      </c>
      <c r="Y685">
        <f>IFERROR(VLOOKUP(N685, Payment_Terms!A:B, 2, FALSE), "Payment term not found!")</f>
        <v>30</v>
      </c>
      <c r="Z685" t="str">
        <f>IFERROR(VLOOKUP(R685, Item_Category!A:B, 2, FALSE), "Uncategorized")</f>
        <v>Bags</v>
      </c>
      <c r="AA685" s="5">
        <f t="shared" si="183"/>
        <v>0</v>
      </c>
      <c r="AB685">
        <f t="shared" si="184"/>
        <v>5</v>
      </c>
      <c r="AC685" s="10">
        <f t="shared" si="185"/>
        <v>-7</v>
      </c>
      <c r="AD685">
        <f t="shared" si="186"/>
        <v>5</v>
      </c>
      <c r="AE685" s="10">
        <f t="shared" si="187"/>
        <v>3</v>
      </c>
      <c r="AF685" s="5">
        <f t="shared" si="180"/>
        <v>1</v>
      </c>
      <c r="AG685" s="5">
        <f t="shared" si="181"/>
        <v>1</v>
      </c>
      <c r="AH685" s="5">
        <f t="shared" si="188"/>
        <v>0</v>
      </c>
      <c r="AI685">
        <f>IF(B685&lt;&gt;"", COUNTIFS($B$2:B685, B685), "")</f>
        <v>48</v>
      </c>
      <c r="AJ685">
        <f t="shared" si="189"/>
        <v>5</v>
      </c>
      <c r="AK685">
        <f t="shared" si="182"/>
        <v>5</v>
      </c>
      <c r="AL685">
        <f t="shared" si="190"/>
        <v>7</v>
      </c>
      <c r="AM685" t="str">
        <f t="shared" si="191"/>
        <v>July</v>
      </c>
      <c r="AN685">
        <f t="shared" si="192"/>
        <v>2023</v>
      </c>
      <c r="AO685" t="str">
        <f t="shared" si="193"/>
        <v>&gt;3</v>
      </c>
      <c r="AP685" t="str">
        <f t="shared" si="194"/>
        <v>&gt;3</v>
      </c>
      <c r="AQ685" t="str">
        <f t="shared" si="195"/>
        <v>&gt;3</v>
      </c>
    </row>
    <row r="686" spans="1:43" x14ac:dyDescent="0.3">
      <c r="A686" t="s">
        <v>33</v>
      </c>
      <c r="B686" t="s">
        <v>395</v>
      </c>
      <c r="C686" t="s">
        <v>352</v>
      </c>
      <c r="D686">
        <v>2380</v>
      </c>
      <c r="E686">
        <v>23310163</v>
      </c>
      <c r="F686" t="s">
        <v>569</v>
      </c>
      <c r="G686" t="s">
        <v>570</v>
      </c>
      <c r="H686">
        <v>100</v>
      </c>
      <c r="I686">
        <v>11523.81</v>
      </c>
      <c r="J686">
        <v>1152381</v>
      </c>
      <c r="K686" s="7" t="str">
        <f>IFERROR(IF(B686&lt;&gt;"", TEXT(VLOOKUP(B686, 'Expected Date'!A:B, 2, FALSE) + DATE(RIGHT(C686,2),MID(C686,4,2),LEFT(C686,2)), "dd/mm/yy"), ""), "")</f>
        <v>07/06/23</v>
      </c>
      <c r="L686" t="s">
        <v>68</v>
      </c>
      <c r="M686" t="s">
        <v>48</v>
      </c>
      <c r="N686" t="s">
        <v>342</v>
      </c>
      <c r="O686" t="s">
        <v>275</v>
      </c>
      <c r="P686">
        <v>23390235</v>
      </c>
      <c r="Q686" t="s">
        <v>569</v>
      </c>
      <c r="R686" t="s">
        <v>570</v>
      </c>
      <c r="S686">
        <v>22.88</v>
      </c>
      <c r="T686">
        <v>11523.81</v>
      </c>
      <c r="U686">
        <v>263664.77</v>
      </c>
      <c r="V686" t="str">
        <f t="shared" si="179"/>
        <v>Jhagadia</v>
      </c>
      <c r="W686" t="str">
        <f>VLOOKUP(B686, Currency!A:B, 2, FALSE)</f>
        <v>INR</v>
      </c>
      <c r="X686" t="str">
        <f t="shared" si="179"/>
        <v>Accepted</v>
      </c>
      <c r="Y686">
        <f>IFERROR(VLOOKUP(N686, Payment_Terms!A:B, 2, FALSE), "Payment term not found!")</f>
        <v>30</v>
      </c>
      <c r="Z686" t="str">
        <f>IFERROR(VLOOKUP(R686, Item_Category!A:B, 2, FALSE), "Uncategorized")</f>
        <v>Coal materials</v>
      </c>
      <c r="AA686" s="5">
        <f t="shared" si="183"/>
        <v>0.23749999999999999</v>
      </c>
      <c r="AB686">
        <f t="shared" si="184"/>
        <v>1</v>
      </c>
      <c r="AC686" s="10">
        <f t="shared" si="185"/>
        <v>5</v>
      </c>
      <c r="AD686">
        <f t="shared" si="186"/>
        <v>3</v>
      </c>
      <c r="AE686" s="10">
        <f t="shared" si="187"/>
        <v>10</v>
      </c>
      <c r="AF686" s="5">
        <f t="shared" si="180"/>
        <v>1</v>
      </c>
      <c r="AG686" s="5">
        <f t="shared" si="181"/>
        <v>1</v>
      </c>
      <c r="AH686" s="5">
        <f t="shared" si="188"/>
        <v>0</v>
      </c>
      <c r="AI686">
        <f>IF(B686&lt;&gt;"", COUNTIFS($B$2:B686, B686), "")</f>
        <v>31</v>
      </c>
      <c r="AJ686">
        <f t="shared" si="189"/>
        <v>5</v>
      </c>
      <c r="AK686">
        <f t="shared" si="182"/>
        <v>4</v>
      </c>
      <c r="AL686">
        <f t="shared" si="190"/>
        <v>6</v>
      </c>
      <c r="AM686" t="str">
        <f t="shared" si="191"/>
        <v>June</v>
      </c>
      <c r="AN686">
        <f t="shared" si="192"/>
        <v>2023</v>
      </c>
      <c r="AO686" t="str">
        <f t="shared" si="193"/>
        <v>&gt;3</v>
      </c>
      <c r="AP686" t="str">
        <f t="shared" si="194"/>
        <v>&lt;=3</v>
      </c>
      <c r="AQ686" t="str">
        <f t="shared" si="195"/>
        <v>&lt;=3</v>
      </c>
    </row>
    <row r="687" spans="1:43" x14ac:dyDescent="0.3">
      <c r="A687" t="s">
        <v>33</v>
      </c>
      <c r="B687" t="s">
        <v>557</v>
      </c>
      <c r="C687" t="s">
        <v>397</v>
      </c>
      <c r="D687">
        <v>1188</v>
      </c>
      <c r="E687">
        <v>23310010</v>
      </c>
      <c r="F687" t="s">
        <v>558</v>
      </c>
      <c r="G687" t="s">
        <v>384</v>
      </c>
      <c r="H687">
        <v>400</v>
      </c>
      <c r="I687">
        <v>99</v>
      </c>
      <c r="J687">
        <v>39600</v>
      </c>
      <c r="K687" s="7" t="str">
        <f>IFERROR(IF(B687&lt;&gt;"", TEXT(VLOOKUP(B687, 'Expected Date'!A:B, 2, FALSE) + DATE(RIGHT(C687,2),MID(C687,4,2),LEFT(C687,2)), "dd/mm/yy"), ""), "")</f>
        <v>15/04/23</v>
      </c>
      <c r="L687" t="s">
        <v>68</v>
      </c>
      <c r="M687" t="s">
        <v>48</v>
      </c>
      <c r="N687" t="s">
        <v>364</v>
      </c>
      <c r="O687" t="s">
        <v>168</v>
      </c>
      <c r="P687">
        <v>23390034</v>
      </c>
      <c r="Q687" t="s">
        <v>558</v>
      </c>
      <c r="R687" t="s">
        <v>384</v>
      </c>
      <c r="S687">
        <v>100</v>
      </c>
      <c r="T687">
        <v>99</v>
      </c>
      <c r="U687">
        <v>9900</v>
      </c>
      <c r="V687" t="str">
        <f t="shared" si="179"/>
        <v>Jhagadia</v>
      </c>
      <c r="W687" t="str">
        <f>VLOOKUP(B687, Currency!A:B, 2, FALSE)</f>
        <v>INR</v>
      </c>
      <c r="X687" t="str">
        <f t="shared" si="179"/>
        <v>Accepted</v>
      </c>
      <c r="Y687">
        <f>IFERROR(VLOOKUP(N687, Payment_Terms!A:B, 2, FALSE), "Payment term not found!")</f>
        <v>30</v>
      </c>
      <c r="Z687" t="str">
        <f>IFERROR(VLOOKUP(R687, Item_Category!A:B, 2, FALSE), "Uncategorized")</f>
        <v>Gas</v>
      </c>
      <c r="AA687" s="5">
        <f t="shared" si="183"/>
        <v>0.25</v>
      </c>
      <c r="AB687">
        <f t="shared" si="184"/>
        <v>1</v>
      </c>
      <c r="AC687" s="10">
        <f t="shared" si="185"/>
        <v>2</v>
      </c>
      <c r="AD687">
        <f t="shared" si="186"/>
        <v>5</v>
      </c>
      <c r="AE687" s="10">
        <f t="shared" si="187"/>
        <v>12</v>
      </c>
      <c r="AF687" s="5">
        <f t="shared" si="180"/>
        <v>1</v>
      </c>
      <c r="AG687" s="5">
        <f t="shared" si="181"/>
        <v>1</v>
      </c>
      <c r="AH687" s="5">
        <f t="shared" si="188"/>
        <v>0</v>
      </c>
      <c r="AI687">
        <f>IF(B687&lt;&gt;"", COUNTIFS($B$2:B687, B687), "")</f>
        <v>6</v>
      </c>
      <c r="AJ687">
        <f t="shared" si="189"/>
        <v>5</v>
      </c>
      <c r="AK687">
        <f t="shared" si="182"/>
        <v>4</v>
      </c>
      <c r="AL687">
        <f t="shared" si="190"/>
        <v>4</v>
      </c>
      <c r="AM687" t="str">
        <f t="shared" si="191"/>
        <v>April</v>
      </c>
      <c r="AN687">
        <f t="shared" si="192"/>
        <v>2023</v>
      </c>
      <c r="AO687" t="str">
        <f t="shared" si="193"/>
        <v>&gt;3</v>
      </c>
      <c r="AP687" t="str">
        <f t="shared" si="194"/>
        <v>&lt;=3</v>
      </c>
      <c r="AQ687" t="str">
        <f t="shared" si="195"/>
        <v>&gt;3</v>
      </c>
    </row>
    <row r="688" spans="1:43" x14ac:dyDescent="0.3">
      <c r="A688" t="s">
        <v>33</v>
      </c>
      <c r="B688" t="s">
        <v>157</v>
      </c>
      <c r="C688" t="s">
        <v>562</v>
      </c>
      <c r="D688">
        <v>1636</v>
      </c>
      <c r="E688">
        <v>23310058</v>
      </c>
      <c r="F688" t="s">
        <v>583</v>
      </c>
      <c r="G688" t="s">
        <v>159</v>
      </c>
      <c r="H688">
        <v>300</v>
      </c>
      <c r="I688">
        <v>270</v>
      </c>
      <c r="J688">
        <v>81000</v>
      </c>
      <c r="K688" s="7" t="str">
        <f>IFERROR(IF(B688&lt;&gt;"", TEXT(VLOOKUP(B688, 'Expected Date'!A:B, 2, FALSE) + DATE(RIGHT(C688,2),MID(C688,4,2),LEFT(C688,2)), "dd/mm/yy"), ""), "")</f>
        <v>10/05/23</v>
      </c>
      <c r="L688" t="s">
        <v>38</v>
      </c>
      <c r="M688" t="s">
        <v>48</v>
      </c>
      <c r="N688" t="s">
        <v>584</v>
      </c>
      <c r="O688" t="s">
        <v>209</v>
      </c>
      <c r="P688">
        <v>23390117</v>
      </c>
      <c r="Q688" t="s">
        <v>583</v>
      </c>
      <c r="R688" t="s">
        <v>159</v>
      </c>
      <c r="S688">
        <v>300</v>
      </c>
      <c r="T688">
        <v>270</v>
      </c>
      <c r="U688">
        <v>81000</v>
      </c>
      <c r="V688" t="str">
        <f t="shared" si="179"/>
        <v>Jhagadia</v>
      </c>
      <c r="W688" t="str">
        <f>VLOOKUP(B688, Currency!A:B, 2, FALSE)</f>
        <v>INR</v>
      </c>
      <c r="X688" t="str">
        <f t="shared" si="179"/>
        <v>Accepted</v>
      </c>
      <c r="Y688">
        <f>IFERROR(VLOOKUP(N688, Payment_Terms!A:B, 2, FALSE), "Payment term not found!")</f>
        <v>0</v>
      </c>
      <c r="Z688" t="str">
        <f>IFERROR(VLOOKUP(R688, Item_Category!A:B, 2, FALSE), "Uncategorized")</f>
        <v>Sodium salts</v>
      </c>
      <c r="AA688" s="5">
        <f t="shared" si="183"/>
        <v>0</v>
      </c>
      <c r="AB688">
        <f t="shared" si="184"/>
        <v>5</v>
      </c>
      <c r="AC688" s="10">
        <f t="shared" si="185"/>
        <v>-5</v>
      </c>
      <c r="AD688">
        <f t="shared" si="186"/>
        <v>5</v>
      </c>
      <c r="AE688" s="10">
        <f t="shared" si="187"/>
        <v>5</v>
      </c>
      <c r="AF688" s="5">
        <f t="shared" si="180"/>
        <v>1</v>
      </c>
      <c r="AG688" s="5">
        <f t="shared" si="181"/>
        <v>1</v>
      </c>
      <c r="AH688" s="5">
        <f t="shared" si="188"/>
        <v>0</v>
      </c>
      <c r="AI688">
        <f>IF(B688&lt;&gt;"", COUNTIFS($B$2:B688, B688), "")</f>
        <v>9</v>
      </c>
      <c r="AJ688">
        <f t="shared" si="189"/>
        <v>5</v>
      </c>
      <c r="AK688">
        <f t="shared" si="182"/>
        <v>5</v>
      </c>
      <c r="AL688">
        <f t="shared" si="190"/>
        <v>4</v>
      </c>
      <c r="AM688" t="str">
        <f t="shared" si="191"/>
        <v>April</v>
      </c>
      <c r="AN688">
        <f t="shared" si="192"/>
        <v>2023</v>
      </c>
      <c r="AO688" t="str">
        <f t="shared" si="193"/>
        <v>&gt;3</v>
      </c>
      <c r="AP688" t="str">
        <f t="shared" si="194"/>
        <v>&gt;3</v>
      </c>
      <c r="AQ688" t="str">
        <f t="shared" si="195"/>
        <v>&gt;3</v>
      </c>
    </row>
    <row r="689" spans="1:43" x14ac:dyDescent="0.3">
      <c r="A689" t="s">
        <v>33</v>
      </c>
      <c r="B689" t="s">
        <v>557</v>
      </c>
      <c r="C689" t="s">
        <v>397</v>
      </c>
      <c r="D689">
        <v>1188</v>
      </c>
      <c r="E689">
        <v>23310010</v>
      </c>
      <c r="F689" t="s">
        <v>558</v>
      </c>
      <c r="G689" t="s">
        <v>384</v>
      </c>
      <c r="H689">
        <v>400</v>
      </c>
      <c r="I689">
        <v>99</v>
      </c>
      <c r="J689">
        <v>39600</v>
      </c>
      <c r="K689" s="7" t="str">
        <f>IFERROR(IF(B689&lt;&gt;"", TEXT(VLOOKUP(B689, 'Expected Date'!A:B, 2, FALSE) + DATE(RIGHT(C689,2),MID(C689,4,2),LEFT(C689,2)), "dd/mm/yy"), ""), "")</f>
        <v>15/04/23</v>
      </c>
      <c r="L689" t="s">
        <v>68</v>
      </c>
      <c r="M689" t="s">
        <v>48</v>
      </c>
      <c r="N689" t="s">
        <v>364</v>
      </c>
      <c r="O689" t="s">
        <v>442</v>
      </c>
      <c r="P689">
        <v>23390062</v>
      </c>
      <c r="Q689" t="s">
        <v>558</v>
      </c>
      <c r="R689" t="s">
        <v>384</v>
      </c>
      <c r="S689">
        <v>100</v>
      </c>
      <c r="T689">
        <v>99</v>
      </c>
      <c r="U689">
        <v>9900</v>
      </c>
      <c r="V689" t="str">
        <f t="shared" si="179"/>
        <v>Jhagadia</v>
      </c>
      <c r="W689" t="str">
        <f>VLOOKUP(B689, Currency!A:B, 2, FALSE)</f>
        <v>INR</v>
      </c>
      <c r="X689" t="str">
        <f t="shared" si="179"/>
        <v>Accepted</v>
      </c>
      <c r="Y689">
        <f>IFERROR(VLOOKUP(N689, Payment_Terms!A:B, 2, FALSE), "Payment term not found!")</f>
        <v>30</v>
      </c>
      <c r="Z689" t="str">
        <f>IFERROR(VLOOKUP(R689, Item_Category!A:B, 2, FALSE), "Uncategorized")</f>
        <v>Gas</v>
      </c>
      <c r="AA689" s="5">
        <f t="shared" si="183"/>
        <v>0.25</v>
      </c>
      <c r="AB689">
        <f t="shared" si="184"/>
        <v>1</v>
      </c>
      <c r="AC689" s="10">
        <f t="shared" si="185"/>
        <v>10</v>
      </c>
      <c r="AD689">
        <f t="shared" si="186"/>
        <v>2</v>
      </c>
      <c r="AE689" s="10">
        <f t="shared" si="187"/>
        <v>20</v>
      </c>
      <c r="AF689" s="5">
        <f t="shared" si="180"/>
        <v>1</v>
      </c>
      <c r="AG689" s="5">
        <f t="shared" si="181"/>
        <v>1</v>
      </c>
      <c r="AH689" s="5">
        <f t="shared" si="188"/>
        <v>0</v>
      </c>
      <c r="AI689">
        <f>IF(B689&lt;&gt;"", COUNTIFS($B$2:B689, B689), "")</f>
        <v>7</v>
      </c>
      <c r="AJ689">
        <f t="shared" si="189"/>
        <v>5</v>
      </c>
      <c r="AK689">
        <f t="shared" si="182"/>
        <v>3</v>
      </c>
      <c r="AL689">
        <f t="shared" si="190"/>
        <v>4</v>
      </c>
      <c r="AM689" t="str">
        <f t="shared" si="191"/>
        <v>April</v>
      </c>
      <c r="AN689">
        <f t="shared" si="192"/>
        <v>2023</v>
      </c>
      <c r="AO689" t="str">
        <f t="shared" si="193"/>
        <v>&gt;3</v>
      </c>
      <c r="AP689" t="str">
        <f t="shared" si="194"/>
        <v>&lt;=3</v>
      </c>
      <c r="AQ689" t="str">
        <f t="shared" si="195"/>
        <v>&lt;=3</v>
      </c>
    </row>
    <row r="690" spans="1:43" x14ac:dyDescent="0.3">
      <c r="A690" t="s">
        <v>33</v>
      </c>
      <c r="B690" t="s">
        <v>385</v>
      </c>
      <c r="C690" t="s">
        <v>70</v>
      </c>
      <c r="D690">
        <v>1525</v>
      </c>
      <c r="E690">
        <v>23310042</v>
      </c>
      <c r="F690" t="s">
        <v>552</v>
      </c>
      <c r="G690" t="s">
        <v>373</v>
      </c>
      <c r="H690">
        <v>50</v>
      </c>
      <c r="I690">
        <v>250</v>
      </c>
      <c r="J690">
        <v>12500</v>
      </c>
      <c r="K690" s="7" t="str">
        <f>IFERROR(IF(B690&lt;&gt;"", TEXT(VLOOKUP(B690, 'Expected Date'!A:B, 2, FALSE) + DATE(RIGHT(C690,2),MID(C690,4,2),LEFT(C690,2)), "dd/mm/yy"), ""), "")</f>
        <v>04/05/23</v>
      </c>
      <c r="L690" t="s">
        <v>68</v>
      </c>
      <c r="M690" t="s">
        <v>48</v>
      </c>
      <c r="N690" t="s">
        <v>342</v>
      </c>
      <c r="O690" t="s">
        <v>239</v>
      </c>
      <c r="P690">
        <v>23390184</v>
      </c>
      <c r="Q690" t="s">
        <v>552</v>
      </c>
      <c r="R690" t="s">
        <v>373</v>
      </c>
      <c r="S690">
        <v>11.15</v>
      </c>
      <c r="T690">
        <v>250</v>
      </c>
      <c r="U690">
        <v>2787.5</v>
      </c>
      <c r="V690" t="str">
        <f t="shared" ref="V690:V753" si="196">V689</f>
        <v>Jhagadia</v>
      </c>
      <c r="W690" t="str">
        <f>VLOOKUP(B690, Currency!A:B, 2, FALSE)</f>
        <v>INR</v>
      </c>
      <c r="X690" t="str">
        <f t="shared" ref="X690:X753" si="197">X689</f>
        <v>Accepted</v>
      </c>
      <c r="Y690">
        <f>IFERROR(VLOOKUP(N690, Payment_Terms!A:B, 2, FALSE), "Payment term not found!")</f>
        <v>30</v>
      </c>
      <c r="Z690" t="str">
        <f>IFERROR(VLOOKUP(R690, Item_Category!A:B, 2, FALSE), "Uncategorized")</f>
        <v>HCL</v>
      </c>
      <c r="AA690" s="5">
        <f t="shared" si="183"/>
        <v>0.32900000000000007</v>
      </c>
      <c r="AB690">
        <f t="shared" si="184"/>
        <v>1</v>
      </c>
      <c r="AC690" s="10">
        <f t="shared" si="185"/>
        <v>20</v>
      </c>
      <c r="AD690">
        <f t="shared" si="186"/>
        <v>1</v>
      </c>
      <c r="AE690" s="10">
        <f t="shared" si="187"/>
        <v>30</v>
      </c>
      <c r="AF690" s="5">
        <f t="shared" si="180"/>
        <v>1</v>
      </c>
      <c r="AG690" s="5">
        <f t="shared" si="181"/>
        <v>1</v>
      </c>
      <c r="AH690" s="5">
        <f t="shared" si="188"/>
        <v>0</v>
      </c>
      <c r="AI690">
        <f>IF(B690&lt;&gt;"", COUNTIFS($B$2:B690, B690), "")</f>
        <v>5</v>
      </c>
      <c r="AJ690">
        <f t="shared" si="189"/>
        <v>5</v>
      </c>
      <c r="AK690">
        <f t="shared" si="182"/>
        <v>3</v>
      </c>
      <c r="AL690">
        <f t="shared" si="190"/>
        <v>4</v>
      </c>
      <c r="AM690" t="str">
        <f t="shared" si="191"/>
        <v>April</v>
      </c>
      <c r="AN690">
        <f t="shared" si="192"/>
        <v>2023</v>
      </c>
      <c r="AO690" t="str">
        <f t="shared" si="193"/>
        <v>&gt;3</v>
      </c>
      <c r="AP690" t="str">
        <f t="shared" si="194"/>
        <v>&lt;=3</v>
      </c>
      <c r="AQ690" t="str">
        <f t="shared" si="195"/>
        <v>&lt;=3</v>
      </c>
    </row>
    <row r="691" spans="1:43" x14ac:dyDescent="0.3">
      <c r="A691" t="str">
        <f>A653</f>
        <v>Woodpulp</v>
      </c>
      <c r="B691" t="s">
        <v>580</v>
      </c>
      <c r="C691" t="s">
        <v>108</v>
      </c>
      <c r="D691">
        <v>1805</v>
      </c>
      <c r="E691">
        <v>23320011</v>
      </c>
      <c r="F691" t="s">
        <v>575</v>
      </c>
      <c r="G691" t="s">
        <v>291</v>
      </c>
      <c r="H691">
        <v>100</v>
      </c>
      <c r="I691">
        <v>57426</v>
      </c>
      <c r="J691">
        <v>5742600</v>
      </c>
      <c r="K691" s="7" t="str">
        <f>IFERROR(IF(B691&lt;&gt;"", TEXT(VLOOKUP(B691, 'Expected Date'!A:B, 2, FALSE) + DATE(RIGHT(C691,2),MID(C691,4,2),LEFT(C691,2)), "dd/mm/yy"), ""), "")</f>
        <v>09/06/23</v>
      </c>
      <c r="L691" t="s">
        <v>38</v>
      </c>
      <c r="M691" t="str">
        <f>M642</f>
        <v>MT</v>
      </c>
      <c r="N691" t="s">
        <v>292</v>
      </c>
      <c r="O691" t="s">
        <v>108</v>
      </c>
      <c r="P691">
        <v>23390151</v>
      </c>
      <c r="Q691" t="s">
        <v>575</v>
      </c>
      <c r="R691" t="s">
        <v>291</v>
      </c>
      <c r="S691">
        <v>24.238</v>
      </c>
      <c r="T691">
        <v>57430</v>
      </c>
      <c r="U691">
        <v>1391988.34</v>
      </c>
      <c r="V691" t="str">
        <f t="shared" si="196"/>
        <v>Jhagadia</v>
      </c>
      <c r="W691" t="str">
        <f>VLOOKUP(B691, Currency!A:B, 2, FALSE)</f>
        <v>INR</v>
      </c>
      <c r="X691" t="str">
        <f t="shared" si="197"/>
        <v>Accepted</v>
      </c>
      <c r="Y691">
        <f>IFERROR(VLOOKUP(N691, Payment_Terms!A:B, 2, FALSE), "Payment term not found!")</f>
        <v>0</v>
      </c>
      <c r="Z691" t="str">
        <f>IFERROR(VLOOKUP(R691, Item_Category!A:B, 2, FALSE), "Uncategorized")</f>
        <v>Wood pulp</v>
      </c>
      <c r="AA691" s="5">
        <f t="shared" si="183"/>
        <v>0</v>
      </c>
      <c r="AB691">
        <f t="shared" si="184"/>
        <v>5</v>
      </c>
      <c r="AC691" s="10">
        <f t="shared" si="185"/>
        <v>-30</v>
      </c>
      <c r="AD691">
        <f t="shared" si="186"/>
        <v>5</v>
      </c>
      <c r="AE691" s="10">
        <f t="shared" si="187"/>
        <v>0</v>
      </c>
      <c r="AF691" s="5">
        <f t="shared" si="180"/>
        <v>1</v>
      </c>
      <c r="AG691" s="5">
        <f t="shared" si="181"/>
        <v>1</v>
      </c>
      <c r="AH691" s="5">
        <f t="shared" si="188"/>
        <v>0</v>
      </c>
      <c r="AI691">
        <f>IF(B691&lt;&gt;"", COUNTIFS($B$2:B691, B691), "")</f>
        <v>3</v>
      </c>
      <c r="AJ691">
        <f t="shared" si="189"/>
        <v>5</v>
      </c>
      <c r="AK691">
        <f t="shared" si="182"/>
        <v>5</v>
      </c>
      <c r="AL691">
        <f t="shared" si="190"/>
        <v>5</v>
      </c>
      <c r="AM691" t="str">
        <f t="shared" si="191"/>
        <v>May</v>
      </c>
      <c r="AN691">
        <f t="shared" si="192"/>
        <v>2023</v>
      </c>
      <c r="AO691" t="str">
        <f t="shared" si="193"/>
        <v>&gt;3</v>
      </c>
      <c r="AP691" t="str">
        <f t="shared" si="194"/>
        <v>&gt;3</v>
      </c>
      <c r="AQ691" t="str">
        <f t="shared" si="195"/>
        <v>&gt;3</v>
      </c>
    </row>
    <row r="692" spans="1:43" x14ac:dyDescent="0.3">
      <c r="A692" t="s">
        <v>95</v>
      </c>
      <c r="B692" t="s">
        <v>140</v>
      </c>
      <c r="C692" t="s">
        <v>70</v>
      </c>
      <c r="D692">
        <v>1466</v>
      </c>
      <c r="E692">
        <v>23320009</v>
      </c>
      <c r="F692" t="s">
        <v>571</v>
      </c>
      <c r="G692" t="s">
        <v>360</v>
      </c>
      <c r="H692">
        <v>75</v>
      </c>
      <c r="I692">
        <v>830</v>
      </c>
      <c r="J692">
        <v>5067150</v>
      </c>
      <c r="K692" s="7" t="str">
        <f>IFERROR(IF(B692&lt;&gt;"", TEXT(VLOOKUP(B692, 'Expected Date'!A:B, 2, FALSE) + DATE(RIGHT(C692,2),MID(C692,4,2),LEFT(C692,2)), "dd/mm/yy"), ""), "")</f>
        <v>08/06/23</v>
      </c>
      <c r="L692" t="s">
        <v>68</v>
      </c>
      <c r="M692" t="str">
        <f>M642</f>
        <v>MT</v>
      </c>
      <c r="N692" t="s">
        <v>144</v>
      </c>
      <c r="O692" t="s">
        <v>84</v>
      </c>
      <c r="P692">
        <v>23390067</v>
      </c>
      <c r="Q692" t="s">
        <v>571</v>
      </c>
      <c r="R692" t="s">
        <v>360</v>
      </c>
      <c r="S692">
        <v>74.763999999999996</v>
      </c>
      <c r="T692">
        <v>830</v>
      </c>
      <c r="U692">
        <v>5051205.37</v>
      </c>
      <c r="V692" t="str">
        <f t="shared" si="196"/>
        <v>Jhagadia</v>
      </c>
      <c r="W692" t="str">
        <f>VLOOKUP(B692, Currency!A:B, 2, FALSE)</f>
        <v>USD</v>
      </c>
      <c r="X692" t="str">
        <f t="shared" si="197"/>
        <v>Accepted</v>
      </c>
      <c r="Y692">
        <f>IFERROR(VLOOKUP(N692, Payment_Terms!A:B, 2, FALSE), "Payment term not found!")</f>
        <v>30</v>
      </c>
      <c r="Z692" t="str">
        <f>IFERROR(VLOOKUP(R692, Item_Category!A:B, 2, FALSE), "Uncategorized")</f>
        <v>Wood pulp</v>
      </c>
      <c r="AA692" s="5">
        <f t="shared" si="183"/>
        <v>3.1466666666667229E-3</v>
      </c>
      <c r="AB692">
        <f t="shared" si="184"/>
        <v>4</v>
      </c>
      <c r="AC692" s="10">
        <f t="shared" si="185"/>
        <v>-48</v>
      </c>
      <c r="AD692">
        <f t="shared" si="186"/>
        <v>5</v>
      </c>
      <c r="AE692" s="10">
        <f t="shared" si="187"/>
        <v>3</v>
      </c>
      <c r="AF692" s="5">
        <f t="shared" si="180"/>
        <v>1</v>
      </c>
      <c r="AG692" s="5">
        <f t="shared" si="181"/>
        <v>1</v>
      </c>
      <c r="AH692" s="5">
        <f t="shared" si="188"/>
        <v>0</v>
      </c>
      <c r="AI692">
        <f>IF(B692&lt;&gt;"", COUNTIFS($B$2:B692, B692), "")</f>
        <v>33</v>
      </c>
      <c r="AJ692">
        <f t="shared" si="189"/>
        <v>5</v>
      </c>
      <c r="AK692">
        <f t="shared" si="182"/>
        <v>5</v>
      </c>
      <c r="AL692">
        <f t="shared" si="190"/>
        <v>4</v>
      </c>
      <c r="AM692" t="str">
        <f t="shared" si="191"/>
        <v>April</v>
      </c>
      <c r="AN692">
        <f t="shared" si="192"/>
        <v>2023</v>
      </c>
      <c r="AO692" t="str">
        <f t="shared" si="193"/>
        <v>&gt;3</v>
      </c>
      <c r="AP692" t="str">
        <f t="shared" si="194"/>
        <v>&gt;3</v>
      </c>
      <c r="AQ692" t="str">
        <f t="shared" si="195"/>
        <v>&gt;3</v>
      </c>
    </row>
    <row r="693" spans="1:43" x14ac:dyDescent="0.3">
      <c r="A693" t="s">
        <v>33</v>
      </c>
      <c r="B693" t="s">
        <v>557</v>
      </c>
      <c r="C693" t="s">
        <v>562</v>
      </c>
      <c r="D693">
        <v>1637</v>
      </c>
      <c r="E693">
        <v>23310059</v>
      </c>
      <c r="F693" t="s">
        <v>558</v>
      </c>
      <c r="G693" t="s">
        <v>384</v>
      </c>
      <c r="H693">
        <v>400</v>
      </c>
      <c r="I693">
        <v>99</v>
      </c>
      <c r="J693">
        <v>39600</v>
      </c>
      <c r="K693" s="7" t="str">
        <f>IFERROR(IF(B693&lt;&gt;"", TEXT(VLOOKUP(B693, 'Expected Date'!A:B, 2, FALSE) + DATE(RIGHT(C693,2),MID(C693,4,2),LEFT(C693,2)), "dd/mm/yy"), ""), "")</f>
        <v>10/05/23</v>
      </c>
      <c r="L693" t="s">
        <v>38</v>
      </c>
      <c r="M693" t="s">
        <v>48</v>
      </c>
      <c r="N693" t="s">
        <v>364</v>
      </c>
      <c r="O693" t="s">
        <v>223</v>
      </c>
      <c r="P693">
        <v>23390156</v>
      </c>
      <c r="Q693" t="s">
        <v>558</v>
      </c>
      <c r="R693" t="s">
        <v>384</v>
      </c>
      <c r="S693">
        <v>100</v>
      </c>
      <c r="T693">
        <v>99</v>
      </c>
      <c r="U693">
        <v>9900</v>
      </c>
      <c r="V693" t="str">
        <f t="shared" si="196"/>
        <v>Jhagadia</v>
      </c>
      <c r="W693" t="str">
        <f>VLOOKUP(B693, Currency!A:B, 2, FALSE)</f>
        <v>INR</v>
      </c>
      <c r="X693" t="str">
        <f t="shared" si="197"/>
        <v>Accepted</v>
      </c>
      <c r="Y693">
        <f>IFERROR(VLOOKUP(N693, Payment_Terms!A:B, 2, FALSE), "Payment term not found!")</f>
        <v>30</v>
      </c>
      <c r="Z693" t="str">
        <f>IFERROR(VLOOKUP(R693, Item_Category!A:B, 2, FALSE), "Uncategorized")</f>
        <v>Gas</v>
      </c>
      <c r="AA693" s="5">
        <f t="shared" si="183"/>
        <v>0</v>
      </c>
      <c r="AB693">
        <f t="shared" si="184"/>
        <v>5</v>
      </c>
      <c r="AC693" s="10">
        <f t="shared" si="185"/>
        <v>7</v>
      </c>
      <c r="AD693">
        <f t="shared" si="186"/>
        <v>3</v>
      </c>
      <c r="AE693" s="10">
        <f t="shared" si="187"/>
        <v>17</v>
      </c>
      <c r="AF693" s="5">
        <f t="shared" si="180"/>
        <v>1</v>
      </c>
      <c r="AG693" s="5">
        <f t="shared" si="181"/>
        <v>1</v>
      </c>
      <c r="AH693" s="5">
        <f t="shared" si="188"/>
        <v>0</v>
      </c>
      <c r="AI693">
        <f>IF(B693&lt;&gt;"", COUNTIFS($B$2:B693, B693), "")</f>
        <v>8</v>
      </c>
      <c r="AJ693">
        <f t="shared" si="189"/>
        <v>5</v>
      </c>
      <c r="AK693">
        <f t="shared" si="182"/>
        <v>5</v>
      </c>
      <c r="AL693">
        <f t="shared" si="190"/>
        <v>4</v>
      </c>
      <c r="AM693" t="str">
        <f t="shared" si="191"/>
        <v>April</v>
      </c>
      <c r="AN693">
        <f t="shared" si="192"/>
        <v>2023</v>
      </c>
      <c r="AO693" t="str">
        <f t="shared" si="193"/>
        <v>&gt;3</v>
      </c>
      <c r="AP693" t="str">
        <f t="shared" si="194"/>
        <v>&gt;3</v>
      </c>
      <c r="AQ693" t="str">
        <f t="shared" si="195"/>
        <v>&lt;=3</v>
      </c>
    </row>
    <row r="694" spans="1:43" x14ac:dyDescent="0.3">
      <c r="A694" t="s">
        <v>33</v>
      </c>
      <c r="B694" t="s">
        <v>513</v>
      </c>
      <c r="C694" t="s">
        <v>354</v>
      </c>
      <c r="D694">
        <v>2797</v>
      </c>
      <c r="E694">
        <v>23310216</v>
      </c>
      <c r="F694" t="s">
        <v>563</v>
      </c>
      <c r="G694" t="s">
        <v>515</v>
      </c>
      <c r="H694">
        <v>2500</v>
      </c>
      <c r="I694">
        <v>26</v>
      </c>
      <c r="J694">
        <v>65000</v>
      </c>
      <c r="K694" s="7" t="str">
        <f>IFERROR(IF(B694&lt;&gt;"", TEXT(VLOOKUP(B694, 'Expected Date'!A:B, 2, FALSE) + DATE(RIGHT(C694,2),MID(C694,4,2),LEFT(C694,2)), "dd/mm/yy"), ""), "")</f>
        <v>05/07/23</v>
      </c>
      <c r="L694" t="s">
        <v>38</v>
      </c>
      <c r="M694" t="s">
        <v>48</v>
      </c>
      <c r="N694" t="s">
        <v>342</v>
      </c>
      <c r="O694" t="s">
        <v>117</v>
      </c>
      <c r="P694">
        <v>23390298</v>
      </c>
      <c r="Q694" t="s">
        <v>563</v>
      </c>
      <c r="R694" t="s">
        <v>515</v>
      </c>
      <c r="S694">
        <v>1000</v>
      </c>
      <c r="T694">
        <v>26</v>
      </c>
      <c r="U694">
        <v>26000</v>
      </c>
      <c r="V694" t="str">
        <f t="shared" si="196"/>
        <v>Jhagadia</v>
      </c>
      <c r="W694" t="str">
        <f>VLOOKUP(B694, Currency!A:B, 2, FALSE)</f>
        <v>INR</v>
      </c>
      <c r="X694" t="str">
        <f t="shared" si="197"/>
        <v>Accepted</v>
      </c>
      <c r="Y694">
        <f>IFERROR(VLOOKUP(N694, Payment_Terms!A:B, 2, FALSE), "Payment term not found!")</f>
        <v>30</v>
      </c>
      <c r="Z694" t="str">
        <f>IFERROR(VLOOKUP(R694, Item_Category!A:B, 2, FALSE), "Uncategorized")</f>
        <v xml:space="preserve">Caustic Soda </v>
      </c>
      <c r="AA694" s="5">
        <f t="shared" si="183"/>
        <v>0</v>
      </c>
      <c r="AB694">
        <f t="shared" si="184"/>
        <v>5</v>
      </c>
      <c r="AC694" s="10">
        <f t="shared" si="185"/>
        <v>2</v>
      </c>
      <c r="AD694">
        <f t="shared" si="186"/>
        <v>5</v>
      </c>
      <c r="AE694" s="10">
        <f t="shared" si="187"/>
        <v>4</v>
      </c>
      <c r="AF694" s="5">
        <f t="shared" si="180"/>
        <v>1</v>
      </c>
      <c r="AG694" s="5">
        <f t="shared" si="181"/>
        <v>1</v>
      </c>
      <c r="AH694" s="5">
        <f t="shared" si="188"/>
        <v>0</v>
      </c>
      <c r="AI694">
        <f>IF(B694&lt;&gt;"", COUNTIFS($B$2:B694, B694), "")</f>
        <v>10</v>
      </c>
      <c r="AJ694">
        <f t="shared" si="189"/>
        <v>5</v>
      </c>
      <c r="AK694">
        <f t="shared" si="182"/>
        <v>5</v>
      </c>
      <c r="AL694">
        <f t="shared" si="190"/>
        <v>7</v>
      </c>
      <c r="AM694" t="str">
        <f t="shared" si="191"/>
        <v>July</v>
      </c>
      <c r="AN694">
        <f t="shared" si="192"/>
        <v>2023</v>
      </c>
      <c r="AO694" t="str">
        <f t="shared" si="193"/>
        <v>&gt;3</v>
      </c>
      <c r="AP694" t="str">
        <f t="shared" si="194"/>
        <v>&gt;3</v>
      </c>
      <c r="AQ694" t="str">
        <f t="shared" si="195"/>
        <v>&gt;3</v>
      </c>
    </row>
    <row r="695" spans="1:43" x14ac:dyDescent="0.3">
      <c r="A695" t="s">
        <v>33</v>
      </c>
      <c r="B695" t="s">
        <v>157</v>
      </c>
      <c r="C695" t="s">
        <v>57</v>
      </c>
      <c r="D695">
        <v>3522</v>
      </c>
      <c r="E695">
        <v>23310274</v>
      </c>
      <c r="F695" t="s">
        <v>583</v>
      </c>
      <c r="G695" t="s">
        <v>159</v>
      </c>
      <c r="H695">
        <v>400</v>
      </c>
      <c r="I695">
        <v>270</v>
      </c>
      <c r="J695">
        <v>108000</v>
      </c>
      <c r="K695" s="7" t="str">
        <f>IFERROR(IF(B695&lt;&gt;"", TEXT(VLOOKUP(B695, 'Expected Date'!A:B, 2, FALSE) + DATE(RIGHT(C695,2),MID(C695,4,2),LEFT(C695,2)), "dd/mm/yy"), ""), "")</f>
        <v>13/08/23</v>
      </c>
      <c r="L695" t="s">
        <v>38</v>
      </c>
      <c r="M695" t="s">
        <v>48</v>
      </c>
      <c r="N695" t="s">
        <v>584</v>
      </c>
      <c r="O695" t="s">
        <v>221</v>
      </c>
      <c r="P695">
        <v>23390461</v>
      </c>
      <c r="Q695" t="s">
        <v>583</v>
      </c>
      <c r="R695" t="s">
        <v>159</v>
      </c>
      <c r="S695">
        <v>400</v>
      </c>
      <c r="T695">
        <v>270</v>
      </c>
      <c r="U695">
        <v>108000</v>
      </c>
      <c r="V695" t="str">
        <f t="shared" si="196"/>
        <v>Jhagadia</v>
      </c>
      <c r="W695" t="str">
        <f>VLOOKUP(B695, Currency!A:B, 2, FALSE)</f>
        <v>INR</v>
      </c>
      <c r="X695" t="str">
        <f t="shared" si="197"/>
        <v>Accepted</v>
      </c>
      <c r="Y695">
        <f>IFERROR(VLOOKUP(N695, Payment_Terms!A:B, 2, FALSE), "Payment term not found!")</f>
        <v>0</v>
      </c>
      <c r="Z695" t="str">
        <f>IFERROR(VLOOKUP(R695, Item_Category!A:B, 2, FALSE), "Uncategorized")</f>
        <v>Sodium salts</v>
      </c>
      <c r="AA695" s="5">
        <f t="shared" si="183"/>
        <v>0</v>
      </c>
      <c r="AB695">
        <f t="shared" si="184"/>
        <v>5</v>
      </c>
      <c r="AC695" s="10">
        <f t="shared" si="185"/>
        <v>8</v>
      </c>
      <c r="AD695">
        <f t="shared" si="186"/>
        <v>2</v>
      </c>
      <c r="AE695" s="10">
        <f t="shared" si="187"/>
        <v>18</v>
      </c>
      <c r="AF695" s="5">
        <f t="shared" si="180"/>
        <v>1</v>
      </c>
      <c r="AG695" s="5">
        <f t="shared" si="181"/>
        <v>1</v>
      </c>
      <c r="AH695" s="5">
        <f t="shared" si="188"/>
        <v>0</v>
      </c>
      <c r="AI695">
        <f>IF(B695&lt;&gt;"", COUNTIFS($B$2:B695, B695), "")</f>
        <v>10</v>
      </c>
      <c r="AJ695">
        <f t="shared" si="189"/>
        <v>5</v>
      </c>
      <c r="AK695">
        <f t="shared" si="182"/>
        <v>5</v>
      </c>
      <c r="AL695">
        <f t="shared" si="190"/>
        <v>8</v>
      </c>
      <c r="AM695" t="str">
        <f t="shared" si="191"/>
        <v>August</v>
      </c>
      <c r="AN695">
        <f t="shared" si="192"/>
        <v>2023</v>
      </c>
      <c r="AO695" t="str">
        <f t="shared" si="193"/>
        <v>&gt;3</v>
      </c>
      <c r="AP695" t="str">
        <f t="shared" si="194"/>
        <v>&gt;3</v>
      </c>
      <c r="AQ695" t="str">
        <f t="shared" si="195"/>
        <v>&lt;=3</v>
      </c>
    </row>
    <row r="696" spans="1:43" x14ac:dyDescent="0.3">
      <c r="A696" t="s">
        <v>33</v>
      </c>
      <c r="B696" t="str">
        <f>B685</f>
        <v>Ami Enterprises</v>
      </c>
      <c r="C696" t="s">
        <v>394</v>
      </c>
      <c r="D696">
        <v>3946</v>
      </c>
      <c r="E696">
        <v>23310315</v>
      </c>
      <c r="F696" t="s">
        <v>572</v>
      </c>
      <c r="G696" t="s">
        <v>595</v>
      </c>
      <c r="H696">
        <v>2500</v>
      </c>
      <c r="I696">
        <v>33.5</v>
      </c>
      <c r="J696">
        <v>83750</v>
      </c>
      <c r="K696" s="7" t="str">
        <f>IFERROR(IF(B696&lt;&gt;"", TEXT(VLOOKUP(B696, 'Expected Date'!A:B, 2, FALSE) + DATE(RIGHT(C696,2),MID(C696,4,2),LEFT(C696,2)), "dd/mm/yy"), ""), "")</f>
        <v>27/08/23</v>
      </c>
      <c r="L696" t="s">
        <v>68</v>
      </c>
      <c r="M696" t="s">
        <v>39</v>
      </c>
      <c r="N696" t="s">
        <v>318</v>
      </c>
      <c r="O696" t="s">
        <v>501</v>
      </c>
      <c r="P696">
        <v>23390463</v>
      </c>
      <c r="Q696" t="s">
        <v>572</v>
      </c>
      <c r="R696" t="s">
        <v>595</v>
      </c>
      <c r="S696">
        <v>2001</v>
      </c>
      <c r="T696">
        <v>33.5</v>
      </c>
      <c r="U696">
        <v>67033.5</v>
      </c>
      <c r="V696" t="str">
        <f t="shared" si="196"/>
        <v>Jhagadia</v>
      </c>
      <c r="W696" t="str">
        <f>VLOOKUP(B696, Currency!A:B, 2, FALSE)</f>
        <v>INR</v>
      </c>
      <c r="X696" t="str">
        <f t="shared" si="197"/>
        <v>Accepted</v>
      </c>
      <c r="Y696">
        <f>IFERROR(VLOOKUP(N696, Payment_Terms!A:B, 2, FALSE), "Payment term not found!")</f>
        <v>30</v>
      </c>
      <c r="Z696" t="str">
        <f>IFERROR(VLOOKUP(R696, Item_Category!A:B, 2, FALSE), "Uncategorized")</f>
        <v>Bags</v>
      </c>
      <c r="AA696" s="5">
        <f t="shared" si="183"/>
        <v>0</v>
      </c>
      <c r="AB696">
        <f t="shared" si="184"/>
        <v>5</v>
      </c>
      <c r="AC696" s="10">
        <f t="shared" si="185"/>
        <v>-7</v>
      </c>
      <c r="AD696">
        <f t="shared" si="186"/>
        <v>5</v>
      </c>
      <c r="AE696" s="10">
        <f t="shared" si="187"/>
        <v>3</v>
      </c>
      <c r="AF696" s="5">
        <f t="shared" si="180"/>
        <v>1</v>
      </c>
      <c r="AG696" s="5">
        <f t="shared" si="181"/>
        <v>1</v>
      </c>
      <c r="AH696" s="5">
        <f t="shared" si="188"/>
        <v>0</v>
      </c>
      <c r="AI696">
        <f>IF(B696&lt;&gt;"", COUNTIFS($B$2:B696, B696), "")</f>
        <v>49</v>
      </c>
      <c r="AJ696">
        <f t="shared" si="189"/>
        <v>5</v>
      </c>
      <c r="AK696">
        <f t="shared" si="182"/>
        <v>5</v>
      </c>
      <c r="AL696">
        <f t="shared" si="190"/>
        <v>8</v>
      </c>
      <c r="AM696" t="str">
        <f t="shared" si="191"/>
        <v>August</v>
      </c>
      <c r="AN696">
        <f t="shared" si="192"/>
        <v>2023</v>
      </c>
      <c r="AO696" t="str">
        <f t="shared" si="193"/>
        <v>&gt;3</v>
      </c>
      <c r="AP696" t="str">
        <f t="shared" si="194"/>
        <v>&gt;3</v>
      </c>
      <c r="AQ696" t="str">
        <f t="shared" si="195"/>
        <v>&gt;3</v>
      </c>
    </row>
    <row r="697" spans="1:43" x14ac:dyDescent="0.3">
      <c r="A697" t="s">
        <v>33</v>
      </c>
      <c r="B697" t="s">
        <v>366</v>
      </c>
      <c r="C697" t="s">
        <v>272</v>
      </c>
      <c r="D697">
        <v>4656</v>
      </c>
      <c r="E697">
        <v>23310387</v>
      </c>
      <c r="F697" t="s">
        <v>569</v>
      </c>
      <c r="G697" t="s">
        <v>570</v>
      </c>
      <c r="H697">
        <v>100</v>
      </c>
      <c r="I697">
        <v>9800</v>
      </c>
      <c r="J697">
        <v>980000</v>
      </c>
      <c r="K697" s="7" t="str">
        <f>IFERROR(IF(B697&lt;&gt;"", TEXT(VLOOKUP(B697, 'Expected Date'!A:B, 2, FALSE) + DATE(RIGHT(C697,2),MID(C697,4,2),LEFT(C697,2)), "dd/mm/yy"), ""), "")</f>
        <v>27/09/23</v>
      </c>
      <c r="L697" t="s">
        <v>38</v>
      </c>
      <c r="M697" t="s">
        <v>48</v>
      </c>
      <c r="N697" t="s">
        <v>574</v>
      </c>
      <c r="O697" t="s">
        <v>247</v>
      </c>
      <c r="P697">
        <v>23390640</v>
      </c>
      <c r="Q697" t="s">
        <v>569</v>
      </c>
      <c r="R697" t="s">
        <v>570</v>
      </c>
      <c r="S697">
        <v>29.33</v>
      </c>
      <c r="T697">
        <v>9800</v>
      </c>
      <c r="U697">
        <v>287434</v>
      </c>
      <c r="V697" t="str">
        <f t="shared" si="196"/>
        <v>Jhagadia</v>
      </c>
      <c r="W697" t="str">
        <f>VLOOKUP(B697, Currency!A:B, 2, FALSE)</f>
        <v>INR</v>
      </c>
      <c r="X697" t="str">
        <f t="shared" si="197"/>
        <v>Accepted</v>
      </c>
      <c r="Y697">
        <f>IFERROR(VLOOKUP(N697, Payment_Terms!A:B, 2, FALSE), "Payment term not found!")</f>
        <v>0</v>
      </c>
      <c r="Z697" t="str">
        <f>IFERROR(VLOOKUP(R697, Item_Category!A:B, 2, FALSE), "Uncategorized")</f>
        <v>Coal materials</v>
      </c>
      <c r="AA697" s="5">
        <f t="shared" si="183"/>
        <v>0</v>
      </c>
      <c r="AB697">
        <f t="shared" si="184"/>
        <v>5</v>
      </c>
      <c r="AC697" s="10">
        <f t="shared" si="185"/>
        <v>8</v>
      </c>
      <c r="AD697">
        <f t="shared" si="186"/>
        <v>2</v>
      </c>
      <c r="AE697" s="10">
        <f t="shared" si="187"/>
        <v>10</v>
      </c>
      <c r="AF697" s="5">
        <f t="shared" si="180"/>
        <v>1</v>
      </c>
      <c r="AG697" s="5">
        <f t="shared" si="181"/>
        <v>1</v>
      </c>
      <c r="AH697" s="5">
        <f t="shared" si="188"/>
        <v>0</v>
      </c>
      <c r="AI697">
        <f>IF(B697&lt;&gt;"", COUNTIFS($B$2:B697, B697), "")</f>
        <v>80</v>
      </c>
      <c r="AJ697">
        <f t="shared" si="189"/>
        <v>5</v>
      </c>
      <c r="AK697">
        <f t="shared" si="182"/>
        <v>5</v>
      </c>
      <c r="AL697">
        <f t="shared" si="190"/>
        <v>9</v>
      </c>
      <c r="AM697" t="str">
        <f t="shared" si="191"/>
        <v>September</v>
      </c>
      <c r="AN697">
        <f t="shared" si="192"/>
        <v>2023</v>
      </c>
      <c r="AO697" t="str">
        <f t="shared" si="193"/>
        <v>&gt;3</v>
      </c>
      <c r="AP697" t="str">
        <f t="shared" si="194"/>
        <v>&gt;3</v>
      </c>
      <c r="AQ697" t="str">
        <f t="shared" si="195"/>
        <v>&lt;=3</v>
      </c>
    </row>
    <row r="698" spans="1:43" x14ac:dyDescent="0.3">
      <c r="A698" t="s">
        <v>33</v>
      </c>
      <c r="B698" t="s">
        <v>366</v>
      </c>
      <c r="C698" t="s">
        <v>272</v>
      </c>
      <c r="D698">
        <v>4656</v>
      </c>
      <c r="E698">
        <v>23310387</v>
      </c>
      <c r="F698" t="s">
        <v>569</v>
      </c>
      <c r="G698" t="s">
        <v>570</v>
      </c>
      <c r="H698">
        <v>100</v>
      </c>
      <c r="I698">
        <v>9800</v>
      </c>
      <c r="J698">
        <v>980000</v>
      </c>
      <c r="K698" s="7" t="str">
        <f>IFERROR(IF(B698&lt;&gt;"", TEXT(VLOOKUP(B698, 'Expected Date'!A:B, 2, FALSE) + DATE(RIGHT(C698,2),MID(C698,4,2),LEFT(C698,2)), "dd/mm/yy"), ""), "")</f>
        <v>27/09/23</v>
      </c>
      <c r="L698" t="s">
        <v>38</v>
      </c>
      <c r="M698" t="s">
        <v>48</v>
      </c>
      <c r="N698" t="s">
        <v>574</v>
      </c>
      <c r="O698" t="s">
        <v>527</v>
      </c>
      <c r="P698">
        <v>23390641</v>
      </c>
      <c r="Q698" t="s">
        <v>569</v>
      </c>
      <c r="R698" t="s">
        <v>570</v>
      </c>
      <c r="S698">
        <v>28.97</v>
      </c>
      <c r="T698">
        <v>9800</v>
      </c>
      <c r="U698">
        <v>283906</v>
      </c>
      <c r="V698" t="str">
        <f t="shared" si="196"/>
        <v>Jhagadia</v>
      </c>
      <c r="W698" t="str">
        <f>VLOOKUP(B698, Currency!A:B, 2, FALSE)</f>
        <v>INR</v>
      </c>
      <c r="X698" t="str">
        <f t="shared" si="197"/>
        <v>Accepted</v>
      </c>
      <c r="Y698">
        <f>IFERROR(VLOOKUP(N698, Payment_Terms!A:B, 2, FALSE), "Payment term not found!")</f>
        <v>0</v>
      </c>
      <c r="Z698" t="str">
        <f>IFERROR(VLOOKUP(R698, Item_Category!A:B, 2, FALSE), "Uncategorized")</f>
        <v>Coal materials</v>
      </c>
      <c r="AA698" s="5">
        <f t="shared" si="183"/>
        <v>0</v>
      </c>
      <c r="AB698">
        <f t="shared" si="184"/>
        <v>5</v>
      </c>
      <c r="AC698" s="10">
        <f t="shared" si="185"/>
        <v>9</v>
      </c>
      <c r="AD698">
        <f t="shared" si="186"/>
        <v>2</v>
      </c>
      <c r="AE698" s="10">
        <f t="shared" si="187"/>
        <v>11</v>
      </c>
      <c r="AF698" s="5">
        <f t="shared" si="180"/>
        <v>1</v>
      </c>
      <c r="AG698" s="5">
        <f t="shared" si="181"/>
        <v>1</v>
      </c>
      <c r="AH698" s="5">
        <f t="shared" si="188"/>
        <v>0</v>
      </c>
      <c r="AI698">
        <f>IF(B698&lt;&gt;"", COUNTIFS($B$2:B698, B698), "")</f>
        <v>81</v>
      </c>
      <c r="AJ698">
        <f t="shared" si="189"/>
        <v>5</v>
      </c>
      <c r="AK698">
        <f t="shared" si="182"/>
        <v>5</v>
      </c>
      <c r="AL698">
        <f t="shared" si="190"/>
        <v>9</v>
      </c>
      <c r="AM698" t="str">
        <f t="shared" si="191"/>
        <v>September</v>
      </c>
      <c r="AN698">
        <f t="shared" si="192"/>
        <v>2023</v>
      </c>
      <c r="AO698" t="str">
        <f t="shared" si="193"/>
        <v>&gt;3</v>
      </c>
      <c r="AP698" t="str">
        <f t="shared" si="194"/>
        <v>&gt;3</v>
      </c>
      <c r="AQ698" t="str">
        <f t="shared" si="195"/>
        <v>&lt;=3</v>
      </c>
    </row>
    <row r="699" spans="1:43" x14ac:dyDescent="0.3">
      <c r="A699" t="s">
        <v>33</v>
      </c>
      <c r="B699" t="s">
        <v>366</v>
      </c>
      <c r="C699" t="s">
        <v>439</v>
      </c>
      <c r="D699">
        <v>1489</v>
      </c>
      <c r="E699">
        <v>23310037</v>
      </c>
      <c r="F699" t="s">
        <v>569</v>
      </c>
      <c r="G699" t="s">
        <v>570</v>
      </c>
      <c r="H699">
        <v>70</v>
      </c>
      <c r="I699">
        <v>10857.14</v>
      </c>
      <c r="J699">
        <v>759999.8</v>
      </c>
      <c r="K699" s="7" t="str">
        <f>IFERROR(IF(B699&lt;&gt;"", TEXT(VLOOKUP(B699, 'Expected Date'!A:B, 2, FALSE) + DATE(RIGHT(C699,2),MID(C699,4,2),LEFT(C699,2)), "dd/mm/yy"), ""), "")</f>
        <v>22/04/23</v>
      </c>
      <c r="L699" t="s">
        <v>38</v>
      </c>
      <c r="M699" t="s">
        <v>48</v>
      </c>
      <c r="N699" t="s">
        <v>574</v>
      </c>
      <c r="O699" t="s">
        <v>419</v>
      </c>
      <c r="P699">
        <v>23390066</v>
      </c>
      <c r="Q699" t="s">
        <v>569</v>
      </c>
      <c r="R699" t="s">
        <v>570</v>
      </c>
      <c r="S699">
        <v>25.954999999999998</v>
      </c>
      <c r="T699">
        <v>10857.14</v>
      </c>
      <c r="U699">
        <v>281797.07</v>
      </c>
      <c r="V699" t="str">
        <f t="shared" si="196"/>
        <v>Jhagadia</v>
      </c>
      <c r="W699" t="str">
        <f>VLOOKUP(B699, Currency!A:B, 2, FALSE)</f>
        <v>INR</v>
      </c>
      <c r="X699" t="str">
        <f t="shared" si="197"/>
        <v>Accepted</v>
      </c>
      <c r="Y699">
        <f>IFERROR(VLOOKUP(N699, Payment_Terms!A:B, 2, FALSE), "Payment term not found!")</f>
        <v>0</v>
      </c>
      <c r="Z699" t="str">
        <f>IFERROR(VLOOKUP(R699, Item_Category!A:B, 2, FALSE), "Uncategorized")</f>
        <v>Coal materials</v>
      </c>
      <c r="AA699" s="5">
        <f t="shared" si="183"/>
        <v>0</v>
      </c>
      <c r="AB699">
        <f t="shared" si="184"/>
        <v>5</v>
      </c>
      <c r="AC699" s="10">
        <f t="shared" si="185"/>
        <v>0</v>
      </c>
      <c r="AD699">
        <f t="shared" si="186"/>
        <v>5</v>
      </c>
      <c r="AE699" s="10">
        <f t="shared" si="187"/>
        <v>2</v>
      </c>
      <c r="AF699" s="5">
        <f t="shared" si="180"/>
        <v>1</v>
      </c>
      <c r="AG699" s="5">
        <f t="shared" si="181"/>
        <v>1</v>
      </c>
      <c r="AH699" s="5">
        <f t="shared" si="188"/>
        <v>0</v>
      </c>
      <c r="AI699">
        <f>IF(B699&lt;&gt;"", COUNTIFS($B$2:B699, B699), "")</f>
        <v>82</v>
      </c>
      <c r="AJ699">
        <f t="shared" si="189"/>
        <v>5</v>
      </c>
      <c r="AK699">
        <f t="shared" si="182"/>
        <v>5</v>
      </c>
      <c r="AL699">
        <f t="shared" si="190"/>
        <v>4</v>
      </c>
      <c r="AM699" t="str">
        <f t="shared" si="191"/>
        <v>April</v>
      </c>
      <c r="AN699">
        <f t="shared" si="192"/>
        <v>2023</v>
      </c>
      <c r="AO699" t="str">
        <f t="shared" si="193"/>
        <v>&gt;3</v>
      </c>
      <c r="AP699" t="str">
        <f t="shared" si="194"/>
        <v>&gt;3</v>
      </c>
      <c r="AQ699" t="str">
        <f t="shared" si="195"/>
        <v>&gt;3</v>
      </c>
    </row>
    <row r="700" spans="1:43" x14ac:dyDescent="0.3">
      <c r="A700" t="s">
        <v>33</v>
      </c>
      <c r="B700" t="s">
        <v>557</v>
      </c>
      <c r="C700" t="s">
        <v>414</v>
      </c>
      <c r="D700">
        <v>2296</v>
      </c>
      <c r="E700">
        <v>23310158</v>
      </c>
      <c r="F700" t="s">
        <v>558</v>
      </c>
      <c r="G700" t="s">
        <v>384</v>
      </c>
      <c r="H700">
        <v>400</v>
      </c>
      <c r="I700">
        <v>99</v>
      </c>
      <c r="J700">
        <v>39600</v>
      </c>
      <c r="K700" s="7" t="str">
        <f>IFERROR(IF(B700&lt;&gt;"", TEXT(VLOOKUP(B700, 'Expected Date'!A:B, 2, FALSE) + DATE(RIGHT(C700,2),MID(C700,4,2),LEFT(C700,2)), "dd/mm/yy"), ""), "")</f>
        <v>11/06/23</v>
      </c>
      <c r="L700" t="s">
        <v>68</v>
      </c>
      <c r="M700" t="s">
        <v>48</v>
      </c>
      <c r="N700" t="s">
        <v>364</v>
      </c>
      <c r="O700" t="s">
        <v>88</v>
      </c>
      <c r="P700">
        <v>23390291</v>
      </c>
      <c r="Q700" t="s">
        <v>558</v>
      </c>
      <c r="R700" t="s">
        <v>384</v>
      </c>
      <c r="S700">
        <v>100</v>
      </c>
      <c r="T700">
        <v>99</v>
      </c>
      <c r="U700">
        <v>9900</v>
      </c>
      <c r="V700" t="str">
        <f t="shared" si="196"/>
        <v>Jhagadia</v>
      </c>
      <c r="W700" t="str">
        <f>VLOOKUP(B700, Currency!A:B, 2, FALSE)</f>
        <v>INR</v>
      </c>
      <c r="X700" t="str">
        <f t="shared" si="197"/>
        <v>Accepted</v>
      </c>
      <c r="Y700">
        <f>IFERROR(VLOOKUP(N700, Payment_Terms!A:B, 2, FALSE), "Payment term not found!")</f>
        <v>30</v>
      </c>
      <c r="Z700" t="str">
        <f>IFERROR(VLOOKUP(R700, Item_Category!A:B, 2, FALSE), "Uncategorized")</f>
        <v>Gas</v>
      </c>
      <c r="AA700" s="5">
        <f t="shared" si="183"/>
        <v>0.25</v>
      </c>
      <c r="AB700">
        <f t="shared" si="184"/>
        <v>1</v>
      </c>
      <c r="AC700" s="10">
        <f t="shared" si="185"/>
        <v>23</v>
      </c>
      <c r="AD700">
        <f t="shared" si="186"/>
        <v>1</v>
      </c>
      <c r="AE700" s="10">
        <f t="shared" si="187"/>
        <v>33</v>
      </c>
      <c r="AF700" s="5">
        <f t="shared" si="180"/>
        <v>1</v>
      </c>
      <c r="AG700" s="5">
        <f t="shared" si="181"/>
        <v>1</v>
      </c>
      <c r="AH700" s="5">
        <f t="shared" si="188"/>
        <v>0</v>
      </c>
      <c r="AI700">
        <f>IF(B700&lt;&gt;"", COUNTIFS($B$2:B700, B700), "")</f>
        <v>9</v>
      </c>
      <c r="AJ700">
        <f t="shared" si="189"/>
        <v>5</v>
      </c>
      <c r="AK700">
        <f t="shared" si="182"/>
        <v>3</v>
      </c>
      <c r="AL700">
        <f t="shared" si="190"/>
        <v>6</v>
      </c>
      <c r="AM700" t="str">
        <f t="shared" si="191"/>
        <v>June</v>
      </c>
      <c r="AN700">
        <f t="shared" si="192"/>
        <v>2023</v>
      </c>
      <c r="AO700" t="str">
        <f t="shared" si="193"/>
        <v>&gt;3</v>
      </c>
      <c r="AP700" t="str">
        <f t="shared" si="194"/>
        <v>&lt;=3</v>
      </c>
      <c r="AQ700" t="str">
        <f t="shared" si="195"/>
        <v>&lt;=3</v>
      </c>
    </row>
    <row r="701" spans="1:43" x14ac:dyDescent="0.3">
      <c r="A701" t="s">
        <v>33</v>
      </c>
      <c r="B701" t="s">
        <v>366</v>
      </c>
      <c r="C701" t="s">
        <v>203</v>
      </c>
      <c r="D701">
        <v>3212</v>
      </c>
      <c r="E701">
        <v>23310240</v>
      </c>
      <c r="F701" t="s">
        <v>569</v>
      </c>
      <c r="G701" t="s">
        <v>570</v>
      </c>
      <c r="H701">
        <v>100</v>
      </c>
      <c r="I701">
        <v>9800</v>
      </c>
      <c r="J701">
        <v>980000</v>
      </c>
      <c r="K701" s="7" t="str">
        <f>IFERROR(IF(B701&lt;&gt;"", TEXT(VLOOKUP(B701, 'Expected Date'!A:B, 2, FALSE) + DATE(RIGHT(C701,2),MID(C701,4,2),LEFT(C701,2)), "dd/mm/yy"), ""), "")</f>
        <v>18/07/23</v>
      </c>
      <c r="L701" t="s">
        <v>38</v>
      </c>
      <c r="M701" t="s">
        <v>48</v>
      </c>
      <c r="N701" t="s">
        <v>574</v>
      </c>
      <c r="O701" t="s">
        <v>543</v>
      </c>
      <c r="P701">
        <v>23390367</v>
      </c>
      <c r="Q701" t="s">
        <v>569</v>
      </c>
      <c r="R701" t="s">
        <v>570</v>
      </c>
      <c r="S701">
        <v>29.54</v>
      </c>
      <c r="T701">
        <v>9800</v>
      </c>
      <c r="U701">
        <v>289492</v>
      </c>
      <c r="V701" t="str">
        <f t="shared" si="196"/>
        <v>Jhagadia</v>
      </c>
      <c r="W701" t="str">
        <f>VLOOKUP(B701, Currency!A:B, 2, FALSE)</f>
        <v>INR</v>
      </c>
      <c r="X701" t="str">
        <f t="shared" si="197"/>
        <v>Accepted</v>
      </c>
      <c r="Y701">
        <f>IFERROR(VLOOKUP(N701, Payment_Terms!A:B, 2, FALSE), "Payment term not found!")</f>
        <v>0</v>
      </c>
      <c r="Z701" t="str">
        <f>IFERROR(VLOOKUP(R701, Item_Category!A:B, 2, FALSE), "Uncategorized")</f>
        <v>Coal materials</v>
      </c>
      <c r="AA701" s="5">
        <f t="shared" si="183"/>
        <v>0</v>
      </c>
      <c r="AB701">
        <f t="shared" si="184"/>
        <v>5</v>
      </c>
      <c r="AC701" s="10">
        <f t="shared" si="185"/>
        <v>10</v>
      </c>
      <c r="AD701">
        <f t="shared" si="186"/>
        <v>2</v>
      </c>
      <c r="AE701" s="10">
        <f t="shared" si="187"/>
        <v>12</v>
      </c>
      <c r="AF701" s="5">
        <f t="shared" si="180"/>
        <v>1</v>
      </c>
      <c r="AG701" s="5">
        <f t="shared" si="181"/>
        <v>1</v>
      </c>
      <c r="AH701" s="5">
        <f t="shared" si="188"/>
        <v>0</v>
      </c>
      <c r="AI701">
        <f>IF(B701&lt;&gt;"", COUNTIFS($B$2:B701, B701), "")</f>
        <v>83</v>
      </c>
      <c r="AJ701">
        <f t="shared" si="189"/>
        <v>5</v>
      </c>
      <c r="AK701">
        <f t="shared" si="182"/>
        <v>5</v>
      </c>
      <c r="AL701">
        <f t="shared" si="190"/>
        <v>7</v>
      </c>
      <c r="AM701" t="str">
        <f t="shared" si="191"/>
        <v>July</v>
      </c>
      <c r="AN701">
        <f t="shared" si="192"/>
        <v>2023</v>
      </c>
      <c r="AO701" t="str">
        <f t="shared" si="193"/>
        <v>&gt;3</v>
      </c>
      <c r="AP701" t="str">
        <f t="shared" si="194"/>
        <v>&gt;3</v>
      </c>
      <c r="AQ701" t="str">
        <f t="shared" si="195"/>
        <v>&lt;=3</v>
      </c>
    </row>
    <row r="702" spans="1:43" x14ac:dyDescent="0.3">
      <c r="A702" t="s">
        <v>33</v>
      </c>
      <c r="B702" t="s">
        <v>557</v>
      </c>
      <c r="C702" t="s">
        <v>414</v>
      </c>
      <c r="D702">
        <v>2296</v>
      </c>
      <c r="E702">
        <v>23310158</v>
      </c>
      <c r="F702" t="s">
        <v>558</v>
      </c>
      <c r="G702" t="s">
        <v>384</v>
      </c>
      <c r="H702">
        <v>400</v>
      </c>
      <c r="I702">
        <v>99</v>
      </c>
      <c r="J702">
        <v>39600</v>
      </c>
      <c r="K702" s="7" t="str">
        <f>IFERROR(IF(B702&lt;&gt;"", TEXT(VLOOKUP(B702, 'Expected Date'!A:B, 2, FALSE) + DATE(RIGHT(C702,2),MID(C702,4,2),LEFT(C702,2)), "dd/mm/yy"), ""), "")</f>
        <v>11/06/23</v>
      </c>
      <c r="L702" t="s">
        <v>68</v>
      </c>
      <c r="M702" t="s">
        <v>48</v>
      </c>
      <c r="N702" t="s">
        <v>364</v>
      </c>
      <c r="O702" t="s">
        <v>63</v>
      </c>
      <c r="P702">
        <v>23390277</v>
      </c>
      <c r="Q702" t="s">
        <v>558</v>
      </c>
      <c r="R702" t="s">
        <v>384</v>
      </c>
      <c r="S702">
        <v>100</v>
      </c>
      <c r="T702">
        <v>99</v>
      </c>
      <c r="U702">
        <v>9900</v>
      </c>
      <c r="V702" t="str">
        <f t="shared" si="196"/>
        <v>Jhagadia</v>
      </c>
      <c r="W702" t="str">
        <f>VLOOKUP(B702, Currency!A:B, 2, FALSE)</f>
        <v>INR</v>
      </c>
      <c r="X702" t="str">
        <f t="shared" si="197"/>
        <v>Accepted</v>
      </c>
      <c r="Y702">
        <f>IFERROR(VLOOKUP(N702, Payment_Terms!A:B, 2, FALSE), "Payment term not found!")</f>
        <v>30</v>
      </c>
      <c r="Z702" t="str">
        <f>IFERROR(VLOOKUP(R702, Item_Category!A:B, 2, FALSE), "Uncategorized")</f>
        <v>Gas</v>
      </c>
      <c r="AA702" s="5">
        <f t="shared" si="183"/>
        <v>0.25</v>
      </c>
      <c r="AB702">
        <f t="shared" si="184"/>
        <v>1</v>
      </c>
      <c r="AC702" s="10">
        <f t="shared" si="185"/>
        <v>13</v>
      </c>
      <c r="AD702">
        <f t="shared" si="186"/>
        <v>1</v>
      </c>
      <c r="AE702" s="10">
        <f t="shared" si="187"/>
        <v>23</v>
      </c>
      <c r="AF702" s="5">
        <f t="shared" si="180"/>
        <v>1</v>
      </c>
      <c r="AG702" s="5">
        <f t="shared" si="181"/>
        <v>1</v>
      </c>
      <c r="AH702" s="5">
        <f t="shared" si="188"/>
        <v>0</v>
      </c>
      <c r="AI702">
        <f>IF(B702&lt;&gt;"", COUNTIFS($B$2:B702, B702), "")</f>
        <v>10</v>
      </c>
      <c r="AJ702">
        <f t="shared" si="189"/>
        <v>5</v>
      </c>
      <c r="AK702">
        <f t="shared" si="182"/>
        <v>3</v>
      </c>
      <c r="AL702">
        <f t="shared" si="190"/>
        <v>6</v>
      </c>
      <c r="AM702" t="str">
        <f t="shared" si="191"/>
        <v>June</v>
      </c>
      <c r="AN702">
        <f t="shared" si="192"/>
        <v>2023</v>
      </c>
      <c r="AO702" t="str">
        <f t="shared" si="193"/>
        <v>&gt;3</v>
      </c>
      <c r="AP702" t="str">
        <f t="shared" si="194"/>
        <v>&lt;=3</v>
      </c>
      <c r="AQ702" t="str">
        <f t="shared" si="195"/>
        <v>&lt;=3</v>
      </c>
    </row>
    <row r="703" spans="1:43" x14ac:dyDescent="0.3">
      <c r="A703" t="s">
        <v>33</v>
      </c>
      <c r="B703" t="s">
        <v>557</v>
      </c>
      <c r="C703" t="s">
        <v>354</v>
      </c>
      <c r="D703">
        <v>2796</v>
      </c>
      <c r="E703">
        <v>23310215</v>
      </c>
      <c r="F703" t="s">
        <v>558</v>
      </c>
      <c r="G703" t="s">
        <v>384</v>
      </c>
      <c r="H703">
        <v>400</v>
      </c>
      <c r="I703">
        <v>99</v>
      </c>
      <c r="J703">
        <v>39600</v>
      </c>
      <c r="K703" s="7" t="str">
        <f>IFERROR(IF(B703&lt;&gt;"", TEXT(VLOOKUP(B703, 'Expected Date'!A:B, 2, FALSE) + DATE(RIGHT(C703,2),MID(C703,4,2),LEFT(C703,2)), "dd/mm/yy"), ""), "")</f>
        <v>13/07/23</v>
      </c>
      <c r="L703" t="s">
        <v>68</v>
      </c>
      <c r="M703" t="s">
        <v>48</v>
      </c>
      <c r="N703" t="s">
        <v>364</v>
      </c>
      <c r="O703" t="s">
        <v>469</v>
      </c>
      <c r="P703">
        <v>23390325</v>
      </c>
      <c r="Q703" t="s">
        <v>558</v>
      </c>
      <c r="R703" t="s">
        <v>384</v>
      </c>
      <c r="S703">
        <v>100</v>
      </c>
      <c r="T703">
        <v>99</v>
      </c>
      <c r="U703">
        <v>9900</v>
      </c>
      <c r="V703" t="str">
        <f t="shared" si="196"/>
        <v>Jhagadia</v>
      </c>
      <c r="W703" t="str">
        <f>VLOOKUP(B703, Currency!A:B, 2, FALSE)</f>
        <v>INR</v>
      </c>
      <c r="X703" t="str">
        <f t="shared" si="197"/>
        <v>Accepted</v>
      </c>
      <c r="Y703">
        <f>IFERROR(VLOOKUP(N703, Payment_Terms!A:B, 2, FALSE), "Payment term not found!")</f>
        <v>30</v>
      </c>
      <c r="Z703" t="str">
        <f>IFERROR(VLOOKUP(R703, Item_Category!A:B, 2, FALSE), "Uncategorized")</f>
        <v>Gas</v>
      </c>
      <c r="AA703" s="5">
        <f t="shared" si="183"/>
        <v>0.25</v>
      </c>
      <c r="AB703">
        <f t="shared" si="184"/>
        <v>1</v>
      </c>
      <c r="AC703" s="10">
        <f t="shared" si="185"/>
        <v>0</v>
      </c>
      <c r="AD703">
        <f t="shared" si="186"/>
        <v>5</v>
      </c>
      <c r="AE703" s="10">
        <f t="shared" si="187"/>
        <v>10</v>
      </c>
      <c r="AF703" s="5">
        <f t="shared" si="180"/>
        <v>1</v>
      </c>
      <c r="AG703" s="5">
        <f t="shared" si="181"/>
        <v>1</v>
      </c>
      <c r="AH703" s="5">
        <f t="shared" si="188"/>
        <v>0</v>
      </c>
      <c r="AI703">
        <f>IF(B703&lt;&gt;"", COUNTIFS($B$2:B703, B703), "")</f>
        <v>11</v>
      </c>
      <c r="AJ703">
        <f t="shared" si="189"/>
        <v>5</v>
      </c>
      <c r="AK703">
        <f t="shared" si="182"/>
        <v>4</v>
      </c>
      <c r="AL703">
        <f t="shared" si="190"/>
        <v>7</v>
      </c>
      <c r="AM703" t="str">
        <f t="shared" si="191"/>
        <v>July</v>
      </c>
      <c r="AN703">
        <f t="shared" si="192"/>
        <v>2023</v>
      </c>
      <c r="AO703" t="str">
        <f t="shared" si="193"/>
        <v>&gt;3</v>
      </c>
      <c r="AP703" t="str">
        <f t="shared" si="194"/>
        <v>&lt;=3</v>
      </c>
      <c r="AQ703" t="str">
        <f t="shared" si="195"/>
        <v>&gt;3</v>
      </c>
    </row>
    <row r="704" spans="1:43" x14ac:dyDescent="0.3">
      <c r="A704" t="s">
        <v>33</v>
      </c>
      <c r="B704" t="s">
        <v>371</v>
      </c>
      <c r="C704" t="s">
        <v>58</v>
      </c>
      <c r="D704">
        <v>3582</v>
      </c>
      <c r="E704">
        <v>23310288</v>
      </c>
      <c r="F704" t="s">
        <v>552</v>
      </c>
      <c r="G704" t="s">
        <v>373</v>
      </c>
      <c r="H704">
        <v>20</v>
      </c>
      <c r="I704">
        <v>1700</v>
      </c>
      <c r="J704">
        <v>34000</v>
      </c>
      <c r="K704" s="7" t="str">
        <f>IFERROR(IF(B704&lt;&gt;"", TEXT(VLOOKUP(B704, 'Expected Date'!A:B, 2, FALSE) + DATE(RIGHT(C704,2),MID(C704,4,2),LEFT(C704,2)), "dd/mm/yy"), ""), "")</f>
        <v>06/08/23</v>
      </c>
      <c r="L704" t="s">
        <v>38</v>
      </c>
      <c r="M704" t="s">
        <v>48</v>
      </c>
      <c r="N704" t="s">
        <v>318</v>
      </c>
      <c r="O704" t="s">
        <v>127</v>
      </c>
      <c r="P704">
        <v>23390400</v>
      </c>
      <c r="Q704" t="s">
        <v>552</v>
      </c>
      <c r="R704" t="s">
        <v>373</v>
      </c>
      <c r="S704">
        <v>10.15</v>
      </c>
      <c r="T704">
        <v>1700</v>
      </c>
      <c r="U704">
        <v>17255</v>
      </c>
      <c r="V704" t="str">
        <f t="shared" si="196"/>
        <v>Jhagadia</v>
      </c>
      <c r="W704" t="str">
        <f>VLOOKUP(B704, Currency!A:B, 2, FALSE)</f>
        <v>INR</v>
      </c>
      <c r="X704" t="str">
        <f t="shared" si="197"/>
        <v>Accepted</v>
      </c>
      <c r="Y704">
        <f>IFERROR(VLOOKUP(N704, Payment_Terms!A:B, 2, FALSE), "Payment term not found!")</f>
        <v>30</v>
      </c>
      <c r="Z704" t="str">
        <f>IFERROR(VLOOKUP(R704, Item_Category!A:B, 2, FALSE), "Uncategorized")</f>
        <v>HCL</v>
      </c>
      <c r="AA704" s="5">
        <f t="shared" si="183"/>
        <v>0</v>
      </c>
      <c r="AB704">
        <f t="shared" si="184"/>
        <v>5</v>
      </c>
      <c r="AC704" s="10">
        <f t="shared" si="185"/>
        <v>-4</v>
      </c>
      <c r="AD704">
        <f t="shared" si="186"/>
        <v>5</v>
      </c>
      <c r="AE704" s="10">
        <f t="shared" si="187"/>
        <v>1</v>
      </c>
      <c r="AF704" s="5">
        <f t="shared" si="180"/>
        <v>1</v>
      </c>
      <c r="AG704" s="5">
        <f t="shared" si="181"/>
        <v>1</v>
      </c>
      <c r="AH704" s="5">
        <f t="shared" si="188"/>
        <v>0</v>
      </c>
      <c r="AI704">
        <f>IF(B704&lt;&gt;"", COUNTIFS($B$2:B704, B704), "")</f>
        <v>16</v>
      </c>
      <c r="AJ704">
        <f t="shared" si="189"/>
        <v>5</v>
      </c>
      <c r="AK704">
        <f t="shared" si="182"/>
        <v>5</v>
      </c>
      <c r="AL704">
        <f t="shared" si="190"/>
        <v>8</v>
      </c>
      <c r="AM704" t="str">
        <f t="shared" si="191"/>
        <v>August</v>
      </c>
      <c r="AN704">
        <f t="shared" si="192"/>
        <v>2023</v>
      </c>
      <c r="AO704" t="str">
        <f t="shared" si="193"/>
        <v>&gt;3</v>
      </c>
      <c r="AP704" t="str">
        <f t="shared" si="194"/>
        <v>&gt;3</v>
      </c>
      <c r="AQ704" t="str">
        <f t="shared" si="195"/>
        <v>&gt;3</v>
      </c>
    </row>
    <row r="705" spans="1:43" x14ac:dyDescent="0.3">
      <c r="A705" t="s">
        <v>33</v>
      </c>
      <c r="B705" t="s">
        <v>371</v>
      </c>
      <c r="C705" t="s">
        <v>120</v>
      </c>
      <c r="D705">
        <v>3313</v>
      </c>
      <c r="E705">
        <v>23310260</v>
      </c>
      <c r="F705" t="s">
        <v>552</v>
      </c>
      <c r="G705" t="s">
        <v>373</v>
      </c>
      <c r="H705">
        <v>20</v>
      </c>
      <c r="I705">
        <v>1500</v>
      </c>
      <c r="J705">
        <v>30000</v>
      </c>
      <c r="K705" s="7" t="str">
        <f>IFERROR(IF(B705&lt;&gt;"", TEXT(VLOOKUP(B705, 'Expected Date'!A:B, 2, FALSE) + DATE(RIGHT(C705,2),MID(C705,4,2),LEFT(C705,2)), "dd/mm/yy"), ""), "")</f>
        <v>25/07/23</v>
      </c>
      <c r="L705" t="s">
        <v>68</v>
      </c>
      <c r="M705" t="s">
        <v>48</v>
      </c>
      <c r="N705" t="s">
        <v>342</v>
      </c>
      <c r="O705" t="s">
        <v>423</v>
      </c>
      <c r="P705">
        <v>23390350</v>
      </c>
      <c r="Q705" t="s">
        <v>552</v>
      </c>
      <c r="R705" t="s">
        <v>373</v>
      </c>
      <c r="S705">
        <v>9.98</v>
      </c>
      <c r="T705">
        <v>1500</v>
      </c>
      <c r="U705">
        <v>14970</v>
      </c>
      <c r="V705" t="str">
        <f t="shared" si="196"/>
        <v>Jhagadia</v>
      </c>
      <c r="W705" t="str">
        <f>VLOOKUP(B705, Currency!A:B, 2, FALSE)</f>
        <v>INR</v>
      </c>
      <c r="X705" t="str">
        <f t="shared" si="197"/>
        <v>Accepted</v>
      </c>
      <c r="Y705">
        <f>IFERROR(VLOOKUP(N705, Payment_Terms!A:B, 2, FALSE), "Payment term not found!")</f>
        <v>30</v>
      </c>
      <c r="Z705" t="str">
        <f>IFERROR(VLOOKUP(R705, Item_Category!A:B, 2, FALSE), "Uncategorized")</f>
        <v>HCL</v>
      </c>
      <c r="AA705" s="5">
        <f t="shared" si="183"/>
        <v>0.501</v>
      </c>
      <c r="AB705">
        <f t="shared" si="184"/>
        <v>1</v>
      </c>
      <c r="AC705" s="10">
        <f t="shared" si="185"/>
        <v>-3</v>
      </c>
      <c r="AD705">
        <f t="shared" si="186"/>
        <v>5</v>
      </c>
      <c r="AE705" s="10">
        <f t="shared" si="187"/>
        <v>2</v>
      </c>
      <c r="AF705" s="5">
        <f t="shared" si="180"/>
        <v>1</v>
      </c>
      <c r="AG705" s="5">
        <f t="shared" si="181"/>
        <v>1</v>
      </c>
      <c r="AH705" s="5">
        <f t="shared" si="188"/>
        <v>0</v>
      </c>
      <c r="AI705">
        <f>IF(B705&lt;&gt;"", COUNTIFS($B$2:B705, B705), "")</f>
        <v>17</v>
      </c>
      <c r="AJ705">
        <f t="shared" si="189"/>
        <v>5</v>
      </c>
      <c r="AK705">
        <f t="shared" si="182"/>
        <v>4</v>
      </c>
      <c r="AL705">
        <f t="shared" si="190"/>
        <v>7</v>
      </c>
      <c r="AM705" t="str">
        <f t="shared" si="191"/>
        <v>July</v>
      </c>
      <c r="AN705">
        <f t="shared" si="192"/>
        <v>2023</v>
      </c>
      <c r="AO705" t="str">
        <f t="shared" si="193"/>
        <v>&gt;3</v>
      </c>
      <c r="AP705" t="str">
        <f t="shared" si="194"/>
        <v>&lt;=3</v>
      </c>
      <c r="AQ705" t="str">
        <f t="shared" si="195"/>
        <v>&gt;3</v>
      </c>
    </row>
    <row r="706" spans="1:43" x14ac:dyDescent="0.3">
      <c r="A706" t="str">
        <f>A692</f>
        <v>Woodpulp</v>
      </c>
      <c r="B706" t="s">
        <v>140</v>
      </c>
      <c r="C706" t="s">
        <v>108</v>
      </c>
      <c r="D706">
        <v>1806</v>
      </c>
      <c r="E706">
        <v>23320012</v>
      </c>
      <c r="F706" t="s">
        <v>571</v>
      </c>
      <c r="G706" t="s">
        <v>360</v>
      </c>
      <c r="H706">
        <v>100</v>
      </c>
      <c r="I706">
        <v>830</v>
      </c>
      <c r="J706">
        <v>6710550</v>
      </c>
      <c r="K706" s="7" t="str">
        <f>IFERROR(IF(B706&lt;&gt;"", TEXT(VLOOKUP(B706, 'Expected Date'!A:B, 2, FALSE) + DATE(RIGHT(C706,2),MID(C706,4,2),LEFT(C706,2)), "dd/mm/yy"), ""), "")</f>
        <v>24/06/23</v>
      </c>
      <c r="L706" t="s">
        <v>38</v>
      </c>
      <c r="M706" t="str">
        <f>M642</f>
        <v>MT</v>
      </c>
      <c r="N706" t="s">
        <v>144</v>
      </c>
      <c r="O706" t="s">
        <v>108</v>
      </c>
      <c r="P706">
        <v>23390114</v>
      </c>
      <c r="Q706" t="s">
        <v>571</v>
      </c>
      <c r="R706" t="s">
        <v>360</v>
      </c>
      <c r="S706">
        <v>99.391000000000005</v>
      </c>
      <c r="T706">
        <v>830</v>
      </c>
      <c r="U706">
        <v>6669682.75</v>
      </c>
      <c r="V706" t="str">
        <f t="shared" si="196"/>
        <v>Jhagadia</v>
      </c>
      <c r="W706" t="str">
        <f>VLOOKUP(B706, Currency!A:B, 2, FALSE)</f>
        <v>USD</v>
      </c>
      <c r="X706" t="str">
        <f t="shared" si="197"/>
        <v>Accepted</v>
      </c>
      <c r="Y706">
        <f>IFERROR(VLOOKUP(N706, Payment_Terms!A:B, 2, FALSE), "Payment term not found!")</f>
        <v>30</v>
      </c>
      <c r="Z706" t="str">
        <f>IFERROR(VLOOKUP(R706, Item_Category!A:B, 2, FALSE), "Uncategorized")</f>
        <v>Wood pulp</v>
      </c>
      <c r="AA706" s="5">
        <f t="shared" si="183"/>
        <v>0</v>
      </c>
      <c r="AB706">
        <f t="shared" si="184"/>
        <v>5</v>
      </c>
      <c r="AC706" s="10">
        <f t="shared" si="185"/>
        <v>-45</v>
      </c>
      <c r="AD706">
        <f t="shared" si="186"/>
        <v>5</v>
      </c>
      <c r="AE706" s="10">
        <f t="shared" si="187"/>
        <v>0</v>
      </c>
      <c r="AF706" s="5">
        <f t="shared" ref="AF706:AF769" si="198">IF(X706="Accepted",1,0)</f>
        <v>1</v>
      </c>
      <c r="AG706" s="5">
        <f t="shared" ref="AG706:AG769" si="199">ROUNDUP((SUMIFS(S:S, B:B, B706, X:X, "Accepted")/SUMIF(B:B,B706,S:S)),2)</f>
        <v>1</v>
      </c>
      <c r="AH706" s="5">
        <f t="shared" si="188"/>
        <v>0</v>
      </c>
      <c r="AI706">
        <f>IF(B706&lt;&gt;"", COUNTIFS($B$2:B706, B706), "")</f>
        <v>34</v>
      </c>
      <c r="AJ706">
        <f t="shared" si="189"/>
        <v>5</v>
      </c>
      <c r="AK706">
        <f t="shared" ref="AK706:AK769" si="200">_xlfn.CEILING.MATH(((0.4*AJ706)+(0.3*AD706)+(0.3*AB706)),1)</f>
        <v>5</v>
      </c>
      <c r="AL706">
        <f t="shared" si="190"/>
        <v>5</v>
      </c>
      <c r="AM706" t="str">
        <f t="shared" si="191"/>
        <v>May</v>
      </c>
      <c r="AN706">
        <f t="shared" si="192"/>
        <v>2023</v>
      </c>
      <c r="AO706" t="str">
        <f t="shared" si="193"/>
        <v>&gt;3</v>
      </c>
      <c r="AP706" t="str">
        <f t="shared" si="194"/>
        <v>&gt;3</v>
      </c>
      <c r="AQ706" t="str">
        <f t="shared" si="195"/>
        <v>&gt;3</v>
      </c>
    </row>
    <row r="707" spans="1:43" x14ac:dyDescent="0.3">
      <c r="A707" t="s">
        <v>33</v>
      </c>
      <c r="B707" t="str">
        <f>B696</f>
        <v>Ami Enterprises</v>
      </c>
      <c r="C707" t="s">
        <v>146</v>
      </c>
      <c r="D707">
        <v>1769</v>
      </c>
      <c r="E707">
        <v>23310081</v>
      </c>
      <c r="F707" t="s">
        <v>572</v>
      </c>
      <c r="G707" t="s">
        <v>595</v>
      </c>
      <c r="H707">
        <v>5000</v>
      </c>
      <c r="I707">
        <v>35</v>
      </c>
      <c r="J707">
        <v>175000</v>
      </c>
      <c r="K707" s="7" t="str">
        <f>IFERROR(IF(B707&lt;&gt;"", TEXT(VLOOKUP(B707, 'Expected Date'!A:B, 2, FALSE) + DATE(RIGHT(C707,2),MID(C707,4,2),LEFT(C707,2)), "dd/mm/yy"), ""), "")</f>
        <v>19/05/23</v>
      </c>
      <c r="L707" t="s">
        <v>38</v>
      </c>
      <c r="M707" t="s">
        <v>39</v>
      </c>
      <c r="N707" t="s">
        <v>318</v>
      </c>
      <c r="O707" t="s">
        <v>174</v>
      </c>
      <c r="P707">
        <v>23390153</v>
      </c>
      <c r="Q707" t="s">
        <v>572</v>
      </c>
      <c r="R707" t="s">
        <v>595</v>
      </c>
      <c r="S707">
        <v>2000</v>
      </c>
      <c r="T707">
        <v>35</v>
      </c>
      <c r="U707">
        <v>70000</v>
      </c>
      <c r="V707" t="str">
        <f t="shared" si="196"/>
        <v>Jhagadia</v>
      </c>
      <c r="W707" t="str">
        <f>VLOOKUP(B707, Currency!A:B, 2, FALSE)</f>
        <v>INR</v>
      </c>
      <c r="X707" t="str">
        <f t="shared" si="197"/>
        <v>Accepted</v>
      </c>
      <c r="Y707">
        <f>IFERROR(VLOOKUP(N707, Payment_Terms!A:B, 2, FALSE), "Payment term not found!")</f>
        <v>30</v>
      </c>
      <c r="Z707" t="str">
        <f>IFERROR(VLOOKUP(R707, Item_Category!A:B, 2, FALSE), "Uncategorized")</f>
        <v>Bags</v>
      </c>
      <c r="AA707" s="5">
        <f t="shared" ref="AA707:AA770" si="201">IFERROR(IF(AND(E707&lt;&gt;"", G707&lt;&gt;""), MAX(0, (H707-SUMIFS(S:S, E:E, E707, G:G, G707))/H707), ""), (H707-S707)/H707)</f>
        <v>0</v>
      </c>
      <c r="AB707">
        <f t="shared" ref="AB707:AB770" si="202">IF(AA707&lt;=0%,5,(IF(AND(AA707&gt;0%,AA707&lt;=2%),4,IF(AND(AA707&gt;2%,AA707&lt;=5%),3,IF(AND(AA707&gt;5%,AA707&lt;10%),2,1)))))</f>
        <v>5</v>
      </c>
      <c r="AC707" s="10">
        <f t="shared" ref="AC707:AC770" si="203">DATE(RIGHT(O707,2),MID(O707,4,2),LEFT(O707,2)) - DATE(RIGHT(K707,2),MID(K707,4,2),LEFT(K707,2))</f>
        <v>-3</v>
      </c>
      <c r="AD707">
        <f t="shared" ref="AD707:AD770" si="204">IF(AC707 &lt;= 2, 5, IF(AC707 &lt;= 4, 4, IF(AC707 &lt;= 7, 3, IF(AC707&lt;=10,2,1))))</f>
        <v>5</v>
      </c>
      <c r="AE707" s="10">
        <f t="shared" ref="AE707:AE770" si="205">ABS(DATE(RIGHT(O707,2),MID(O707,4,2),LEFT(O707,2)) - DATE(RIGHT(C707,2),MID(C707,4,2),LEFT(C707,2)))</f>
        <v>7</v>
      </c>
      <c r="AF707" s="5">
        <f t="shared" si="198"/>
        <v>1</v>
      </c>
      <c r="AG707" s="5">
        <f t="shared" si="199"/>
        <v>1</v>
      </c>
      <c r="AH707" s="5">
        <f t="shared" ref="AH707:AH770" si="206">ROUNDUP(ABS(100%-AG707),2)</f>
        <v>0</v>
      </c>
      <c r="AI707">
        <f>IF(B707&lt;&gt;"", COUNTIFS($B$2:B707, B707), "")</f>
        <v>50</v>
      </c>
      <c r="AJ707">
        <f t="shared" ref="AJ707:AJ770" si="207">IF(AH707=0%,5,IF(AND(AH707&gt;0%,AH707&lt;=2%),4,IF(AND(AH707&gt;2%,AH707&lt;=5%),3,IF(AND(AH707&gt;5%,AH707&lt;10%),2,1))))</f>
        <v>5</v>
      </c>
      <c r="AK707">
        <f t="shared" si="200"/>
        <v>5</v>
      </c>
      <c r="AL707">
        <f t="shared" ref="AL707:AL770" si="208">MONTH(DATE(RIGHT(C707,2),MID(C707,4,2),LEFT(C707,2)))</f>
        <v>5</v>
      </c>
      <c r="AM707" t="str">
        <f t="shared" ref="AM707:AM770" si="209">TEXT(DATE(RIGHT(C707,2),MID(C707,4,2),LEFT(C707,2)),"mmmm")</f>
        <v>May</v>
      </c>
      <c r="AN707">
        <f t="shared" ref="AN707:AN770" si="210">YEAR(DATE(VALUE(MID(C707,7,2))+2000, MID(C707,4,2), MID(C707,1,2)))</f>
        <v>2023</v>
      </c>
      <c r="AO707" t="str">
        <f t="shared" ref="AO707:AO770" si="211">IF(AJ707&lt;=3,"&lt;=3","&gt;3")</f>
        <v>&gt;3</v>
      </c>
      <c r="AP707" t="str">
        <f t="shared" ref="AP707:AP770" si="212">IF(AB707&lt;=3,"&lt;=3","&gt;3")</f>
        <v>&gt;3</v>
      </c>
      <c r="AQ707" t="str">
        <f t="shared" ref="AQ707:AQ770" si="213">IF(AD707&lt;=3,"&lt;=3","&gt;3")</f>
        <v>&gt;3</v>
      </c>
    </row>
    <row r="708" spans="1:43" x14ac:dyDescent="0.3">
      <c r="A708" t="s">
        <v>33</v>
      </c>
      <c r="B708" t="s">
        <v>366</v>
      </c>
      <c r="C708" t="s">
        <v>58</v>
      </c>
      <c r="D708">
        <v>3581</v>
      </c>
      <c r="E708">
        <v>23310287</v>
      </c>
      <c r="F708" t="s">
        <v>569</v>
      </c>
      <c r="G708" t="s">
        <v>570</v>
      </c>
      <c r="H708">
        <v>100</v>
      </c>
      <c r="I708">
        <v>9800</v>
      </c>
      <c r="J708">
        <v>980000</v>
      </c>
      <c r="K708" s="7" t="str">
        <f>IFERROR(IF(B708&lt;&gt;"", TEXT(VLOOKUP(B708, 'Expected Date'!A:B, 2, FALSE) + DATE(RIGHT(C708,2),MID(C708,4,2),LEFT(C708,2)), "dd/mm/yy"), ""), "")</f>
        <v>03/08/23</v>
      </c>
      <c r="L708" t="s">
        <v>38</v>
      </c>
      <c r="M708" t="s">
        <v>48</v>
      </c>
      <c r="N708" t="s">
        <v>532</v>
      </c>
      <c r="O708" t="s">
        <v>58</v>
      </c>
      <c r="P708">
        <v>23390401</v>
      </c>
      <c r="Q708" t="s">
        <v>569</v>
      </c>
      <c r="R708" t="s">
        <v>570</v>
      </c>
      <c r="S708">
        <v>29.68</v>
      </c>
      <c r="T708">
        <v>9800</v>
      </c>
      <c r="U708">
        <v>290864</v>
      </c>
      <c r="V708" t="str">
        <f t="shared" si="196"/>
        <v>Jhagadia</v>
      </c>
      <c r="W708" t="str">
        <f>VLOOKUP(B708, Currency!A:B, 2, FALSE)</f>
        <v>INR</v>
      </c>
      <c r="X708" t="str">
        <f t="shared" si="197"/>
        <v>Accepted</v>
      </c>
      <c r="Y708">
        <f>IFERROR(VLOOKUP(N708, Payment_Terms!A:B, 2, FALSE), "Payment term not found!")</f>
        <v>15</v>
      </c>
      <c r="Z708" t="str">
        <f>IFERROR(VLOOKUP(R708, Item_Category!A:B, 2, FALSE), "Uncategorized")</f>
        <v>Coal materials</v>
      </c>
      <c r="AA708" s="5">
        <f t="shared" si="201"/>
        <v>0</v>
      </c>
      <c r="AB708">
        <f t="shared" si="202"/>
        <v>5</v>
      </c>
      <c r="AC708" s="10">
        <f t="shared" si="203"/>
        <v>-2</v>
      </c>
      <c r="AD708">
        <f t="shared" si="204"/>
        <v>5</v>
      </c>
      <c r="AE708" s="10">
        <f t="shared" si="205"/>
        <v>0</v>
      </c>
      <c r="AF708" s="5">
        <f t="shared" si="198"/>
        <v>1</v>
      </c>
      <c r="AG708" s="5">
        <f t="shared" si="199"/>
        <v>1</v>
      </c>
      <c r="AH708" s="5">
        <f t="shared" si="206"/>
        <v>0</v>
      </c>
      <c r="AI708">
        <f>IF(B708&lt;&gt;"", COUNTIFS($B$2:B708, B708), "")</f>
        <v>84</v>
      </c>
      <c r="AJ708">
        <f t="shared" si="207"/>
        <v>5</v>
      </c>
      <c r="AK708">
        <f t="shared" si="200"/>
        <v>5</v>
      </c>
      <c r="AL708">
        <f t="shared" si="208"/>
        <v>8</v>
      </c>
      <c r="AM708" t="str">
        <f t="shared" si="209"/>
        <v>August</v>
      </c>
      <c r="AN708">
        <f t="shared" si="210"/>
        <v>2023</v>
      </c>
      <c r="AO708" t="str">
        <f t="shared" si="211"/>
        <v>&gt;3</v>
      </c>
      <c r="AP708" t="str">
        <f t="shared" si="212"/>
        <v>&gt;3</v>
      </c>
      <c r="AQ708" t="str">
        <f t="shared" si="213"/>
        <v>&gt;3</v>
      </c>
    </row>
    <row r="709" spans="1:43" x14ac:dyDescent="0.3">
      <c r="A709" t="s">
        <v>33</v>
      </c>
      <c r="B709" t="s">
        <v>122</v>
      </c>
      <c r="C709" t="s">
        <v>352</v>
      </c>
      <c r="D709">
        <v>2379</v>
      </c>
      <c r="E709">
        <v>23310162</v>
      </c>
      <c r="F709" t="s">
        <v>565</v>
      </c>
      <c r="G709" t="s">
        <v>566</v>
      </c>
      <c r="H709">
        <v>200</v>
      </c>
      <c r="I709">
        <v>930</v>
      </c>
      <c r="J709">
        <v>186000</v>
      </c>
      <c r="K709" s="7" t="str">
        <f>IFERROR(IF(B709&lt;&gt;"", TEXT(VLOOKUP(B709, 'Expected Date'!A:B, 2, FALSE) + DATE(RIGHT(C709,2),MID(C709,4,2),LEFT(C709,2)), "dd/mm/yy"), ""), "")</f>
        <v>17/06/23</v>
      </c>
      <c r="L709" t="s">
        <v>38</v>
      </c>
      <c r="M709" t="s">
        <v>39</v>
      </c>
      <c r="N709" t="s">
        <v>318</v>
      </c>
      <c r="O709" t="s">
        <v>543</v>
      </c>
      <c r="P709">
        <v>23390366</v>
      </c>
      <c r="Q709" t="s">
        <v>565</v>
      </c>
      <c r="R709" t="s">
        <v>566</v>
      </c>
      <c r="S709">
        <v>25</v>
      </c>
      <c r="T709">
        <v>930</v>
      </c>
      <c r="U709">
        <v>23250</v>
      </c>
      <c r="V709" t="str">
        <f t="shared" si="196"/>
        <v>Jhagadia</v>
      </c>
      <c r="W709" t="str">
        <f>VLOOKUP(B709, Currency!A:B, 2, FALSE)</f>
        <v>INR</v>
      </c>
      <c r="X709" t="str">
        <f t="shared" si="197"/>
        <v>Accepted</v>
      </c>
      <c r="Y709">
        <f>IFERROR(VLOOKUP(N709, Payment_Terms!A:B, 2, FALSE), "Payment term not found!")</f>
        <v>30</v>
      </c>
      <c r="Z709" t="str">
        <f>IFERROR(VLOOKUP(R709, Item_Category!A:B, 2, FALSE), "Uncategorized")</f>
        <v>Pallets</v>
      </c>
      <c r="AA709" s="5">
        <f t="shared" si="201"/>
        <v>0</v>
      </c>
      <c r="AB709">
        <f t="shared" si="202"/>
        <v>5</v>
      </c>
      <c r="AC709" s="10">
        <f t="shared" si="203"/>
        <v>41</v>
      </c>
      <c r="AD709">
        <f t="shared" si="204"/>
        <v>1</v>
      </c>
      <c r="AE709" s="10">
        <f t="shared" si="205"/>
        <v>56</v>
      </c>
      <c r="AF709" s="5">
        <f t="shared" si="198"/>
        <v>1</v>
      </c>
      <c r="AG709" s="5">
        <f t="shared" si="199"/>
        <v>1</v>
      </c>
      <c r="AH709" s="5">
        <f t="shared" si="206"/>
        <v>0</v>
      </c>
      <c r="AI709">
        <f>IF(B709&lt;&gt;"", COUNTIFS($B$2:B709, B709), "")</f>
        <v>41</v>
      </c>
      <c r="AJ709">
        <f t="shared" si="207"/>
        <v>5</v>
      </c>
      <c r="AK709">
        <f t="shared" si="200"/>
        <v>4</v>
      </c>
      <c r="AL709">
        <f t="shared" si="208"/>
        <v>6</v>
      </c>
      <c r="AM709" t="str">
        <f t="shared" si="209"/>
        <v>June</v>
      </c>
      <c r="AN709">
        <f t="shared" si="210"/>
        <v>2023</v>
      </c>
      <c r="AO709" t="str">
        <f t="shared" si="211"/>
        <v>&gt;3</v>
      </c>
      <c r="AP709" t="str">
        <f t="shared" si="212"/>
        <v>&gt;3</v>
      </c>
      <c r="AQ709" t="str">
        <f t="shared" si="213"/>
        <v>&lt;=3</v>
      </c>
    </row>
    <row r="710" spans="1:43" x14ac:dyDescent="0.3">
      <c r="A710" t="s">
        <v>33</v>
      </c>
      <c r="B710" t="s">
        <v>366</v>
      </c>
      <c r="C710" t="s">
        <v>476</v>
      </c>
      <c r="D710">
        <v>3937</v>
      </c>
      <c r="E710">
        <v>23310313</v>
      </c>
      <c r="F710" t="s">
        <v>569</v>
      </c>
      <c r="G710" t="s">
        <v>570</v>
      </c>
      <c r="H710">
        <v>100</v>
      </c>
      <c r="I710">
        <v>9800</v>
      </c>
      <c r="J710">
        <v>980000</v>
      </c>
      <c r="K710" s="7" t="str">
        <f>IFERROR(IF(B710&lt;&gt;"", TEXT(VLOOKUP(B710, 'Expected Date'!A:B, 2, FALSE) + DATE(RIGHT(C710,2),MID(C710,4,2),LEFT(C710,2)), "dd/mm/yy"), ""), "")</f>
        <v>17/08/23</v>
      </c>
      <c r="L710" t="s">
        <v>38</v>
      </c>
      <c r="M710" t="s">
        <v>48</v>
      </c>
      <c r="N710" t="s">
        <v>532</v>
      </c>
      <c r="O710" t="s">
        <v>394</v>
      </c>
      <c r="P710">
        <v>23390459</v>
      </c>
      <c r="Q710" t="s">
        <v>569</v>
      </c>
      <c r="R710" t="s">
        <v>570</v>
      </c>
      <c r="S710">
        <v>28.6</v>
      </c>
      <c r="T710">
        <v>9800</v>
      </c>
      <c r="U710">
        <v>280280</v>
      </c>
      <c r="V710" t="str">
        <f t="shared" si="196"/>
        <v>Jhagadia</v>
      </c>
      <c r="W710" t="str">
        <f>VLOOKUP(B710, Currency!A:B, 2, FALSE)</f>
        <v>INR</v>
      </c>
      <c r="X710" t="str">
        <f t="shared" si="197"/>
        <v>Accepted</v>
      </c>
      <c r="Y710">
        <f>IFERROR(VLOOKUP(N710, Payment_Terms!A:B, 2, FALSE), "Payment term not found!")</f>
        <v>15</v>
      </c>
      <c r="Z710" t="str">
        <f>IFERROR(VLOOKUP(R710, Item_Category!A:B, 2, FALSE), "Uncategorized")</f>
        <v>Coal materials</v>
      </c>
      <c r="AA710" s="5">
        <f t="shared" si="201"/>
        <v>0</v>
      </c>
      <c r="AB710">
        <f t="shared" si="202"/>
        <v>5</v>
      </c>
      <c r="AC710" s="10">
        <f t="shared" si="203"/>
        <v>0</v>
      </c>
      <c r="AD710">
        <f t="shared" si="204"/>
        <v>5</v>
      </c>
      <c r="AE710" s="10">
        <f t="shared" si="205"/>
        <v>2</v>
      </c>
      <c r="AF710" s="5">
        <f t="shared" si="198"/>
        <v>1</v>
      </c>
      <c r="AG710" s="5">
        <f t="shared" si="199"/>
        <v>1</v>
      </c>
      <c r="AH710" s="5">
        <f t="shared" si="206"/>
        <v>0</v>
      </c>
      <c r="AI710">
        <f>IF(B710&lt;&gt;"", COUNTIFS($B$2:B710, B710), "")</f>
        <v>85</v>
      </c>
      <c r="AJ710">
        <f t="shared" si="207"/>
        <v>5</v>
      </c>
      <c r="AK710">
        <f t="shared" si="200"/>
        <v>5</v>
      </c>
      <c r="AL710">
        <f t="shared" si="208"/>
        <v>8</v>
      </c>
      <c r="AM710" t="str">
        <f t="shared" si="209"/>
        <v>August</v>
      </c>
      <c r="AN710">
        <f t="shared" si="210"/>
        <v>2023</v>
      </c>
      <c r="AO710" t="str">
        <f t="shared" si="211"/>
        <v>&gt;3</v>
      </c>
      <c r="AP710" t="str">
        <f t="shared" si="212"/>
        <v>&gt;3</v>
      </c>
      <c r="AQ710" t="str">
        <f t="shared" si="213"/>
        <v>&gt;3</v>
      </c>
    </row>
    <row r="711" spans="1:43" x14ac:dyDescent="0.3">
      <c r="A711" t="s">
        <v>33</v>
      </c>
      <c r="B711" t="s">
        <v>366</v>
      </c>
      <c r="C711" t="s">
        <v>476</v>
      </c>
      <c r="D711">
        <v>3937</v>
      </c>
      <c r="E711">
        <v>23310313</v>
      </c>
      <c r="F711" t="s">
        <v>569</v>
      </c>
      <c r="G711" t="s">
        <v>570</v>
      </c>
      <c r="H711">
        <v>100</v>
      </c>
      <c r="I711">
        <v>9800</v>
      </c>
      <c r="J711">
        <v>980000</v>
      </c>
      <c r="K711" s="7" t="str">
        <f>IFERROR(IF(B711&lt;&gt;"", TEXT(VLOOKUP(B711, 'Expected Date'!A:B, 2, FALSE) + DATE(RIGHT(C711,2),MID(C711,4,2),LEFT(C711,2)), "dd/mm/yy"), ""), "")</f>
        <v>17/08/23</v>
      </c>
      <c r="L711" t="s">
        <v>38</v>
      </c>
      <c r="M711" t="s">
        <v>48</v>
      </c>
      <c r="N711" t="s">
        <v>532</v>
      </c>
      <c r="O711" t="s">
        <v>501</v>
      </c>
      <c r="P711">
        <v>23390460</v>
      </c>
      <c r="Q711" t="s">
        <v>569</v>
      </c>
      <c r="R711" t="s">
        <v>570</v>
      </c>
      <c r="S711">
        <v>28.83</v>
      </c>
      <c r="T711">
        <v>9800</v>
      </c>
      <c r="U711">
        <v>282534</v>
      </c>
      <c r="V711" t="str">
        <f t="shared" si="196"/>
        <v>Jhagadia</v>
      </c>
      <c r="W711" t="str">
        <f>VLOOKUP(B711, Currency!A:B, 2, FALSE)</f>
        <v>INR</v>
      </c>
      <c r="X711" t="str">
        <f t="shared" si="197"/>
        <v>Accepted</v>
      </c>
      <c r="Y711">
        <f>IFERROR(VLOOKUP(N711, Payment_Terms!A:B, 2, FALSE), "Payment term not found!")</f>
        <v>15</v>
      </c>
      <c r="Z711" t="str">
        <f>IFERROR(VLOOKUP(R711, Item_Category!A:B, 2, FALSE), "Uncategorized")</f>
        <v>Coal materials</v>
      </c>
      <c r="AA711" s="5">
        <f t="shared" si="201"/>
        <v>0</v>
      </c>
      <c r="AB711">
        <f t="shared" si="202"/>
        <v>5</v>
      </c>
      <c r="AC711" s="10">
        <f t="shared" si="203"/>
        <v>3</v>
      </c>
      <c r="AD711">
        <f t="shared" si="204"/>
        <v>4</v>
      </c>
      <c r="AE711" s="10">
        <f t="shared" si="205"/>
        <v>5</v>
      </c>
      <c r="AF711" s="5">
        <f t="shared" si="198"/>
        <v>1</v>
      </c>
      <c r="AG711" s="5">
        <f t="shared" si="199"/>
        <v>1</v>
      </c>
      <c r="AH711" s="5">
        <f t="shared" si="206"/>
        <v>0</v>
      </c>
      <c r="AI711">
        <f>IF(B711&lt;&gt;"", COUNTIFS($B$2:B711, B711), "")</f>
        <v>86</v>
      </c>
      <c r="AJ711">
        <f t="shared" si="207"/>
        <v>5</v>
      </c>
      <c r="AK711">
        <f t="shared" si="200"/>
        <v>5</v>
      </c>
      <c r="AL711">
        <f t="shared" si="208"/>
        <v>8</v>
      </c>
      <c r="AM711" t="str">
        <f t="shared" si="209"/>
        <v>August</v>
      </c>
      <c r="AN711">
        <f t="shared" si="210"/>
        <v>2023</v>
      </c>
      <c r="AO711" t="str">
        <f t="shared" si="211"/>
        <v>&gt;3</v>
      </c>
      <c r="AP711" t="str">
        <f t="shared" si="212"/>
        <v>&gt;3</v>
      </c>
      <c r="AQ711" t="str">
        <f t="shared" si="213"/>
        <v>&gt;3</v>
      </c>
    </row>
    <row r="712" spans="1:43" x14ac:dyDescent="0.3">
      <c r="A712" t="str">
        <f>A706</f>
        <v>Woodpulp</v>
      </c>
      <c r="B712" t="s">
        <v>140</v>
      </c>
      <c r="C712" t="s">
        <v>90</v>
      </c>
      <c r="D712">
        <v>2878</v>
      </c>
      <c r="E712">
        <v>23320027</v>
      </c>
      <c r="F712" t="s">
        <v>571</v>
      </c>
      <c r="G712" t="s">
        <v>360</v>
      </c>
      <c r="H712">
        <v>50</v>
      </c>
      <c r="I712">
        <v>830</v>
      </c>
      <c r="J712">
        <v>3376025</v>
      </c>
      <c r="K712" s="7" t="str">
        <f>IFERROR(IF(B712&lt;&gt;"", TEXT(VLOOKUP(B712, 'Expected Date'!A:B, 2, FALSE) + DATE(RIGHT(C712,2),MID(C712,4,2),LEFT(C712,2)), "dd/mm/yy"), ""), "")</f>
        <v>20/08/23</v>
      </c>
      <c r="L712" t="s">
        <v>68</v>
      </c>
      <c r="M712" t="str">
        <f>M642</f>
        <v>MT</v>
      </c>
      <c r="N712" t="s">
        <v>144</v>
      </c>
      <c r="O712" t="s">
        <v>293</v>
      </c>
      <c r="P712">
        <v>23390462</v>
      </c>
      <c r="Q712" t="s">
        <v>571</v>
      </c>
      <c r="R712" t="s">
        <v>360</v>
      </c>
      <c r="S712">
        <v>49.354999999999997</v>
      </c>
      <c r="T712">
        <v>830</v>
      </c>
      <c r="U712">
        <v>3367294.23</v>
      </c>
      <c r="V712" t="str">
        <f t="shared" si="196"/>
        <v>Jhagadia</v>
      </c>
      <c r="W712" t="str">
        <f>VLOOKUP(B712, Currency!A:B, 2, FALSE)</f>
        <v>USD</v>
      </c>
      <c r="X712" t="str">
        <f t="shared" si="197"/>
        <v>Accepted</v>
      </c>
      <c r="Y712">
        <f>IFERROR(VLOOKUP(N712, Payment_Terms!A:B, 2, FALSE), "Payment term not found!")</f>
        <v>30</v>
      </c>
      <c r="Z712" t="str">
        <f>IFERROR(VLOOKUP(R712, Item_Category!A:B, 2, FALSE), "Uncategorized")</f>
        <v>Wood pulp</v>
      </c>
      <c r="AA712" s="5">
        <f t="shared" si="201"/>
        <v>1.2900000000000062E-2</v>
      </c>
      <c r="AB712">
        <f t="shared" si="202"/>
        <v>4</v>
      </c>
      <c r="AC712" s="10">
        <f t="shared" si="203"/>
        <v>2</v>
      </c>
      <c r="AD712">
        <f t="shared" si="204"/>
        <v>5</v>
      </c>
      <c r="AE712" s="10">
        <f t="shared" si="205"/>
        <v>47</v>
      </c>
      <c r="AF712" s="5">
        <f t="shared" si="198"/>
        <v>1</v>
      </c>
      <c r="AG712" s="5">
        <f t="shared" si="199"/>
        <v>1</v>
      </c>
      <c r="AH712" s="5">
        <f t="shared" si="206"/>
        <v>0</v>
      </c>
      <c r="AI712">
        <f>IF(B712&lt;&gt;"", COUNTIFS($B$2:B712, B712), "")</f>
        <v>35</v>
      </c>
      <c r="AJ712">
        <f t="shared" si="207"/>
        <v>5</v>
      </c>
      <c r="AK712">
        <f t="shared" si="200"/>
        <v>5</v>
      </c>
      <c r="AL712">
        <f t="shared" si="208"/>
        <v>7</v>
      </c>
      <c r="AM712" t="str">
        <f t="shared" si="209"/>
        <v>July</v>
      </c>
      <c r="AN712">
        <f t="shared" si="210"/>
        <v>2023</v>
      </c>
      <c r="AO712" t="str">
        <f t="shared" si="211"/>
        <v>&gt;3</v>
      </c>
      <c r="AP712" t="str">
        <f t="shared" si="212"/>
        <v>&gt;3</v>
      </c>
      <c r="AQ712" t="str">
        <f t="shared" si="213"/>
        <v>&gt;3</v>
      </c>
    </row>
    <row r="713" spans="1:43" x14ac:dyDescent="0.3">
      <c r="A713" t="str">
        <f>A712</f>
        <v>Woodpulp</v>
      </c>
      <c r="B713" t="s">
        <v>140</v>
      </c>
      <c r="C713" t="s">
        <v>90</v>
      </c>
      <c r="D713">
        <v>2879</v>
      </c>
      <c r="E713">
        <v>23320028</v>
      </c>
      <c r="F713" t="s">
        <v>571</v>
      </c>
      <c r="G713" t="s">
        <v>360</v>
      </c>
      <c r="H713">
        <v>50</v>
      </c>
      <c r="I713">
        <v>830</v>
      </c>
      <c r="J713">
        <v>3376025</v>
      </c>
      <c r="K713" s="7" t="str">
        <f>IFERROR(IF(B713&lt;&gt;"", TEXT(VLOOKUP(B713, 'Expected Date'!A:B, 2, FALSE) + DATE(RIGHT(C713,2),MID(C713,4,2),LEFT(C713,2)), "dd/mm/yy"), ""), "")</f>
        <v>20/08/23</v>
      </c>
      <c r="L713" t="s">
        <v>68</v>
      </c>
      <c r="M713" t="str">
        <f>M642</f>
        <v>MT</v>
      </c>
      <c r="N713" t="s">
        <v>144</v>
      </c>
      <c r="O713" t="s">
        <v>247</v>
      </c>
      <c r="P713">
        <v>23390642</v>
      </c>
      <c r="Q713" t="s">
        <v>571</v>
      </c>
      <c r="R713" t="s">
        <v>360</v>
      </c>
      <c r="S713">
        <v>49.14</v>
      </c>
      <c r="T713">
        <v>830</v>
      </c>
      <c r="U713">
        <v>3356704.26</v>
      </c>
      <c r="V713" t="str">
        <f t="shared" si="196"/>
        <v>Jhagadia</v>
      </c>
      <c r="W713" t="str">
        <f>VLOOKUP(B713, Currency!A:B, 2, FALSE)</f>
        <v>USD</v>
      </c>
      <c r="X713" t="str">
        <f t="shared" si="197"/>
        <v>Accepted</v>
      </c>
      <c r="Y713">
        <f>IFERROR(VLOOKUP(N713, Payment_Terms!A:B, 2, FALSE), "Payment term not found!")</f>
        <v>30</v>
      </c>
      <c r="Z713" t="str">
        <f>IFERROR(VLOOKUP(R713, Item_Category!A:B, 2, FALSE), "Uncategorized")</f>
        <v>Wood pulp</v>
      </c>
      <c r="AA713" s="5">
        <f t="shared" si="201"/>
        <v>1.719999999999999E-2</v>
      </c>
      <c r="AB713">
        <f t="shared" si="202"/>
        <v>4</v>
      </c>
      <c r="AC713" s="10">
        <f t="shared" si="203"/>
        <v>46</v>
      </c>
      <c r="AD713">
        <f t="shared" si="204"/>
        <v>1</v>
      </c>
      <c r="AE713" s="10">
        <f t="shared" si="205"/>
        <v>91</v>
      </c>
      <c r="AF713" s="5">
        <f t="shared" si="198"/>
        <v>1</v>
      </c>
      <c r="AG713" s="5">
        <f t="shared" si="199"/>
        <v>1</v>
      </c>
      <c r="AH713" s="5">
        <f t="shared" si="206"/>
        <v>0</v>
      </c>
      <c r="AI713">
        <f>IF(B713&lt;&gt;"", COUNTIFS($B$2:B713, B713), "")</f>
        <v>36</v>
      </c>
      <c r="AJ713">
        <f t="shared" si="207"/>
        <v>5</v>
      </c>
      <c r="AK713">
        <f t="shared" si="200"/>
        <v>4</v>
      </c>
      <c r="AL713">
        <f t="shared" si="208"/>
        <v>7</v>
      </c>
      <c r="AM713" t="str">
        <f t="shared" si="209"/>
        <v>July</v>
      </c>
      <c r="AN713">
        <f t="shared" si="210"/>
        <v>2023</v>
      </c>
      <c r="AO713" t="str">
        <f t="shared" si="211"/>
        <v>&gt;3</v>
      </c>
      <c r="AP713" t="str">
        <f t="shared" si="212"/>
        <v>&gt;3</v>
      </c>
      <c r="AQ713" t="str">
        <f t="shared" si="213"/>
        <v>&lt;=3</v>
      </c>
    </row>
    <row r="714" spans="1:43" x14ac:dyDescent="0.3">
      <c r="A714" t="s">
        <v>33</v>
      </c>
      <c r="B714" t="s">
        <v>386</v>
      </c>
      <c r="C714" t="s">
        <v>57</v>
      </c>
      <c r="D714">
        <v>3521</v>
      </c>
      <c r="E714">
        <v>23310273</v>
      </c>
      <c r="F714" t="s">
        <v>560</v>
      </c>
      <c r="G714" t="s">
        <v>561</v>
      </c>
      <c r="H714">
        <v>500</v>
      </c>
      <c r="I714">
        <v>19.5</v>
      </c>
      <c r="J714">
        <v>9750</v>
      </c>
      <c r="K714" s="7" t="str">
        <f>IFERROR(IF(B714&lt;&gt;"", TEXT(VLOOKUP(B714, 'Expected Date'!A:B, 2, FALSE) + DATE(RIGHT(C714,2),MID(C714,4,2),LEFT(C714,2)), "dd/mm/yy"), ""), "")</f>
        <v>08/08/23</v>
      </c>
      <c r="L714" t="s">
        <v>38</v>
      </c>
      <c r="M714" t="s">
        <v>39</v>
      </c>
      <c r="N714" t="s">
        <v>318</v>
      </c>
      <c r="O714" t="s">
        <v>487</v>
      </c>
      <c r="P714">
        <v>23390396</v>
      </c>
      <c r="Q714" t="s">
        <v>560</v>
      </c>
      <c r="R714" t="s">
        <v>561</v>
      </c>
      <c r="S714">
        <v>526</v>
      </c>
      <c r="T714">
        <v>19.5</v>
      </c>
      <c r="U714">
        <v>10257</v>
      </c>
      <c r="V714" t="str">
        <f t="shared" si="196"/>
        <v>Jhagadia</v>
      </c>
      <c r="W714" t="str">
        <f>VLOOKUP(B714, Currency!A:B, 2, FALSE)</f>
        <v>INR</v>
      </c>
      <c r="X714" t="str">
        <f t="shared" si="197"/>
        <v>Accepted</v>
      </c>
      <c r="Y714">
        <f>IFERROR(VLOOKUP(N714, Payment_Terms!A:B, 2, FALSE), "Payment term not found!")</f>
        <v>30</v>
      </c>
      <c r="Z714" t="str">
        <f>IFERROR(VLOOKUP(R714, Item_Category!A:B, 2, FALSE), "Uncategorized")</f>
        <v>HDPE bag glocel</v>
      </c>
      <c r="AA714" s="5">
        <f t="shared" si="201"/>
        <v>0</v>
      </c>
      <c r="AB714">
        <f t="shared" si="202"/>
        <v>5</v>
      </c>
      <c r="AC714" s="10">
        <f t="shared" si="203"/>
        <v>-2</v>
      </c>
      <c r="AD714">
        <f t="shared" si="204"/>
        <v>5</v>
      </c>
      <c r="AE714" s="10">
        <f t="shared" si="205"/>
        <v>3</v>
      </c>
      <c r="AF714" s="5">
        <f t="shared" si="198"/>
        <v>1</v>
      </c>
      <c r="AG714" s="5">
        <f t="shared" si="199"/>
        <v>1</v>
      </c>
      <c r="AH714" s="5">
        <f t="shared" si="206"/>
        <v>0</v>
      </c>
      <c r="AI714">
        <f>IF(B714&lt;&gt;"", COUNTIFS($B$2:B714, B714), "")</f>
        <v>36</v>
      </c>
      <c r="AJ714">
        <f t="shared" si="207"/>
        <v>5</v>
      </c>
      <c r="AK714">
        <f t="shared" si="200"/>
        <v>5</v>
      </c>
      <c r="AL714">
        <f t="shared" si="208"/>
        <v>8</v>
      </c>
      <c r="AM714" t="str">
        <f t="shared" si="209"/>
        <v>August</v>
      </c>
      <c r="AN714">
        <f t="shared" si="210"/>
        <v>2023</v>
      </c>
      <c r="AO714" t="str">
        <f t="shared" si="211"/>
        <v>&gt;3</v>
      </c>
      <c r="AP714" t="str">
        <f t="shared" si="212"/>
        <v>&gt;3</v>
      </c>
      <c r="AQ714" t="str">
        <f t="shared" si="213"/>
        <v>&gt;3</v>
      </c>
    </row>
    <row r="715" spans="1:43" x14ac:dyDescent="0.3">
      <c r="A715" t="s">
        <v>33</v>
      </c>
      <c r="B715" t="s">
        <v>122</v>
      </c>
      <c r="C715" t="s">
        <v>352</v>
      </c>
      <c r="D715">
        <v>2379</v>
      </c>
      <c r="E715">
        <v>23310162</v>
      </c>
      <c r="F715" t="s">
        <v>565</v>
      </c>
      <c r="G715" t="s">
        <v>566</v>
      </c>
      <c r="H715">
        <v>200</v>
      </c>
      <c r="I715">
        <v>930</v>
      </c>
      <c r="J715">
        <v>186000</v>
      </c>
      <c r="K715" s="7" t="str">
        <f>IFERROR(IF(B715&lt;&gt;"", TEXT(VLOOKUP(B715, 'Expected Date'!A:B, 2, FALSE) + DATE(RIGHT(C715,2),MID(C715,4,2),LEFT(C715,2)), "dd/mm/yy"), ""), "")</f>
        <v>17/06/23</v>
      </c>
      <c r="L715" t="s">
        <v>38</v>
      </c>
      <c r="M715" t="s">
        <v>39</v>
      </c>
      <c r="N715" t="s">
        <v>318</v>
      </c>
      <c r="O715" t="s">
        <v>202</v>
      </c>
      <c r="P715">
        <v>23390406</v>
      </c>
      <c r="Q715" t="s">
        <v>565</v>
      </c>
      <c r="R715" t="s">
        <v>566</v>
      </c>
      <c r="S715">
        <v>35</v>
      </c>
      <c r="T715">
        <v>930</v>
      </c>
      <c r="U715">
        <v>32550</v>
      </c>
      <c r="V715" t="str">
        <f t="shared" si="196"/>
        <v>Jhagadia</v>
      </c>
      <c r="W715" t="str">
        <f>VLOOKUP(B715, Currency!A:B, 2, FALSE)</f>
        <v>INR</v>
      </c>
      <c r="X715" t="str">
        <f t="shared" si="197"/>
        <v>Accepted</v>
      </c>
      <c r="Y715">
        <f>IFERROR(VLOOKUP(N715, Payment_Terms!A:B, 2, FALSE), "Payment term not found!")</f>
        <v>30</v>
      </c>
      <c r="Z715" t="str">
        <f>IFERROR(VLOOKUP(R715, Item_Category!A:B, 2, FALSE), "Uncategorized")</f>
        <v>Pallets</v>
      </c>
      <c r="AA715" s="5">
        <f t="shared" si="201"/>
        <v>0</v>
      </c>
      <c r="AB715">
        <f t="shared" si="202"/>
        <v>5</v>
      </c>
      <c r="AC715" s="10">
        <f t="shared" si="203"/>
        <v>53</v>
      </c>
      <c r="AD715">
        <f t="shared" si="204"/>
        <v>1</v>
      </c>
      <c r="AE715" s="10">
        <f t="shared" si="205"/>
        <v>68</v>
      </c>
      <c r="AF715" s="5">
        <f t="shared" si="198"/>
        <v>1</v>
      </c>
      <c r="AG715" s="5">
        <f t="shared" si="199"/>
        <v>1</v>
      </c>
      <c r="AH715" s="5">
        <f t="shared" si="206"/>
        <v>0</v>
      </c>
      <c r="AI715">
        <f>IF(B715&lt;&gt;"", COUNTIFS($B$2:B715, B715), "")</f>
        <v>42</v>
      </c>
      <c r="AJ715">
        <f t="shared" si="207"/>
        <v>5</v>
      </c>
      <c r="AK715">
        <f t="shared" si="200"/>
        <v>4</v>
      </c>
      <c r="AL715">
        <f t="shared" si="208"/>
        <v>6</v>
      </c>
      <c r="AM715" t="str">
        <f t="shared" si="209"/>
        <v>June</v>
      </c>
      <c r="AN715">
        <f t="shared" si="210"/>
        <v>2023</v>
      </c>
      <c r="AO715" t="str">
        <f t="shared" si="211"/>
        <v>&gt;3</v>
      </c>
      <c r="AP715" t="str">
        <f t="shared" si="212"/>
        <v>&gt;3</v>
      </c>
      <c r="AQ715" t="str">
        <f t="shared" si="213"/>
        <v>&lt;=3</v>
      </c>
    </row>
    <row r="716" spans="1:43" x14ac:dyDescent="0.3">
      <c r="A716" t="s">
        <v>33</v>
      </c>
      <c r="B716" t="s">
        <v>513</v>
      </c>
      <c r="C716" t="s">
        <v>172</v>
      </c>
      <c r="D716">
        <v>1186</v>
      </c>
      <c r="E716">
        <v>23310008</v>
      </c>
      <c r="F716" t="s">
        <v>563</v>
      </c>
      <c r="G716" t="s">
        <v>515</v>
      </c>
      <c r="H716">
        <v>2500</v>
      </c>
      <c r="I716">
        <v>26</v>
      </c>
      <c r="J716">
        <v>65000</v>
      </c>
      <c r="K716" s="7" t="str">
        <f>IFERROR(IF(B716&lt;&gt;"", TEXT(VLOOKUP(B716, 'Expected Date'!A:B, 2, FALSE) + DATE(RIGHT(C716,2),MID(C716,4,2),LEFT(C716,2)), "dd/mm/yy"), ""), "")</f>
        <v>08/04/23</v>
      </c>
      <c r="L716" t="s">
        <v>38</v>
      </c>
      <c r="M716" t="s">
        <v>48</v>
      </c>
      <c r="N716" t="s">
        <v>342</v>
      </c>
      <c r="O716" t="s">
        <v>378</v>
      </c>
      <c r="P716">
        <v>23390026</v>
      </c>
      <c r="Q716" t="s">
        <v>563</v>
      </c>
      <c r="R716" t="s">
        <v>515</v>
      </c>
      <c r="S716">
        <v>500</v>
      </c>
      <c r="T716">
        <v>26</v>
      </c>
      <c r="U716">
        <v>13000</v>
      </c>
      <c r="V716" t="str">
        <f t="shared" si="196"/>
        <v>Jhagadia</v>
      </c>
      <c r="W716" t="str">
        <f>VLOOKUP(B716, Currency!A:B, 2, FALSE)</f>
        <v>INR</v>
      </c>
      <c r="X716" t="str">
        <f t="shared" si="197"/>
        <v>Accepted</v>
      </c>
      <c r="Y716">
        <f>IFERROR(VLOOKUP(N716, Payment_Terms!A:B, 2, FALSE), "Payment term not found!")</f>
        <v>30</v>
      </c>
      <c r="Z716" t="str">
        <f>IFERROR(VLOOKUP(R716, Item_Category!A:B, 2, FALSE), "Uncategorized")</f>
        <v xml:space="preserve">Caustic Soda </v>
      </c>
      <c r="AA716" s="5">
        <f t="shared" si="201"/>
        <v>0</v>
      </c>
      <c r="AB716">
        <f t="shared" si="202"/>
        <v>5</v>
      </c>
      <c r="AC716" s="10">
        <f t="shared" si="203"/>
        <v>7</v>
      </c>
      <c r="AD716">
        <f t="shared" si="204"/>
        <v>3</v>
      </c>
      <c r="AE716" s="10">
        <f t="shared" si="205"/>
        <v>9</v>
      </c>
      <c r="AF716" s="5">
        <f t="shared" si="198"/>
        <v>1</v>
      </c>
      <c r="AG716" s="5">
        <f t="shared" si="199"/>
        <v>1</v>
      </c>
      <c r="AH716" s="5">
        <f t="shared" si="206"/>
        <v>0</v>
      </c>
      <c r="AI716">
        <f>IF(B716&lt;&gt;"", COUNTIFS($B$2:B716, B716), "")</f>
        <v>11</v>
      </c>
      <c r="AJ716">
        <f t="shared" si="207"/>
        <v>5</v>
      </c>
      <c r="AK716">
        <f t="shared" si="200"/>
        <v>5</v>
      </c>
      <c r="AL716">
        <f t="shared" si="208"/>
        <v>4</v>
      </c>
      <c r="AM716" t="str">
        <f t="shared" si="209"/>
        <v>April</v>
      </c>
      <c r="AN716">
        <f t="shared" si="210"/>
        <v>2023</v>
      </c>
      <c r="AO716" t="str">
        <f t="shared" si="211"/>
        <v>&gt;3</v>
      </c>
      <c r="AP716" t="str">
        <f t="shared" si="212"/>
        <v>&gt;3</v>
      </c>
      <c r="AQ716" t="str">
        <f t="shared" si="213"/>
        <v>&lt;=3</v>
      </c>
    </row>
    <row r="717" spans="1:43" x14ac:dyDescent="0.3">
      <c r="A717" t="s">
        <v>33</v>
      </c>
      <c r="B717" t="s">
        <v>592</v>
      </c>
      <c r="C717" t="s">
        <v>172</v>
      </c>
      <c r="D717">
        <v>1182</v>
      </c>
      <c r="E717">
        <v>23310005</v>
      </c>
      <c r="F717" t="s">
        <v>552</v>
      </c>
      <c r="G717" t="s">
        <v>373</v>
      </c>
      <c r="H717">
        <v>20</v>
      </c>
      <c r="I717">
        <v>250</v>
      </c>
      <c r="J717">
        <v>5000</v>
      </c>
      <c r="K717" s="7" t="str">
        <f>IFERROR(IF(B717&lt;&gt;"", TEXT(VLOOKUP(B717, 'Expected Date'!A:B, 2, FALSE) + DATE(RIGHT(C717,2),MID(C717,4,2),LEFT(C717,2)), "dd/mm/yy"), ""), "")</f>
        <v>16/04/23</v>
      </c>
      <c r="L717" t="s">
        <v>68</v>
      </c>
      <c r="M717" t="s">
        <v>48</v>
      </c>
      <c r="N717" t="s">
        <v>342</v>
      </c>
      <c r="O717" t="s">
        <v>374</v>
      </c>
      <c r="P717">
        <v>23390020</v>
      </c>
      <c r="Q717" t="s">
        <v>552</v>
      </c>
      <c r="R717" t="s">
        <v>373</v>
      </c>
      <c r="S717">
        <v>10.33</v>
      </c>
      <c r="T717">
        <v>250</v>
      </c>
      <c r="U717">
        <v>2582.5</v>
      </c>
      <c r="V717" t="str">
        <f t="shared" si="196"/>
        <v>Jhagadia</v>
      </c>
      <c r="W717" t="str">
        <f>VLOOKUP(B717, Currency!A:B, 2, FALSE)</f>
        <v>INR</v>
      </c>
      <c r="X717" t="str">
        <f t="shared" si="197"/>
        <v>Accepted</v>
      </c>
      <c r="Y717">
        <f>IFERROR(VLOOKUP(N717, Payment_Terms!A:B, 2, FALSE), "Payment term not found!")</f>
        <v>30</v>
      </c>
      <c r="Z717" t="str">
        <f>IFERROR(VLOOKUP(R717, Item_Category!A:B, 2, FALSE), "Uncategorized")</f>
        <v>HCL</v>
      </c>
      <c r="AA717" s="5">
        <f t="shared" si="201"/>
        <v>0.48349999999999999</v>
      </c>
      <c r="AB717">
        <f t="shared" si="202"/>
        <v>1</v>
      </c>
      <c r="AC717" s="10">
        <f t="shared" si="203"/>
        <v>-3</v>
      </c>
      <c r="AD717">
        <f t="shared" si="204"/>
        <v>5</v>
      </c>
      <c r="AE717" s="10">
        <f t="shared" si="205"/>
        <v>7</v>
      </c>
      <c r="AF717" s="5">
        <f t="shared" si="198"/>
        <v>1</v>
      </c>
      <c r="AG717" s="5">
        <f t="shared" si="199"/>
        <v>1</v>
      </c>
      <c r="AH717" s="5">
        <f t="shared" si="206"/>
        <v>0</v>
      </c>
      <c r="AI717">
        <f>IF(B717&lt;&gt;"", COUNTIFS($B$2:B717, B717), "")</f>
        <v>1</v>
      </c>
      <c r="AJ717">
        <f t="shared" si="207"/>
        <v>5</v>
      </c>
      <c r="AK717">
        <f t="shared" si="200"/>
        <v>4</v>
      </c>
      <c r="AL717">
        <f t="shared" si="208"/>
        <v>4</v>
      </c>
      <c r="AM717" t="str">
        <f t="shared" si="209"/>
        <v>April</v>
      </c>
      <c r="AN717">
        <f t="shared" si="210"/>
        <v>2023</v>
      </c>
      <c r="AO717" t="str">
        <f t="shared" si="211"/>
        <v>&gt;3</v>
      </c>
      <c r="AP717" t="str">
        <f t="shared" si="212"/>
        <v>&lt;=3</v>
      </c>
      <c r="AQ717" t="str">
        <f t="shared" si="213"/>
        <v>&gt;3</v>
      </c>
    </row>
    <row r="718" spans="1:43" x14ac:dyDescent="0.3">
      <c r="A718" t="s">
        <v>33</v>
      </c>
      <c r="B718" t="s">
        <v>436</v>
      </c>
      <c r="C718" t="s">
        <v>172</v>
      </c>
      <c r="D718">
        <v>1185</v>
      </c>
      <c r="E718">
        <v>23310007</v>
      </c>
      <c r="F718" t="s">
        <v>581</v>
      </c>
      <c r="G718" t="s">
        <v>582</v>
      </c>
      <c r="H718">
        <v>4000</v>
      </c>
      <c r="I718">
        <v>8</v>
      </c>
      <c r="J718">
        <v>32000</v>
      </c>
      <c r="K718" s="7" t="str">
        <f>IFERROR(IF(B718&lt;&gt;"", TEXT(VLOOKUP(B718, 'Expected Date'!A:B, 2, FALSE) + DATE(RIGHT(C718,2),MID(C718,4,2),LEFT(C718,2)), "dd/mm/yy"), ""), "")</f>
        <v>16/04/23</v>
      </c>
      <c r="L718" t="s">
        <v>38</v>
      </c>
      <c r="M718" t="s">
        <v>48</v>
      </c>
      <c r="N718" t="s">
        <v>318</v>
      </c>
      <c r="O718" t="s">
        <v>374</v>
      </c>
      <c r="P718">
        <v>23390022</v>
      </c>
      <c r="Q718" t="s">
        <v>581</v>
      </c>
      <c r="R718" t="s">
        <v>582</v>
      </c>
      <c r="S718">
        <v>1980</v>
      </c>
      <c r="T718">
        <v>8</v>
      </c>
      <c r="U718">
        <v>15840</v>
      </c>
      <c r="V718" t="str">
        <f t="shared" si="196"/>
        <v>Jhagadia</v>
      </c>
      <c r="W718" t="str">
        <f>VLOOKUP(B718, Currency!A:B, 2, FALSE)</f>
        <v>INR</v>
      </c>
      <c r="X718" t="str">
        <f t="shared" si="197"/>
        <v>Accepted</v>
      </c>
      <c r="Y718">
        <f>IFERROR(VLOOKUP(N718, Payment_Terms!A:B, 2, FALSE), "Payment term not found!")</f>
        <v>30</v>
      </c>
      <c r="Z718" t="str">
        <f>IFERROR(VLOOKUP(R718, Item_Category!A:B, 2, FALSE), "Uncategorized")</f>
        <v>Lime</v>
      </c>
      <c r="AA718" s="5">
        <f t="shared" si="201"/>
        <v>0</v>
      </c>
      <c r="AB718">
        <f t="shared" si="202"/>
        <v>5</v>
      </c>
      <c r="AC718" s="10">
        <f t="shared" si="203"/>
        <v>-3</v>
      </c>
      <c r="AD718">
        <f t="shared" si="204"/>
        <v>5</v>
      </c>
      <c r="AE718" s="10">
        <f t="shared" si="205"/>
        <v>7</v>
      </c>
      <c r="AF718" s="5">
        <f t="shared" si="198"/>
        <v>1</v>
      </c>
      <c r="AG718" s="5">
        <f t="shared" si="199"/>
        <v>1</v>
      </c>
      <c r="AH718" s="5">
        <f t="shared" si="206"/>
        <v>0</v>
      </c>
      <c r="AI718">
        <f>IF(B718&lt;&gt;"", COUNTIFS($B$2:B718, B718), "")</f>
        <v>7</v>
      </c>
      <c r="AJ718">
        <f t="shared" si="207"/>
        <v>5</v>
      </c>
      <c r="AK718">
        <f t="shared" si="200"/>
        <v>5</v>
      </c>
      <c r="AL718">
        <f t="shared" si="208"/>
        <v>4</v>
      </c>
      <c r="AM718" t="str">
        <f t="shared" si="209"/>
        <v>April</v>
      </c>
      <c r="AN718">
        <f t="shared" si="210"/>
        <v>2023</v>
      </c>
      <c r="AO718" t="str">
        <f t="shared" si="211"/>
        <v>&gt;3</v>
      </c>
      <c r="AP718" t="str">
        <f t="shared" si="212"/>
        <v>&gt;3</v>
      </c>
      <c r="AQ718" t="str">
        <f t="shared" si="213"/>
        <v>&gt;3</v>
      </c>
    </row>
    <row r="719" spans="1:43" x14ac:dyDescent="0.3">
      <c r="A719" t="str">
        <f>A653</f>
        <v>Woodpulp</v>
      </c>
      <c r="B719" t="s">
        <v>580</v>
      </c>
      <c r="C719" t="s">
        <v>108</v>
      </c>
      <c r="D719">
        <v>1805</v>
      </c>
      <c r="E719">
        <v>23320011</v>
      </c>
      <c r="F719" t="s">
        <v>575</v>
      </c>
      <c r="G719" t="s">
        <v>291</v>
      </c>
      <c r="H719">
        <v>100</v>
      </c>
      <c r="I719">
        <v>57426</v>
      </c>
      <c r="J719">
        <v>5742600</v>
      </c>
      <c r="K719" s="7" t="str">
        <f>IFERROR(IF(B719&lt;&gt;"", TEXT(VLOOKUP(B719, 'Expected Date'!A:B, 2, FALSE) + DATE(RIGHT(C719,2),MID(C719,4,2),LEFT(C719,2)), "dd/mm/yy"), ""), "")</f>
        <v>09/06/23</v>
      </c>
      <c r="L719" t="s">
        <v>38</v>
      </c>
      <c r="M719" t="str">
        <f>M642</f>
        <v>MT</v>
      </c>
      <c r="N719" t="s">
        <v>292</v>
      </c>
      <c r="O719" t="s">
        <v>108</v>
      </c>
      <c r="P719">
        <v>23390152</v>
      </c>
      <c r="Q719" t="s">
        <v>575</v>
      </c>
      <c r="R719" t="s">
        <v>291</v>
      </c>
      <c r="S719">
        <v>30.178000000000001</v>
      </c>
      <c r="T719">
        <v>57430</v>
      </c>
      <c r="U719">
        <v>1733122.54</v>
      </c>
      <c r="V719" t="str">
        <f t="shared" si="196"/>
        <v>Jhagadia</v>
      </c>
      <c r="W719" t="str">
        <f>VLOOKUP(B719, Currency!A:B, 2, FALSE)</f>
        <v>INR</v>
      </c>
      <c r="X719" t="str">
        <f t="shared" si="197"/>
        <v>Accepted</v>
      </c>
      <c r="Y719">
        <f>IFERROR(VLOOKUP(N719, Payment_Terms!A:B, 2, FALSE), "Payment term not found!")</f>
        <v>0</v>
      </c>
      <c r="Z719" t="str">
        <f>IFERROR(VLOOKUP(R719, Item_Category!A:B, 2, FALSE), "Uncategorized")</f>
        <v>Wood pulp</v>
      </c>
      <c r="AA719" s="5">
        <f t="shared" si="201"/>
        <v>0</v>
      </c>
      <c r="AB719">
        <f t="shared" si="202"/>
        <v>5</v>
      </c>
      <c r="AC719" s="10">
        <f t="shared" si="203"/>
        <v>-30</v>
      </c>
      <c r="AD719">
        <f t="shared" si="204"/>
        <v>5</v>
      </c>
      <c r="AE719" s="10">
        <f t="shared" si="205"/>
        <v>0</v>
      </c>
      <c r="AF719" s="5">
        <f t="shared" si="198"/>
        <v>1</v>
      </c>
      <c r="AG719" s="5">
        <f t="shared" si="199"/>
        <v>1</v>
      </c>
      <c r="AH719" s="5">
        <f t="shared" si="206"/>
        <v>0</v>
      </c>
      <c r="AI719">
        <f>IF(B719&lt;&gt;"", COUNTIFS($B$2:B719, B719), "")</f>
        <v>4</v>
      </c>
      <c r="AJ719">
        <f t="shared" si="207"/>
        <v>5</v>
      </c>
      <c r="AK719">
        <f t="shared" si="200"/>
        <v>5</v>
      </c>
      <c r="AL719">
        <f t="shared" si="208"/>
        <v>5</v>
      </c>
      <c r="AM719" t="str">
        <f t="shared" si="209"/>
        <v>May</v>
      </c>
      <c r="AN719">
        <f t="shared" si="210"/>
        <v>2023</v>
      </c>
      <c r="AO719" t="str">
        <f t="shared" si="211"/>
        <v>&gt;3</v>
      </c>
      <c r="AP719" t="str">
        <f t="shared" si="212"/>
        <v>&gt;3</v>
      </c>
      <c r="AQ719" t="str">
        <f t="shared" si="213"/>
        <v>&gt;3</v>
      </c>
    </row>
    <row r="720" spans="1:43" x14ac:dyDescent="0.3">
      <c r="A720" t="s">
        <v>33</v>
      </c>
      <c r="B720" t="s">
        <v>385</v>
      </c>
      <c r="C720" t="s">
        <v>70</v>
      </c>
      <c r="D720">
        <v>1525</v>
      </c>
      <c r="E720">
        <v>23310042</v>
      </c>
      <c r="F720" t="s">
        <v>552</v>
      </c>
      <c r="G720" t="s">
        <v>373</v>
      </c>
      <c r="H720">
        <v>50</v>
      </c>
      <c r="I720">
        <v>250</v>
      </c>
      <c r="J720">
        <v>12500</v>
      </c>
      <c r="K720" s="7" t="str">
        <f>IFERROR(IF(B720&lt;&gt;"", TEXT(VLOOKUP(B720, 'Expected Date'!A:B, 2, FALSE) + DATE(RIGHT(C720,2),MID(C720,4,2),LEFT(C720,2)), "dd/mm/yy"), ""), "")</f>
        <v>04/05/23</v>
      </c>
      <c r="L720" t="s">
        <v>68</v>
      </c>
      <c r="M720" t="s">
        <v>48</v>
      </c>
      <c r="N720" t="s">
        <v>342</v>
      </c>
      <c r="O720" t="s">
        <v>225</v>
      </c>
      <c r="P720">
        <v>23390154</v>
      </c>
      <c r="Q720" t="s">
        <v>552</v>
      </c>
      <c r="R720" t="s">
        <v>373</v>
      </c>
      <c r="S720">
        <v>11.2</v>
      </c>
      <c r="T720">
        <v>250</v>
      </c>
      <c r="U720">
        <v>2800</v>
      </c>
      <c r="V720" t="str">
        <f t="shared" si="196"/>
        <v>Jhagadia</v>
      </c>
      <c r="W720" t="str">
        <f>VLOOKUP(B720, Currency!A:B, 2, FALSE)</f>
        <v>INR</v>
      </c>
      <c r="X720" t="str">
        <f t="shared" si="197"/>
        <v>Accepted</v>
      </c>
      <c r="Y720">
        <f>IFERROR(VLOOKUP(N720, Payment_Terms!A:B, 2, FALSE), "Payment term not found!")</f>
        <v>30</v>
      </c>
      <c r="Z720" t="str">
        <f>IFERROR(VLOOKUP(R720, Item_Category!A:B, 2, FALSE), "Uncategorized")</f>
        <v>HCL</v>
      </c>
      <c r="AA720" s="5">
        <f t="shared" si="201"/>
        <v>0.32900000000000007</v>
      </c>
      <c r="AB720">
        <f t="shared" si="202"/>
        <v>1</v>
      </c>
      <c r="AC720" s="10">
        <f t="shared" si="203"/>
        <v>7</v>
      </c>
      <c r="AD720">
        <f t="shared" si="204"/>
        <v>3</v>
      </c>
      <c r="AE720" s="10">
        <f t="shared" si="205"/>
        <v>17</v>
      </c>
      <c r="AF720" s="5">
        <f t="shared" si="198"/>
        <v>1</v>
      </c>
      <c r="AG720" s="5">
        <f t="shared" si="199"/>
        <v>1</v>
      </c>
      <c r="AH720" s="5">
        <f t="shared" si="206"/>
        <v>0</v>
      </c>
      <c r="AI720">
        <f>IF(B720&lt;&gt;"", COUNTIFS($B$2:B720, B720), "")</f>
        <v>6</v>
      </c>
      <c r="AJ720">
        <f t="shared" si="207"/>
        <v>5</v>
      </c>
      <c r="AK720">
        <f t="shared" si="200"/>
        <v>4</v>
      </c>
      <c r="AL720">
        <f t="shared" si="208"/>
        <v>4</v>
      </c>
      <c r="AM720" t="str">
        <f t="shared" si="209"/>
        <v>April</v>
      </c>
      <c r="AN720">
        <f t="shared" si="210"/>
        <v>2023</v>
      </c>
      <c r="AO720" t="str">
        <f t="shared" si="211"/>
        <v>&gt;3</v>
      </c>
      <c r="AP720" t="str">
        <f t="shared" si="212"/>
        <v>&lt;=3</v>
      </c>
      <c r="AQ720" t="str">
        <f t="shared" si="213"/>
        <v>&lt;=3</v>
      </c>
    </row>
    <row r="721" spans="1:43" x14ac:dyDescent="0.3">
      <c r="A721" t="s">
        <v>33</v>
      </c>
      <c r="B721" t="s">
        <v>436</v>
      </c>
      <c r="C721" t="s">
        <v>172</v>
      </c>
      <c r="D721">
        <v>1185</v>
      </c>
      <c r="E721">
        <v>23310007</v>
      </c>
      <c r="F721" t="s">
        <v>581</v>
      </c>
      <c r="G721" t="s">
        <v>582</v>
      </c>
      <c r="H721">
        <v>4000</v>
      </c>
      <c r="I721">
        <v>8</v>
      </c>
      <c r="J721">
        <v>32000</v>
      </c>
      <c r="K721" s="7" t="str">
        <f>IFERROR(IF(B721&lt;&gt;"", TEXT(VLOOKUP(B721, 'Expected Date'!A:B, 2, FALSE) + DATE(RIGHT(C721,2),MID(C721,4,2),LEFT(C721,2)), "dd/mm/yy"), ""), "")</f>
        <v>16/04/23</v>
      </c>
      <c r="L721" t="s">
        <v>38</v>
      </c>
      <c r="M721" t="s">
        <v>48</v>
      </c>
      <c r="N721" t="s">
        <v>318</v>
      </c>
      <c r="O721" t="s">
        <v>179</v>
      </c>
      <c r="P721">
        <v>23390182</v>
      </c>
      <c r="Q721" t="s">
        <v>581</v>
      </c>
      <c r="R721" t="s">
        <v>582</v>
      </c>
      <c r="S721">
        <v>2630</v>
      </c>
      <c r="T721">
        <v>8</v>
      </c>
      <c r="U721">
        <v>21040</v>
      </c>
      <c r="V721" t="str">
        <f t="shared" si="196"/>
        <v>Jhagadia</v>
      </c>
      <c r="W721" t="str">
        <f>VLOOKUP(B721, Currency!A:B, 2, FALSE)</f>
        <v>INR</v>
      </c>
      <c r="X721" t="str">
        <f t="shared" si="197"/>
        <v>Accepted</v>
      </c>
      <c r="Y721">
        <f>IFERROR(VLOOKUP(N721, Payment_Terms!A:B, 2, FALSE), "Payment term not found!")</f>
        <v>30</v>
      </c>
      <c r="Z721" t="str">
        <f>IFERROR(VLOOKUP(R721, Item_Category!A:B, 2, FALSE), "Uncategorized")</f>
        <v>Lime</v>
      </c>
      <c r="AA721" s="5">
        <f t="shared" si="201"/>
        <v>0</v>
      </c>
      <c r="AB721">
        <f t="shared" si="202"/>
        <v>5</v>
      </c>
      <c r="AC721" s="10">
        <f t="shared" si="203"/>
        <v>37</v>
      </c>
      <c r="AD721">
        <f t="shared" si="204"/>
        <v>1</v>
      </c>
      <c r="AE721" s="10">
        <f t="shared" si="205"/>
        <v>47</v>
      </c>
      <c r="AF721" s="5">
        <f t="shared" si="198"/>
        <v>1</v>
      </c>
      <c r="AG721" s="5">
        <f t="shared" si="199"/>
        <v>1</v>
      </c>
      <c r="AH721" s="5">
        <f t="shared" si="206"/>
        <v>0</v>
      </c>
      <c r="AI721">
        <f>IF(B721&lt;&gt;"", COUNTIFS($B$2:B721, B721), "")</f>
        <v>8</v>
      </c>
      <c r="AJ721">
        <f t="shared" si="207"/>
        <v>5</v>
      </c>
      <c r="AK721">
        <f t="shared" si="200"/>
        <v>4</v>
      </c>
      <c r="AL721">
        <f t="shared" si="208"/>
        <v>4</v>
      </c>
      <c r="AM721" t="str">
        <f t="shared" si="209"/>
        <v>April</v>
      </c>
      <c r="AN721">
        <f t="shared" si="210"/>
        <v>2023</v>
      </c>
      <c r="AO721" t="str">
        <f t="shared" si="211"/>
        <v>&gt;3</v>
      </c>
      <c r="AP721" t="str">
        <f t="shared" si="212"/>
        <v>&gt;3</v>
      </c>
      <c r="AQ721" t="str">
        <f t="shared" si="213"/>
        <v>&lt;=3</v>
      </c>
    </row>
    <row r="722" spans="1:43" x14ac:dyDescent="0.3">
      <c r="A722" t="s">
        <v>95</v>
      </c>
      <c r="B722" t="s">
        <v>242</v>
      </c>
      <c r="C722" t="s">
        <v>161</v>
      </c>
      <c r="D722">
        <v>2280</v>
      </c>
      <c r="E722">
        <v>23320013</v>
      </c>
      <c r="F722" t="s">
        <v>593</v>
      </c>
      <c r="G722" t="s">
        <v>244</v>
      </c>
      <c r="H722">
        <v>55</v>
      </c>
      <c r="I722">
        <v>780</v>
      </c>
      <c r="J722">
        <v>3498495</v>
      </c>
      <c r="K722" s="7" t="str">
        <f>IFERROR(IF(B722&lt;&gt;"", TEXT(VLOOKUP(B722, 'Expected Date'!A:B, 2, FALSE) + DATE(RIGHT(C722,2),MID(C722,4,2),LEFT(C722,2)), "dd/mm/yy"), ""), "")</f>
        <v>02/08/23</v>
      </c>
      <c r="L722" t="s">
        <v>38</v>
      </c>
      <c r="M722" t="str">
        <f>M642</f>
        <v>MT</v>
      </c>
      <c r="N722" t="s">
        <v>245</v>
      </c>
      <c r="O722" t="s">
        <v>116</v>
      </c>
      <c r="P722">
        <v>23390342</v>
      </c>
      <c r="Q722" t="s">
        <v>593</v>
      </c>
      <c r="R722" t="s">
        <v>244</v>
      </c>
      <c r="S722">
        <v>56.277999999999999</v>
      </c>
      <c r="T722">
        <v>780</v>
      </c>
      <c r="U722">
        <v>3579787.3</v>
      </c>
      <c r="V722" t="str">
        <f t="shared" si="196"/>
        <v>Jhagadia</v>
      </c>
      <c r="W722" t="str">
        <f>VLOOKUP(B722, Currency!A:B, 2, FALSE)</f>
        <v>USD</v>
      </c>
      <c r="X722" t="str">
        <f t="shared" si="197"/>
        <v>Accepted</v>
      </c>
      <c r="Y722">
        <f>IFERROR(VLOOKUP(N722, Payment_Terms!A:B, 2, FALSE), "Payment term not found!")</f>
        <v>0</v>
      </c>
      <c r="Z722" t="str">
        <f>IFERROR(VLOOKUP(R722, Item_Category!A:B, 2, FALSE), "Uncategorized")</f>
        <v>Wood pulp</v>
      </c>
      <c r="AA722" s="5">
        <f t="shared" si="201"/>
        <v>0</v>
      </c>
      <c r="AB722">
        <f t="shared" si="202"/>
        <v>5</v>
      </c>
      <c r="AC722" s="10">
        <f t="shared" si="203"/>
        <v>-15</v>
      </c>
      <c r="AD722">
        <f t="shared" si="204"/>
        <v>5</v>
      </c>
      <c r="AE722" s="10">
        <f t="shared" si="205"/>
        <v>45</v>
      </c>
      <c r="AF722" s="5">
        <f t="shared" si="198"/>
        <v>1</v>
      </c>
      <c r="AG722" s="5">
        <f t="shared" si="199"/>
        <v>1</v>
      </c>
      <c r="AH722" s="5">
        <f t="shared" si="206"/>
        <v>0</v>
      </c>
      <c r="AI722">
        <f>IF(B722&lt;&gt;"", COUNTIFS($B$2:B722, B722), "")</f>
        <v>2</v>
      </c>
      <c r="AJ722">
        <f t="shared" si="207"/>
        <v>5</v>
      </c>
      <c r="AK722">
        <f t="shared" si="200"/>
        <v>5</v>
      </c>
      <c r="AL722">
        <f t="shared" si="208"/>
        <v>6</v>
      </c>
      <c r="AM722" t="str">
        <f t="shared" si="209"/>
        <v>June</v>
      </c>
      <c r="AN722">
        <f t="shared" si="210"/>
        <v>2023</v>
      </c>
      <c r="AO722" t="str">
        <f t="shared" si="211"/>
        <v>&gt;3</v>
      </c>
      <c r="AP722" t="str">
        <f t="shared" si="212"/>
        <v>&gt;3</v>
      </c>
      <c r="AQ722" t="str">
        <f t="shared" si="213"/>
        <v>&gt;3</v>
      </c>
    </row>
    <row r="723" spans="1:43" x14ac:dyDescent="0.3">
      <c r="A723" t="s">
        <v>33</v>
      </c>
      <c r="B723" t="s">
        <v>122</v>
      </c>
      <c r="C723" t="s">
        <v>131</v>
      </c>
      <c r="D723">
        <v>3266</v>
      </c>
      <c r="E723">
        <v>23310256</v>
      </c>
      <c r="F723" t="s">
        <v>565</v>
      </c>
      <c r="G723" t="s">
        <v>566</v>
      </c>
      <c r="H723">
        <v>100</v>
      </c>
      <c r="I723">
        <v>930</v>
      </c>
      <c r="J723">
        <v>93000</v>
      </c>
      <c r="K723" s="7" t="str">
        <f>IFERROR(IF(B723&lt;&gt;"", TEXT(VLOOKUP(B723, 'Expected Date'!A:B, 2, FALSE) + DATE(RIGHT(C723,2),MID(C723,4,2),LEFT(C723,2)), "dd/mm/yy"), ""), "")</f>
        <v>08/08/23</v>
      </c>
      <c r="L723" t="s">
        <v>38</v>
      </c>
      <c r="M723" t="s">
        <v>39</v>
      </c>
      <c r="N723" t="s">
        <v>318</v>
      </c>
      <c r="O723" t="s">
        <v>202</v>
      </c>
      <c r="P723">
        <v>23390406</v>
      </c>
      <c r="Q723" t="s">
        <v>565</v>
      </c>
      <c r="R723" t="s">
        <v>566</v>
      </c>
      <c r="S723">
        <v>15</v>
      </c>
      <c r="T723">
        <v>930</v>
      </c>
      <c r="U723">
        <v>13950</v>
      </c>
      <c r="V723" t="str">
        <f t="shared" si="196"/>
        <v>Jhagadia</v>
      </c>
      <c r="W723" t="str">
        <f>VLOOKUP(B723, Currency!A:B, 2, FALSE)</f>
        <v>INR</v>
      </c>
      <c r="X723" t="str">
        <f t="shared" si="197"/>
        <v>Accepted</v>
      </c>
      <c r="Y723">
        <f>IFERROR(VLOOKUP(N723, Payment_Terms!A:B, 2, FALSE), "Payment term not found!")</f>
        <v>30</v>
      </c>
      <c r="Z723" t="str">
        <f>IFERROR(VLOOKUP(R723, Item_Category!A:B, 2, FALSE), "Uncategorized")</f>
        <v>Pallets</v>
      </c>
      <c r="AA723" s="5">
        <f t="shared" si="201"/>
        <v>0</v>
      </c>
      <c r="AB723">
        <f t="shared" si="202"/>
        <v>5</v>
      </c>
      <c r="AC723" s="10">
        <f t="shared" si="203"/>
        <v>1</v>
      </c>
      <c r="AD723">
        <f t="shared" si="204"/>
        <v>5</v>
      </c>
      <c r="AE723" s="10">
        <f t="shared" si="205"/>
        <v>16</v>
      </c>
      <c r="AF723" s="5">
        <f t="shared" si="198"/>
        <v>1</v>
      </c>
      <c r="AG723" s="5">
        <f t="shared" si="199"/>
        <v>1</v>
      </c>
      <c r="AH723" s="5">
        <f t="shared" si="206"/>
        <v>0</v>
      </c>
      <c r="AI723">
        <f>IF(B723&lt;&gt;"", COUNTIFS($B$2:B723, B723), "")</f>
        <v>43</v>
      </c>
      <c r="AJ723">
        <f t="shared" si="207"/>
        <v>5</v>
      </c>
      <c r="AK723">
        <f t="shared" si="200"/>
        <v>5</v>
      </c>
      <c r="AL723">
        <f t="shared" si="208"/>
        <v>7</v>
      </c>
      <c r="AM723" t="str">
        <f t="shared" si="209"/>
        <v>July</v>
      </c>
      <c r="AN723">
        <f t="shared" si="210"/>
        <v>2023</v>
      </c>
      <c r="AO723" t="str">
        <f t="shared" si="211"/>
        <v>&gt;3</v>
      </c>
      <c r="AP723" t="str">
        <f t="shared" si="212"/>
        <v>&gt;3</v>
      </c>
      <c r="AQ723" t="str">
        <f t="shared" si="213"/>
        <v>&gt;3</v>
      </c>
    </row>
    <row r="724" spans="1:43" x14ac:dyDescent="0.3">
      <c r="A724" t="s">
        <v>33</v>
      </c>
      <c r="B724" t="s">
        <v>157</v>
      </c>
      <c r="C724" t="s">
        <v>414</v>
      </c>
      <c r="D724">
        <v>2249</v>
      </c>
      <c r="E724">
        <v>23310148</v>
      </c>
      <c r="F724" t="s">
        <v>583</v>
      </c>
      <c r="G724" t="s">
        <v>159</v>
      </c>
      <c r="H724">
        <v>300</v>
      </c>
      <c r="I724">
        <v>270</v>
      </c>
      <c r="J724">
        <v>81000</v>
      </c>
      <c r="K724" s="7" t="str">
        <f>IFERROR(IF(B724&lt;&gt;"", TEXT(VLOOKUP(B724, 'Expected Date'!A:B, 2, FALSE) + DATE(RIGHT(C724,2),MID(C724,4,2),LEFT(C724,2)), "dd/mm/yy"), ""), "")</f>
        <v>11/06/23</v>
      </c>
      <c r="L724" t="s">
        <v>38</v>
      </c>
      <c r="M724" t="s">
        <v>48</v>
      </c>
      <c r="N724" t="s">
        <v>584</v>
      </c>
      <c r="O724" t="s">
        <v>133</v>
      </c>
      <c r="P724">
        <v>23390228</v>
      </c>
      <c r="Q724" t="s">
        <v>583</v>
      </c>
      <c r="R724" t="s">
        <v>159</v>
      </c>
      <c r="S724">
        <v>300</v>
      </c>
      <c r="T724">
        <v>270</v>
      </c>
      <c r="U724">
        <v>81000</v>
      </c>
      <c r="V724" t="str">
        <f t="shared" si="196"/>
        <v>Jhagadia</v>
      </c>
      <c r="W724" t="str">
        <f>VLOOKUP(B724, Currency!A:B, 2, FALSE)</f>
        <v>INR</v>
      </c>
      <c r="X724" t="str">
        <f t="shared" si="197"/>
        <v>Accepted</v>
      </c>
      <c r="Y724">
        <f>IFERROR(VLOOKUP(N724, Payment_Terms!A:B, 2, FALSE), "Payment term not found!")</f>
        <v>0</v>
      </c>
      <c r="Z724" t="str">
        <f>IFERROR(VLOOKUP(R724, Item_Category!A:B, 2, FALSE), "Uncategorized")</f>
        <v>Sodium salts</v>
      </c>
      <c r="AA724" s="5">
        <f t="shared" si="201"/>
        <v>0</v>
      </c>
      <c r="AB724">
        <f t="shared" si="202"/>
        <v>5</v>
      </c>
      <c r="AC724" s="10">
        <f t="shared" si="203"/>
        <v>-5</v>
      </c>
      <c r="AD724">
        <f t="shared" si="204"/>
        <v>5</v>
      </c>
      <c r="AE724" s="10">
        <f t="shared" si="205"/>
        <v>5</v>
      </c>
      <c r="AF724" s="5">
        <f t="shared" si="198"/>
        <v>1</v>
      </c>
      <c r="AG724" s="5">
        <f t="shared" si="199"/>
        <v>1</v>
      </c>
      <c r="AH724" s="5">
        <f t="shared" si="206"/>
        <v>0</v>
      </c>
      <c r="AI724">
        <f>IF(B724&lt;&gt;"", COUNTIFS($B$2:B724, B724), "")</f>
        <v>11</v>
      </c>
      <c r="AJ724">
        <f t="shared" si="207"/>
        <v>5</v>
      </c>
      <c r="AK724">
        <f t="shared" si="200"/>
        <v>5</v>
      </c>
      <c r="AL724">
        <f t="shared" si="208"/>
        <v>6</v>
      </c>
      <c r="AM724" t="str">
        <f t="shared" si="209"/>
        <v>June</v>
      </c>
      <c r="AN724">
        <f t="shared" si="210"/>
        <v>2023</v>
      </c>
      <c r="AO724" t="str">
        <f t="shared" si="211"/>
        <v>&gt;3</v>
      </c>
      <c r="AP724" t="str">
        <f t="shared" si="212"/>
        <v>&gt;3</v>
      </c>
      <c r="AQ724" t="str">
        <f t="shared" si="213"/>
        <v>&gt;3</v>
      </c>
    </row>
    <row r="725" spans="1:43" x14ac:dyDescent="0.3">
      <c r="A725" t="s">
        <v>33</v>
      </c>
      <c r="B725" t="s">
        <v>513</v>
      </c>
      <c r="C725" t="s">
        <v>414</v>
      </c>
      <c r="D725">
        <v>2295</v>
      </c>
      <c r="E725">
        <v>23310157</v>
      </c>
      <c r="F725" t="s">
        <v>563</v>
      </c>
      <c r="G725" t="s">
        <v>515</v>
      </c>
      <c r="H725">
        <v>2500</v>
      </c>
      <c r="I725">
        <v>26</v>
      </c>
      <c r="J725">
        <v>65000</v>
      </c>
      <c r="K725" s="7" t="str">
        <f>IFERROR(IF(B725&lt;&gt;"", TEXT(VLOOKUP(B725, 'Expected Date'!A:B, 2, FALSE) + DATE(RIGHT(C725,2),MID(C725,4,2),LEFT(C725,2)), "dd/mm/yy"), ""), "")</f>
        <v>03/06/23</v>
      </c>
      <c r="L725" t="s">
        <v>38</v>
      </c>
      <c r="M725" t="s">
        <v>48</v>
      </c>
      <c r="N725" t="s">
        <v>342</v>
      </c>
      <c r="O725" t="s">
        <v>231</v>
      </c>
      <c r="P725">
        <v>23390231</v>
      </c>
      <c r="Q725" t="s">
        <v>563</v>
      </c>
      <c r="R725" t="s">
        <v>515</v>
      </c>
      <c r="S725">
        <v>1000</v>
      </c>
      <c r="T725">
        <v>26</v>
      </c>
      <c r="U725">
        <v>26000</v>
      </c>
      <c r="V725" t="str">
        <f t="shared" si="196"/>
        <v>Jhagadia</v>
      </c>
      <c r="W725" t="str">
        <f>VLOOKUP(B725, Currency!A:B, 2, FALSE)</f>
        <v>INR</v>
      </c>
      <c r="X725" t="str">
        <f t="shared" si="197"/>
        <v>Accepted</v>
      </c>
      <c r="Y725">
        <f>IFERROR(VLOOKUP(N725, Payment_Terms!A:B, 2, FALSE), "Payment term not found!")</f>
        <v>30</v>
      </c>
      <c r="Z725" t="str">
        <f>IFERROR(VLOOKUP(R725, Item_Category!A:B, 2, FALSE), "Uncategorized")</f>
        <v xml:space="preserve">Caustic Soda </v>
      </c>
      <c r="AA725" s="5">
        <f t="shared" si="201"/>
        <v>0</v>
      </c>
      <c r="AB725">
        <f t="shared" si="202"/>
        <v>5</v>
      </c>
      <c r="AC725" s="10">
        <f t="shared" si="203"/>
        <v>6</v>
      </c>
      <c r="AD725">
        <f t="shared" si="204"/>
        <v>3</v>
      </c>
      <c r="AE725" s="10">
        <f t="shared" si="205"/>
        <v>8</v>
      </c>
      <c r="AF725" s="5">
        <f t="shared" si="198"/>
        <v>1</v>
      </c>
      <c r="AG725" s="5">
        <f t="shared" si="199"/>
        <v>1</v>
      </c>
      <c r="AH725" s="5">
        <f t="shared" si="206"/>
        <v>0</v>
      </c>
      <c r="AI725">
        <f>IF(B725&lt;&gt;"", COUNTIFS($B$2:B725, B725), "")</f>
        <v>12</v>
      </c>
      <c r="AJ725">
        <f t="shared" si="207"/>
        <v>5</v>
      </c>
      <c r="AK725">
        <f t="shared" si="200"/>
        <v>5</v>
      </c>
      <c r="AL725">
        <f t="shared" si="208"/>
        <v>6</v>
      </c>
      <c r="AM725" t="str">
        <f t="shared" si="209"/>
        <v>June</v>
      </c>
      <c r="AN725">
        <f t="shared" si="210"/>
        <v>2023</v>
      </c>
      <c r="AO725" t="str">
        <f t="shared" si="211"/>
        <v>&gt;3</v>
      </c>
      <c r="AP725" t="str">
        <f t="shared" si="212"/>
        <v>&gt;3</v>
      </c>
      <c r="AQ725" t="str">
        <f t="shared" si="213"/>
        <v>&lt;=3</v>
      </c>
    </row>
    <row r="726" spans="1:43" x14ac:dyDescent="0.3">
      <c r="A726" t="s">
        <v>33</v>
      </c>
      <c r="B726" t="str">
        <f>B707</f>
        <v>Ami Enterprises</v>
      </c>
      <c r="C726" t="s">
        <v>394</v>
      </c>
      <c r="D726">
        <v>3946</v>
      </c>
      <c r="E726">
        <v>23310315</v>
      </c>
      <c r="F726" t="s">
        <v>594</v>
      </c>
      <c r="G726" t="s">
        <v>595</v>
      </c>
      <c r="H726">
        <v>600</v>
      </c>
      <c r="I726">
        <v>33.5</v>
      </c>
      <c r="J726">
        <v>20100</v>
      </c>
      <c r="K726" s="7" t="str">
        <f>IFERROR(IF(B726&lt;&gt;"", TEXT(VLOOKUP(B726, 'Expected Date'!A:B, 2, FALSE) + DATE(RIGHT(C726,2),MID(C726,4,2),LEFT(C726,2)), "dd/mm/yy"), ""), "")</f>
        <v>27/08/23</v>
      </c>
      <c r="L726" t="s">
        <v>68</v>
      </c>
      <c r="M726" t="s">
        <v>39</v>
      </c>
      <c r="N726" t="s">
        <v>318</v>
      </c>
      <c r="O726" t="s">
        <v>501</v>
      </c>
      <c r="P726">
        <v>23390463</v>
      </c>
      <c r="Q726" t="s">
        <v>594</v>
      </c>
      <c r="R726" t="s">
        <v>595</v>
      </c>
      <c r="S726">
        <v>507</v>
      </c>
      <c r="T726">
        <v>33.5</v>
      </c>
      <c r="U726">
        <v>16984.5</v>
      </c>
      <c r="V726" t="str">
        <f t="shared" si="196"/>
        <v>Jhagadia</v>
      </c>
      <c r="W726" t="str">
        <f>VLOOKUP(B726, Currency!A:B, 2, FALSE)</f>
        <v>INR</v>
      </c>
      <c r="X726" t="str">
        <f t="shared" si="197"/>
        <v>Accepted</v>
      </c>
      <c r="Y726">
        <f>IFERROR(VLOOKUP(N726, Payment_Terms!A:B, 2, FALSE), "Payment term not found!")</f>
        <v>30</v>
      </c>
      <c r="Z726" t="str">
        <f>IFERROR(VLOOKUP(R726, Item_Category!A:B, 2, FALSE), "Uncategorized")</f>
        <v>Bags</v>
      </c>
      <c r="AA726" s="5">
        <f t="shared" si="201"/>
        <v>0</v>
      </c>
      <c r="AB726">
        <f t="shared" si="202"/>
        <v>5</v>
      </c>
      <c r="AC726" s="10">
        <f t="shared" si="203"/>
        <v>-7</v>
      </c>
      <c r="AD726">
        <f t="shared" si="204"/>
        <v>5</v>
      </c>
      <c r="AE726" s="10">
        <f t="shared" si="205"/>
        <v>3</v>
      </c>
      <c r="AF726" s="5">
        <f t="shared" si="198"/>
        <v>1</v>
      </c>
      <c r="AG726" s="5">
        <f t="shared" si="199"/>
        <v>1</v>
      </c>
      <c r="AH726" s="5">
        <f t="shared" si="206"/>
        <v>0</v>
      </c>
      <c r="AI726">
        <f>IF(B726&lt;&gt;"", COUNTIFS($B$2:B726, B726), "")</f>
        <v>51</v>
      </c>
      <c r="AJ726">
        <f t="shared" si="207"/>
        <v>5</v>
      </c>
      <c r="AK726">
        <f t="shared" si="200"/>
        <v>5</v>
      </c>
      <c r="AL726">
        <f t="shared" si="208"/>
        <v>8</v>
      </c>
      <c r="AM726" t="str">
        <f t="shared" si="209"/>
        <v>August</v>
      </c>
      <c r="AN726">
        <f t="shared" si="210"/>
        <v>2023</v>
      </c>
      <c r="AO726" t="str">
        <f t="shared" si="211"/>
        <v>&gt;3</v>
      </c>
      <c r="AP726" t="str">
        <f t="shared" si="212"/>
        <v>&gt;3</v>
      </c>
      <c r="AQ726" t="str">
        <f t="shared" si="213"/>
        <v>&gt;3</v>
      </c>
    </row>
    <row r="727" spans="1:43" x14ac:dyDescent="0.3">
      <c r="A727" t="s">
        <v>33</v>
      </c>
      <c r="B727" t="s">
        <v>557</v>
      </c>
      <c r="C727" t="s">
        <v>562</v>
      </c>
      <c r="D727">
        <v>1637</v>
      </c>
      <c r="E727">
        <v>23310059</v>
      </c>
      <c r="F727" t="s">
        <v>558</v>
      </c>
      <c r="G727" t="s">
        <v>384</v>
      </c>
      <c r="H727">
        <v>400</v>
      </c>
      <c r="I727">
        <v>99</v>
      </c>
      <c r="J727">
        <v>39600</v>
      </c>
      <c r="K727" s="7" t="str">
        <f>IFERROR(IF(B727&lt;&gt;"", TEXT(VLOOKUP(B727, 'Expected Date'!A:B, 2, FALSE) + DATE(RIGHT(C727,2),MID(C727,4,2),LEFT(C727,2)), "dd/mm/yy"), ""), "")</f>
        <v>10/05/23</v>
      </c>
      <c r="L727" t="s">
        <v>38</v>
      </c>
      <c r="M727" t="s">
        <v>48</v>
      </c>
      <c r="N727" t="s">
        <v>364</v>
      </c>
      <c r="O727" t="s">
        <v>169</v>
      </c>
      <c r="P727">
        <v>23390189</v>
      </c>
      <c r="Q727" t="s">
        <v>558</v>
      </c>
      <c r="R727" t="s">
        <v>384</v>
      </c>
      <c r="S727">
        <v>100</v>
      </c>
      <c r="T727">
        <v>99</v>
      </c>
      <c r="U727">
        <v>9900</v>
      </c>
      <c r="V727" t="str">
        <f t="shared" si="196"/>
        <v>Jhagadia</v>
      </c>
      <c r="W727" t="str">
        <f>VLOOKUP(B727, Currency!A:B, 2, FALSE)</f>
        <v>INR</v>
      </c>
      <c r="X727" t="str">
        <f t="shared" si="197"/>
        <v>Accepted</v>
      </c>
      <c r="Y727">
        <f>IFERROR(VLOOKUP(N727, Payment_Terms!A:B, 2, FALSE), "Payment term not found!")</f>
        <v>30</v>
      </c>
      <c r="Z727" t="str">
        <f>IFERROR(VLOOKUP(R727, Item_Category!A:B, 2, FALSE), "Uncategorized")</f>
        <v>Gas</v>
      </c>
      <c r="AA727" s="5">
        <f t="shared" si="201"/>
        <v>0</v>
      </c>
      <c r="AB727">
        <f t="shared" si="202"/>
        <v>5</v>
      </c>
      <c r="AC727" s="10">
        <f t="shared" si="203"/>
        <v>15</v>
      </c>
      <c r="AD727">
        <f t="shared" si="204"/>
        <v>1</v>
      </c>
      <c r="AE727" s="10">
        <f t="shared" si="205"/>
        <v>25</v>
      </c>
      <c r="AF727" s="5">
        <f t="shared" si="198"/>
        <v>1</v>
      </c>
      <c r="AG727" s="5">
        <f t="shared" si="199"/>
        <v>1</v>
      </c>
      <c r="AH727" s="5">
        <f t="shared" si="206"/>
        <v>0</v>
      </c>
      <c r="AI727">
        <f>IF(B727&lt;&gt;"", COUNTIFS($B$2:B727, B727), "")</f>
        <v>12</v>
      </c>
      <c r="AJ727">
        <f t="shared" si="207"/>
        <v>5</v>
      </c>
      <c r="AK727">
        <f t="shared" si="200"/>
        <v>4</v>
      </c>
      <c r="AL727">
        <f t="shared" si="208"/>
        <v>4</v>
      </c>
      <c r="AM727" t="str">
        <f t="shared" si="209"/>
        <v>April</v>
      </c>
      <c r="AN727">
        <f t="shared" si="210"/>
        <v>2023</v>
      </c>
      <c r="AO727" t="str">
        <f t="shared" si="211"/>
        <v>&gt;3</v>
      </c>
      <c r="AP727" t="str">
        <f t="shared" si="212"/>
        <v>&gt;3</v>
      </c>
      <c r="AQ727" t="str">
        <f t="shared" si="213"/>
        <v>&lt;=3</v>
      </c>
    </row>
    <row r="728" spans="1:43" x14ac:dyDescent="0.3">
      <c r="A728" t="s">
        <v>33</v>
      </c>
      <c r="B728" t="s">
        <v>386</v>
      </c>
      <c r="C728" t="s">
        <v>57</v>
      </c>
      <c r="D728">
        <v>3521</v>
      </c>
      <c r="E728">
        <v>23310273</v>
      </c>
      <c r="F728" t="s">
        <v>554</v>
      </c>
      <c r="G728" t="s">
        <v>555</v>
      </c>
      <c r="H728">
        <v>8000</v>
      </c>
      <c r="I728">
        <v>19.5</v>
      </c>
      <c r="J728">
        <v>156000</v>
      </c>
      <c r="K728" s="7" t="str">
        <f>IFERROR(IF(B728&lt;&gt;"", TEXT(VLOOKUP(B728, 'Expected Date'!A:B, 2, FALSE) + DATE(RIGHT(C728,2),MID(C728,4,2),LEFT(C728,2)), "dd/mm/yy"), ""), "")</f>
        <v>08/08/23</v>
      </c>
      <c r="L728" t="s">
        <v>38</v>
      </c>
      <c r="M728" t="s">
        <v>39</v>
      </c>
      <c r="N728" t="s">
        <v>318</v>
      </c>
      <c r="O728" t="s">
        <v>487</v>
      </c>
      <c r="P728">
        <v>23390396</v>
      </c>
      <c r="Q728" t="s">
        <v>554</v>
      </c>
      <c r="R728" t="s">
        <v>555</v>
      </c>
      <c r="S728">
        <v>7240</v>
      </c>
      <c r="T728">
        <v>19.5</v>
      </c>
      <c r="U728">
        <v>141180</v>
      </c>
      <c r="V728" t="str">
        <f t="shared" si="196"/>
        <v>Jhagadia</v>
      </c>
      <c r="W728" t="str">
        <f>VLOOKUP(B728, Currency!A:B, 2, FALSE)</f>
        <v>INR</v>
      </c>
      <c r="X728" t="str">
        <f t="shared" si="197"/>
        <v>Accepted</v>
      </c>
      <c r="Y728">
        <f>IFERROR(VLOOKUP(N728, Payment_Terms!A:B, 2, FALSE), "Payment term not found!")</f>
        <v>30</v>
      </c>
      <c r="Z728" t="str">
        <f>IFERROR(VLOOKUP(R728, Item_Category!A:B, 2, FALSE), "Uncategorized")</f>
        <v>HDPE bag acecel</v>
      </c>
      <c r="AA728" s="5">
        <f t="shared" si="201"/>
        <v>0</v>
      </c>
      <c r="AB728">
        <f t="shared" si="202"/>
        <v>5</v>
      </c>
      <c r="AC728" s="10">
        <f t="shared" si="203"/>
        <v>-2</v>
      </c>
      <c r="AD728">
        <f t="shared" si="204"/>
        <v>5</v>
      </c>
      <c r="AE728" s="10">
        <f t="shared" si="205"/>
        <v>3</v>
      </c>
      <c r="AF728" s="5">
        <f t="shared" si="198"/>
        <v>1</v>
      </c>
      <c r="AG728" s="5">
        <f t="shared" si="199"/>
        <v>1</v>
      </c>
      <c r="AH728" s="5">
        <f t="shared" si="206"/>
        <v>0</v>
      </c>
      <c r="AI728">
        <f>IF(B728&lt;&gt;"", COUNTIFS($B$2:B728, B728), "")</f>
        <v>37</v>
      </c>
      <c r="AJ728">
        <f t="shared" si="207"/>
        <v>5</v>
      </c>
      <c r="AK728">
        <f t="shared" si="200"/>
        <v>5</v>
      </c>
      <c r="AL728">
        <f t="shared" si="208"/>
        <v>8</v>
      </c>
      <c r="AM728" t="str">
        <f t="shared" si="209"/>
        <v>August</v>
      </c>
      <c r="AN728">
        <f t="shared" si="210"/>
        <v>2023</v>
      </c>
      <c r="AO728" t="str">
        <f t="shared" si="211"/>
        <v>&gt;3</v>
      </c>
      <c r="AP728" t="str">
        <f t="shared" si="212"/>
        <v>&gt;3</v>
      </c>
      <c r="AQ728" t="str">
        <f t="shared" si="213"/>
        <v>&gt;3</v>
      </c>
    </row>
    <row r="729" spans="1:43" x14ac:dyDescent="0.3">
      <c r="A729" t="s">
        <v>33</v>
      </c>
      <c r="B729" t="s">
        <v>557</v>
      </c>
      <c r="C729" t="s">
        <v>103</v>
      </c>
      <c r="D729">
        <v>4200</v>
      </c>
      <c r="E729">
        <v>23310342</v>
      </c>
      <c r="F729" t="s">
        <v>558</v>
      </c>
      <c r="G729" t="s">
        <v>384</v>
      </c>
      <c r="H729">
        <v>400</v>
      </c>
      <c r="I729">
        <v>99</v>
      </c>
      <c r="J729">
        <v>39600</v>
      </c>
      <c r="K729" s="7" t="str">
        <f>IFERROR(IF(B729&lt;&gt;"", TEXT(VLOOKUP(B729, 'Expected Date'!A:B, 2, FALSE) + DATE(RIGHT(C729,2),MID(C729,4,2),LEFT(C729,2)), "dd/mm/yy"), ""), "")</f>
        <v>16/09/23</v>
      </c>
      <c r="L729" t="s">
        <v>68</v>
      </c>
      <c r="M729" t="s">
        <v>48</v>
      </c>
      <c r="N729" t="s">
        <v>364</v>
      </c>
      <c r="O729" t="s">
        <v>156</v>
      </c>
      <c r="P729">
        <v>23390581</v>
      </c>
      <c r="Q729" t="s">
        <v>558</v>
      </c>
      <c r="R729" t="s">
        <v>384</v>
      </c>
      <c r="S729">
        <v>100</v>
      </c>
      <c r="T729">
        <v>99</v>
      </c>
      <c r="U729">
        <v>9900</v>
      </c>
      <c r="V729" t="str">
        <f t="shared" si="196"/>
        <v>Jhagadia</v>
      </c>
      <c r="W729" t="str">
        <f>VLOOKUP(B729, Currency!A:B, 2, FALSE)</f>
        <v>INR</v>
      </c>
      <c r="X729" t="str">
        <f t="shared" si="197"/>
        <v>Accepted</v>
      </c>
      <c r="Y729">
        <f>IFERROR(VLOOKUP(N729, Payment_Terms!A:B, 2, FALSE), "Payment term not found!")</f>
        <v>30</v>
      </c>
      <c r="Z729" t="str">
        <f>IFERROR(VLOOKUP(R729, Item_Category!A:B, 2, FALSE), "Uncategorized")</f>
        <v>Gas</v>
      </c>
      <c r="AA729" s="5">
        <f t="shared" si="201"/>
        <v>0.75</v>
      </c>
      <c r="AB729">
        <f t="shared" si="202"/>
        <v>1</v>
      </c>
      <c r="AC729" s="10">
        <f t="shared" si="203"/>
        <v>2</v>
      </c>
      <c r="AD729">
        <f t="shared" si="204"/>
        <v>5</v>
      </c>
      <c r="AE729" s="10">
        <f t="shared" si="205"/>
        <v>12</v>
      </c>
      <c r="AF729" s="5">
        <f t="shared" si="198"/>
        <v>1</v>
      </c>
      <c r="AG729" s="5">
        <f t="shared" si="199"/>
        <v>1</v>
      </c>
      <c r="AH729" s="5">
        <f t="shared" si="206"/>
        <v>0</v>
      </c>
      <c r="AI729">
        <f>IF(B729&lt;&gt;"", COUNTIFS($B$2:B729, B729), "")</f>
        <v>13</v>
      </c>
      <c r="AJ729">
        <f t="shared" si="207"/>
        <v>5</v>
      </c>
      <c r="AK729">
        <f t="shared" si="200"/>
        <v>4</v>
      </c>
      <c r="AL729">
        <f t="shared" si="208"/>
        <v>9</v>
      </c>
      <c r="AM729" t="str">
        <f t="shared" si="209"/>
        <v>September</v>
      </c>
      <c r="AN729">
        <f t="shared" si="210"/>
        <v>2023</v>
      </c>
      <c r="AO729" t="str">
        <f t="shared" si="211"/>
        <v>&gt;3</v>
      </c>
      <c r="AP729" t="str">
        <f t="shared" si="212"/>
        <v>&lt;=3</v>
      </c>
      <c r="AQ729" t="str">
        <f t="shared" si="213"/>
        <v>&gt;3</v>
      </c>
    </row>
    <row r="730" spans="1:43" x14ac:dyDescent="0.3">
      <c r="A730" t="str">
        <f>A712</f>
        <v>Woodpulp</v>
      </c>
      <c r="B730" t="s">
        <v>140</v>
      </c>
      <c r="C730" t="s">
        <v>90</v>
      </c>
      <c r="D730">
        <v>2880</v>
      </c>
      <c r="E730">
        <v>23320029</v>
      </c>
      <c r="F730" t="s">
        <v>571</v>
      </c>
      <c r="G730" t="s">
        <v>360</v>
      </c>
      <c r="H730">
        <v>50</v>
      </c>
      <c r="I730">
        <v>830</v>
      </c>
      <c r="J730">
        <v>3376025</v>
      </c>
      <c r="K730" s="7" t="str">
        <f>IFERROR(IF(B730&lt;&gt;"", TEXT(VLOOKUP(B730, 'Expected Date'!A:B, 2, FALSE) + DATE(RIGHT(C730,2),MID(C730,4,2),LEFT(C730,2)), "dd/mm/yy"), ""), "")</f>
        <v>20/08/23</v>
      </c>
      <c r="L730" t="s">
        <v>68</v>
      </c>
      <c r="M730" t="str">
        <f>M633</f>
        <v>MT</v>
      </c>
      <c r="N730" t="s">
        <v>144</v>
      </c>
      <c r="O730" t="s">
        <v>526</v>
      </c>
      <c r="P730">
        <v>23390689</v>
      </c>
      <c r="Q730" t="s">
        <v>571</v>
      </c>
      <c r="R730" t="s">
        <v>360</v>
      </c>
      <c r="S730">
        <v>49.042999999999999</v>
      </c>
      <c r="T730">
        <v>830</v>
      </c>
      <c r="U730">
        <v>3350078.29</v>
      </c>
      <c r="V730" t="str">
        <f t="shared" si="196"/>
        <v>Jhagadia</v>
      </c>
      <c r="W730" t="str">
        <f>VLOOKUP(B730, Currency!A:B, 2, FALSE)</f>
        <v>USD</v>
      </c>
      <c r="X730" t="str">
        <f t="shared" si="197"/>
        <v>Accepted</v>
      </c>
      <c r="Y730">
        <f>IFERROR(VLOOKUP(N730, Payment_Terms!A:B, 2, FALSE), "Payment term not found!")</f>
        <v>30</v>
      </c>
      <c r="Z730" t="str">
        <f>IFERROR(VLOOKUP(R730, Item_Category!A:B, 2, FALSE), "Uncategorized")</f>
        <v>Wood pulp</v>
      </c>
      <c r="AA730" s="5">
        <f t="shared" si="201"/>
        <v>1.9140000000000015E-2</v>
      </c>
      <c r="AB730">
        <f t="shared" si="202"/>
        <v>4</v>
      </c>
      <c r="AC730" s="10">
        <f t="shared" si="203"/>
        <v>54</v>
      </c>
      <c r="AD730">
        <f t="shared" si="204"/>
        <v>1</v>
      </c>
      <c r="AE730" s="10">
        <f t="shared" si="205"/>
        <v>99</v>
      </c>
      <c r="AF730" s="5">
        <f t="shared" si="198"/>
        <v>1</v>
      </c>
      <c r="AG730" s="5">
        <f t="shared" si="199"/>
        <v>1</v>
      </c>
      <c r="AH730" s="5">
        <f t="shared" si="206"/>
        <v>0</v>
      </c>
      <c r="AI730">
        <f>IF(B730&lt;&gt;"", COUNTIFS($B$2:B730, B730), "")</f>
        <v>37</v>
      </c>
      <c r="AJ730">
        <f t="shared" si="207"/>
        <v>5</v>
      </c>
      <c r="AK730">
        <f t="shared" si="200"/>
        <v>4</v>
      </c>
      <c r="AL730">
        <f t="shared" si="208"/>
        <v>7</v>
      </c>
      <c r="AM730" t="str">
        <f t="shared" si="209"/>
        <v>July</v>
      </c>
      <c r="AN730">
        <f t="shared" si="210"/>
        <v>2023</v>
      </c>
      <c r="AO730" t="str">
        <f t="shared" si="211"/>
        <v>&gt;3</v>
      </c>
      <c r="AP730" t="str">
        <f t="shared" si="212"/>
        <v>&gt;3</v>
      </c>
      <c r="AQ730" t="str">
        <f t="shared" si="213"/>
        <v>&lt;=3</v>
      </c>
    </row>
    <row r="731" spans="1:43" x14ac:dyDescent="0.3">
      <c r="A731" t="s">
        <v>33</v>
      </c>
      <c r="B731" t="s">
        <v>557</v>
      </c>
      <c r="C731" t="s">
        <v>57</v>
      </c>
      <c r="D731">
        <v>3523</v>
      </c>
      <c r="E731">
        <v>23310275</v>
      </c>
      <c r="F731" t="s">
        <v>558</v>
      </c>
      <c r="G731" t="s">
        <v>384</v>
      </c>
      <c r="H731">
        <v>400</v>
      </c>
      <c r="I731">
        <v>99</v>
      </c>
      <c r="J731">
        <v>39600</v>
      </c>
      <c r="K731" s="7" t="str">
        <f>IFERROR(IF(B731&lt;&gt;"", TEXT(VLOOKUP(B731, 'Expected Date'!A:B, 2, FALSE) + DATE(RIGHT(C731,2),MID(C731,4,2),LEFT(C731,2)), "dd/mm/yy"), ""), "")</f>
        <v>13/08/23</v>
      </c>
      <c r="L731" t="s">
        <v>38</v>
      </c>
      <c r="M731" t="s">
        <v>48</v>
      </c>
      <c r="N731" t="s">
        <v>364</v>
      </c>
      <c r="O731" t="s">
        <v>202</v>
      </c>
      <c r="P731">
        <v>23390408</v>
      </c>
      <c r="Q731" t="s">
        <v>558</v>
      </c>
      <c r="R731" t="s">
        <v>384</v>
      </c>
      <c r="S731">
        <v>100</v>
      </c>
      <c r="T731">
        <v>99</v>
      </c>
      <c r="U731">
        <v>9900</v>
      </c>
      <c r="V731" t="str">
        <f t="shared" si="196"/>
        <v>Jhagadia</v>
      </c>
      <c r="W731" t="str">
        <f>VLOOKUP(B731, Currency!A:B, 2, FALSE)</f>
        <v>INR</v>
      </c>
      <c r="X731" t="str">
        <f t="shared" si="197"/>
        <v>Accepted</v>
      </c>
      <c r="Y731">
        <f>IFERROR(VLOOKUP(N731, Payment_Terms!A:B, 2, FALSE), "Payment term not found!")</f>
        <v>30</v>
      </c>
      <c r="Z731" t="str">
        <f>IFERROR(VLOOKUP(R731, Item_Category!A:B, 2, FALSE), "Uncategorized")</f>
        <v>Gas</v>
      </c>
      <c r="AA731" s="5">
        <f t="shared" si="201"/>
        <v>0</v>
      </c>
      <c r="AB731">
        <f t="shared" si="202"/>
        <v>5</v>
      </c>
      <c r="AC731" s="10">
        <f t="shared" si="203"/>
        <v>-4</v>
      </c>
      <c r="AD731">
        <f t="shared" si="204"/>
        <v>5</v>
      </c>
      <c r="AE731" s="10">
        <f t="shared" si="205"/>
        <v>6</v>
      </c>
      <c r="AF731" s="5">
        <f t="shared" si="198"/>
        <v>1</v>
      </c>
      <c r="AG731" s="5">
        <f t="shared" si="199"/>
        <v>1</v>
      </c>
      <c r="AH731" s="5">
        <f t="shared" si="206"/>
        <v>0</v>
      </c>
      <c r="AI731">
        <f>IF(B731&lt;&gt;"", COUNTIFS($B$2:B731, B731), "")</f>
        <v>14</v>
      </c>
      <c r="AJ731">
        <f t="shared" si="207"/>
        <v>5</v>
      </c>
      <c r="AK731">
        <f t="shared" si="200"/>
        <v>5</v>
      </c>
      <c r="AL731">
        <f t="shared" si="208"/>
        <v>8</v>
      </c>
      <c r="AM731" t="str">
        <f t="shared" si="209"/>
        <v>August</v>
      </c>
      <c r="AN731">
        <f t="shared" si="210"/>
        <v>2023</v>
      </c>
      <c r="AO731" t="str">
        <f t="shared" si="211"/>
        <v>&gt;3</v>
      </c>
      <c r="AP731" t="str">
        <f t="shared" si="212"/>
        <v>&gt;3</v>
      </c>
      <c r="AQ731" t="str">
        <f t="shared" si="213"/>
        <v>&gt;3</v>
      </c>
    </row>
    <row r="732" spans="1:43" x14ac:dyDescent="0.3">
      <c r="A732" t="s">
        <v>33</v>
      </c>
      <c r="B732" t="s">
        <v>386</v>
      </c>
      <c r="C732" t="s">
        <v>354</v>
      </c>
      <c r="D732">
        <v>2794</v>
      </c>
      <c r="E732">
        <v>23310213</v>
      </c>
      <c r="F732" t="s">
        <v>567</v>
      </c>
      <c r="G732" t="s">
        <v>568</v>
      </c>
      <c r="H732">
        <v>500</v>
      </c>
      <c r="I732">
        <v>133</v>
      </c>
      <c r="J732">
        <v>66500</v>
      </c>
      <c r="K732" s="7" t="str">
        <f>IFERROR(IF(B732&lt;&gt;"", TEXT(VLOOKUP(B732, 'Expected Date'!A:B, 2, FALSE) + DATE(RIGHT(C732,2),MID(C732,4,2),LEFT(C732,2)), "dd/mm/yy"), ""), "")</f>
        <v>08/07/23</v>
      </c>
      <c r="L732" t="s">
        <v>38</v>
      </c>
      <c r="M732" t="s">
        <v>39</v>
      </c>
      <c r="N732" t="s">
        <v>318</v>
      </c>
      <c r="O732" t="s">
        <v>120</v>
      </c>
      <c r="P732">
        <v>23390343</v>
      </c>
      <c r="Q732" t="s">
        <v>567</v>
      </c>
      <c r="R732" t="s">
        <v>568</v>
      </c>
      <c r="S732">
        <v>712</v>
      </c>
      <c r="T732">
        <v>133</v>
      </c>
      <c r="U732">
        <v>94696</v>
      </c>
      <c r="V732" t="str">
        <f t="shared" si="196"/>
        <v>Jhagadia</v>
      </c>
      <c r="W732" t="str">
        <f>VLOOKUP(B732, Currency!A:B, 2, FALSE)</f>
        <v>INR</v>
      </c>
      <c r="X732" t="str">
        <f t="shared" si="197"/>
        <v>Accepted</v>
      </c>
      <c r="Y732">
        <f>IFERROR(VLOOKUP(N732, Payment_Terms!A:B, 2, FALSE), "Payment term not found!")</f>
        <v>30</v>
      </c>
      <c r="Z732" t="str">
        <f>IFERROR(VLOOKUP(R732, Item_Category!A:B, 2, FALSE), "Uncategorized")</f>
        <v>Liner</v>
      </c>
      <c r="AA732" s="5">
        <f t="shared" si="201"/>
        <v>0</v>
      </c>
      <c r="AB732">
        <f t="shared" si="202"/>
        <v>5</v>
      </c>
      <c r="AC732" s="10">
        <f t="shared" si="203"/>
        <v>12</v>
      </c>
      <c r="AD732">
        <f t="shared" si="204"/>
        <v>1</v>
      </c>
      <c r="AE732" s="10">
        <f t="shared" si="205"/>
        <v>17</v>
      </c>
      <c r="AF732" s="5">
        <f t="shared" si="198"/>
        <v>1</v>
      </c>
      <c r="AG732" s="5">
        <f t="shared" si="199"/>
        <v>1</v>
      </c>
      <c r="AH732" s="5">
        <f t="shared" si="206"/>
        <v>0</v>
      </c>
      <c r="AI732">
        <f>IF(B732&lt;&gt;"", COUNTIFS($B$2:B732, B732), "")</f>
        <v>38</v>
      </c>
      <c r="AJ732">
        <f t="shared" si="207"/>
        <v>5</v>
      </c>
      <c r="AK732">
        <f t="shared" si="200"/>
        <v>4</v>
      </c>
      <c r="AL732">
        <f t="shared" si="208"/>
        <v>7</v>
      </c>
      <c r="AM732" t="str">
        <f t="shared" si="209"/>
        <v>July</v>
      </c>
      <c r="AN732">
        <f t="shared" si="210"/>
        <v>2023</v>
      </c>
      <c r="AO732" t="str">
        <f t="shared" si="211"/>
        <v>&gt;3</v>
      </c>
      <c r="AP732" t="str">
        <f t="shared" si="212"/>
        <v>&gt;3</v>
      </c>
      <c r="AQ732" t="str">
        <f t="shared" si="213"/>
        <v>&lt;=3</v>
      </c>
    </row>
    <row r="733" spans="1:43" x14ac:dyDescent="0.3">
      <c r="A733" t="s">
        <v>33</v>
      </c>
      <c r="B733" t="s">
        <v>366</v>
      </c>
      <c r="C733" t="s">
        <v>178</v>
      </c>
      <c r="D733">
        <v>4155</v>
      </c>
      <c r="E733">
        <v>23310339</v>
      </c>
      <c r="F733" t="s">
        <v>569</v>
      </c>
      <c r="G733" t="s">
        <v>570</v>
      </c>
      <c r="H733">
        <v>150</v>
      </c>
      <c r="I733">
        <v>9800</v>
      </c>
      <c r="J733">
        <v>1470000</v>
      </c>
      <c r="K733" s="7" t="str">
        <f>IFERROR(IF(B733&lt;&gt;"", TEXT(VLOOKUP(B733, 'Expected Date'!A:B, 2, FALSE) + DATE(RIGHT(C733,2),MID(C733,4,2),LEFT(C733,2)), "dd/mm/yy"), ""), "")</f>
        <v>03/09/23</v>
      </c>
      <c r="L733" t="s">
        <v>38</v>
      </c>
      <c r="M733" t="s">
        <v>48</v>
      </c>
      <c r="N733" t="s">
        <v>532</v>
      </c>
      <c r="O733" t="s">
        <v>156</v>
      </c>
      <c r="P733">
        <v>23390580</v>
      </c>
      <c r="Q733" t="s">
        <v>569</v>
      </c>
      <c r="R733" t="s">
        <v>570</v>
      </c>
      <c r="S733">
        <v>29.34</v>
      </c>
      <c r="T733">
        <v>9800</v>
      </c>
      <c r="U733">
        <v>287532</v>
      </c>
      <c r="V733" t="str">
        <f t="shared" si="196"/>
        <v>Jhagadia</v>
      </c>
      <c r="W733" t="str">
        <f>VLOOKUP(B733, Currency!A:B, 2, FALSE)</f>
        <v>INR</v>
      </c>
      <c r="X733" t="str">
        <f t="shared" si="197"/>
        <v>Accepted</v>
      </c>
      <c r="Y733">
        <f>IFERROR(VLOOKUP(N733, Payment_Terms!A:B, 2, FALSE), "Payment term not found!")</f>
        <v>15</v>
      </c>
      <c r="Z733" t="str">
        <f>IFERROR(VLOOKUP(R733, Item_Category!A:B, 2, FALSE), "Uncategorized")</f>
        <v>Coal materials</v>
      </c>
      <c r="AA733" s="5">
        <f t="shared" si="201"/>
        <v>0</v>
      </c>
      <c r="AB733">
        <f t="shared" si="202"/>
        <v>5</v>
      </c>
      <c r="AC733" s="10">
        <f t="shared" si="203"/>
        <v>15</v>
      </c>
      <c r="AD733">
        <f t="shared" si="204"/>
        <v>1</v>
      </c>
      <c r="AE733" s="10">
        <f t="shared" si="205"/>
        <v>17</v>
      </c>
      <c r="AF733" s="5">
        <f t="shared" si="198"/>
        <v>1</v>
      </c>
      <c r="AG733" s="5">
        <f t="shared" si="199"/>
        <v>1</v>
      </c>
      <c r="AH733" s="5">
        <f t="shared" si="206"/>
        <v>0</v>
      </c>
      <c r="AI733">
        <f>IF(B733&lt;&gt;"", COUNTIFS($B$2:B733, B733), "")</f>
        <v>87</v>
      </c>
      <c r="AJ733">
        <f t="shared" si="207"/>
        <v>5</v>
      </c>
      <c r="AK733">
        <f t="shared" si="200"/>
        <v>4</v>
      </c>
      <c r="AL733">
        <f t="shared" si="208"/>
        <v>9</v>
      </c>
      <c r="AM733" t="str">
        <f t="shared" si="209"/>
        <v>September</v>
      </c>
      <c r="AN733">
        <f t="shared" si="210"/>
        <v>2023</v>
      </c>
      <c r="AO733" t="str">
        <f t="shared" si="211"/>
        <v>&gt;3</v>
      </c>
      <c r="AP733" t="str">
        <f t="shared" si="212"/>
        <v>&gt;3</v>
      </c>
      <c r="AQ733" t="str">
        <f t="shared" si="213"/>
        <v>&lt;=3</v>
      </c>
    </row>
    <row r="734" spans="1:43" x14ac:dyDescent="0.3">
      <c r="A734" t="s">
        <v>33</v>
      </c>
      <c r="B734" t="s">
        <v>513</v>
      </c>
      <c r="C734" t="s">
        <v>562</v>
      </c>
      <c r="D734">
        <v>1635</v>
      </c>
      <c r="E734">
        <v>23310057</v>
      </c>
      <c r="F734" t="s">
        <v>563</v>
      </c>
      <c r="G734" t="s">
        <v>515</v>
      </c>
      <c r="H734">
        <v>2500</v>
      </c>
      <c r="I734">
        <v>26</v>
      </c>
      <c r="J734">
        <v>65000</v>
      </c>
      <c r="K734" s="7" t="str">
        <f>IFERROR(IF(B734&lt;&gt;"", TEXT(VLOOKUP(B734, 'Expected Date'!A:B, 2, FALSE) + DATE(RIGHT(C734,2),MID(C734,4,2),LEFT(C734,2)), "dd/mm/yy"), ""), "")</f>
        <v>02/05/23</v>
      </c>
      <c r="L734" t="s">
        <v>38</v>
      </c>
      <c r="M734" t="s">
        <v>48</v>
      </c>
      <c r="N734" t="s">
        <v>342</v>
      </c>
      <c r="O734" t="s">
        <v>223</v>
      </c>
      <c r="P734">
        <v>23390155</v>
      </c>
      <c r="Q734" t="s">
        <v>563</v>
      </c>
      <c r="R734" t="s">
        <v>515</v>
      </c>
      <c r="S734">
        <v>500</v>
      </c>
      <c r="T734">
        <v>26</v>
      </c>
      <c r="U734">
        <v>13000</v>
      </c>
      <c r="V734" t="str">
        <f t="shared" si="196"/>
        <v>Jhagadia</v>
      </c>
      <c r="W734" t="str">
        <f>VLOOKUP(B734, Currency!A:B, 2, FALSE)</f>
        <v>INR</v>
      </c>
      <c r="X734" t="str">
        <f t="shared" si="197"/>
        <v>Accepted</v>
      </c>
      <c r="Y734">
        <f>IFERROR(VLOOKUP(N734, Payment_Terms!A:B, 2, FALSE), "Payment term not found!")</f>
        <v>30</v>
      </c>
      <c r="Z734" t="str">
        <f>IFERROR(VLOOKUP(R734, Item_Category!A:B, 2, FALSE), "Uncategorized")</f>
        <v xml:space="preserve">Caustic Soda </v>
      </c>
      <c r="AA734" s="5">
        <f t="shared" si="201"/>
        <v>0</v>
      </c>
      <c r="AB734">
        <f t="shared" si="202"/>
        <v>5</v>
      </c>
      <c r="AC734" s="10">
        <f t="shared" si="203"/>
        <v>15</v>
      </c>
      <c r="AD734">
        <f t="shared" si="204"/>
        <v>1</v>
      </c>
      <c r="AE734" s="10">
        <f t="shared" si="205"/>
        <v>17</v>
      </c>
      <c r="AF734" s="5">
        <f t="shared" si="198"/>
        <v>1</v>
      </c>
      <c r="AG734" s="5">
        <f t="shared" si="199"/>
        <v>1</v>
      </c>
      <c r="AH734" s="5">
        <f t="shared" si="206"/>
        <v>0</v>
      </c>
      <c r="AI734">
        <f>IF(B734&lt;&gt;"", COUNTIFS($B$2:B734, B734), "")</f>
        <v>13</v>
      </c>
      <c r="AJ734">
        <f t="shared" si="207"/>
        <v>5</v>
      </c>
      <c r="AK734">
        <f t="shared" si="200"/>
        <v>4</v>
      </c>
      <c r="AL734">
        <f t="shared" si="208"/>
        <v>4</v>
      </c>
      <c r="AM734" t="str">
        <f t="shared" si="209"/>
        <v>April</v>
      </c>
      <c r="AN734">
        <f t="shared" si="210"/>
        <v>2023</v>
      </c>
      <c r="AO734" t="str">
        <f t="shared" si="211"/>
        <v>&gt;3</v>
      </c>
      <c r="AP734" t="str">
        <f t="shared" si="212"/>
        <v>&gt;3</v>
      </c>
      <c r="AQ734" t="str">
        <f t="shared" si="213"/>
        <v>&lt;=3</v>
      </c>
    </row>
    <row r="735" spans="1:43" x14ac:dyDescent="0.3">
      <c r="A735" t="s">
        <v>33</v>
      </c>
      <c r="B735" t="s">
        <v>395</v>
      </c>
      <c r="C735" t="s">
        <v>352</v>
      </c>
      <c r="D735">
        <v>2380</v>
      </c>
      <c r="E735">
        <v>23310163</v>
      </c>
      <c r="F735" t="s">
        <v>569</v>
      </c>
      <c r="G735" t="s">
        <v>570</v>
      </c>
      <c r="H735">
        <v>100</v>
      </c>
      <c r="I735">
        <v>11523.81</v>
      </c>
      <c r="J735">
        <v>1152381</v>
      </c>
      <c r="K735" s="7" t="str">
        <f>IFERROR(IF(B735&lt;&gt;"", TEXT(VLOOKUP(B735, 'Expected Date'!A:B, 2, FALSE) + DATE(RIGHT(C735,2),MID(C735,4,2),LEFT(C735,2)), "dd/mm/yy"), ""), "")</f>
        <v>07/06/23</v>
      </c>
      <c r="L735" t="s">
        <v>68</v>
      </c>
      <c r="M735" t="s">
        <v>48</v>
      </c>
      <c r="N735" t="s">
        <v>342</v>
      </c>
      <c r="O735" t="s">
        <v>195</v>
      </c>
      <c r="P735">
        <v>23390247</v>
      </c>
      <c r="Q735" t="s">
        <v>569</v>
      </c>
      <c r="R735" t="s">
        <v>570</v>
      </c>
      <c r="S735">
        <v>30.87</v>
      </c>
      <c r="T735">
        <v>11523.81</v>
      </c>
      <c r="U735">
        <v>355740.01</v>
      </c>
      <c r="V735" t="str">
        <f t="shared" si="196"/>
        <v>Jhagadia</v>
      </c>
      <c r="W735" t="str">
        <f>VLOOKUP(B735, Currency!A:B, 2, FALSE)</f>
        <v>INR</v>
      </c>
      <c r="X735" t="str">
        <f t="shared" si="197"/>
        <v>Accepted</v>
      </c>
      <c r="Y735">
        <f>IFERROR(VLOOKUP(N735, Payment_Terms!A:B, 2, FALSE), "Payment term not found!")</f>
        <v>30</v>
      </c>
      <c r="Z735" t="str">
        <f>IFERROR(VLOOKUP(R735, Item_Category!A:B, 2, FALSE), "Uncategorized")</f>
        <v>Coal materials</v>
      </c>
      <c r="AA735" s="5">
        <f t="shared" si="201"/>
        <v>0.23749999999999999</v>
      </c>
      <c r="AB735">
        <f t="shared" si="202"/>
        <v>1</v>
      </c>
      <c r="AC735" s="10">
        <f t="shared" si="203"/>
        <v>8</v>
      </c>
      <c r="AD735">
        <f t="shared" si="204"/>
        <v>2</v>
      </c>
      <c r="AE735" s="10">
        <f t="shared" si="205"/>
        <v>13</v>
      </c>
      <c r="AF735" s="5">
        <f t="shared" si="198"/>
        <v>1</v>
      </c>
      <c r="AG735" s="5">
        <f t="shared" si="199"/>
        <v>1</v>
      </c>
      <c r="AH735" s="5">
        <f t="shared" si="206"/>
        <v>0</v>
      </c>
      <c r="AI735">
        <f>IF(B735&lt;&gt;"", COUNTIFS($B$2:B735, B735), "")</f>
        <v>32</v>
      </c>
      <c r="AJ735">
        <f t="shared" si="207"/>
        <v>5</v>
      </c>
      <c r="AK735">
        <f t="shared" si="200"/>
        <v>3</v>
      </c>
      <c r="AL735">
        <f t="shared" si="208"/>
        <v>6</v>
      </c>
      <c r="AM735" t="str">
        <f t="shared" si="209"/>
        <v>June</v>
      </c>
      <c r="AN735">
        <f t="shared" si="210"/>
        <v>2023</v>
      </c>
      <c r="AO735" t="str">
        <f t="shared" si="211"/>
        <v>&gt;3</v>
      </c>
      <c r="AP735" t="str">
        <f t="shared" si="212"/>
        <v>&lt;=3</v>
      </c>
      <c r="AQ735" t="str">
        <f t="shared" si="213"/>
        <v>&lt;=3</v>
      </c>
    </row>
    <row r="736" spans="1:43" x14ac:dyDescent="0.3">
      <c r="A736" t="str">
        <f>A632</f>
        <v>Woodpulp</v>
      </c>
      <c r="B736" t="s">
        <v>289</v>
      </c>
      <c r="C736" t="s">
        <v>133</v>
      </c>
      <c r="D736">
        <v>2299</v>
      </c>
      <c r="E736">
        <v>23320014</v>
      </c>
      <c r="F736" t="s">
        <v>575</v>
      </c>
      <c r="G736" t="s">
        <v>291</v>
      </c>
      <c r="H736">
        <v>100</v>
      </c>
      <c r="I736">
        <v>56000</v>
      </c>
      <c r="J736">
        <v>5600000</v>
      </c>
      <c r="K736" s="7" t="str">
        <f>IFERROR(IF(B736&lt;&gt;"", TEXT(VLOOKUP(B736, 'Expected Date'!A:B, 2, FALSE) + DATE(RIGHT(C736,2),MID(C736,4,2),LEFT(C736,2)), "dd/mm/yy"), ""), "")</f>
        <v>06/07/23</v>
      </c>
      <c r="L736" t="s">
        <v>68</v>
      </c>
      <c r="M736" t="str">
        <f>M633</f>
        <v>MT</v>
      </c>
      <c r="N736" t="s">
        <v>292</v>
      </c>
      <c r="O736" t="s">
        <v>328</v>
      </c>
      <c r="P736">
        <v>23390243</v>
      </c>
      <c r="Q736" t="s">
        <v>575</v>
      </c>
      <c r="R736" t="s">
        <v>291</v>
      </c>
      <c r="S736">
        <v>30.27</v>
      </c>
      <c r="T736">
        <v>56000</v>
      </c>
      <c r="U736">
        <v>1695120</v>
      </c>
      <c r="V736" t="str">
        <f t="shared" si="196"/>
        <v>Jhagadia</v>
      </c>
      <c r="W736" t="str">
        <f>VLOOKUP(B736, Currency!A:B, 2, FALSE)</f>
        <v>INR</v>
      </c>
      <c r="X736" t="str">
        <f t="shared" si="197"/>
        <v>Accepted</v>
      </c>
      <c r="Y736">
        <f>IFERROR(VLOOKUP(N736, Payment_Terms!A:B, 2, FALSE), "Payment term not found!")</f>
        <v>0</v>
      </c>
      <c r="Z736" t="str">
        <f>IFERROR(VLOOKUP(R736, Item_Category!A:B, 2, FALSE), "Uncategorized")</f>
        <v>Wood pulp</v>
      </c>
      <c r="AA736" s="5">
        <f t="shared" si="201"/>
        <v>0.17262</v>
      </c>
      <c r="AB736">
        <f t="shared" si="202"/>
        <v>1</v>
      </c>
      <c r="AC736" s="10">
        <f t="shared" si="203"/>
        <v>-22</v>
      </c>
      <c r="AD736">
        <f t="shared" si="204"/>
        <v>5</v>
      </c>
      <c r="AE736" s="10">
        <f t="shared" si="205"/>
        <v>8</v>
      </c>
      <c r="AF736" s="5">
        <f t="shared" si="198"/>
        <v>1</v>
      </c>
      <c r="AG736" s="5">
        <f t="shared" si="199"/>
        <v>1</v>
      </c>
      <c r="AH736" s="5">
        <f t="shared" si="206"/>
        <v>0</v>
      </c>
      <c r="AI736">
        <f>IF(B736&lt;&gt;"", COUNTIFS($B$2:B736, B736), "")</f>
        <v>29</v>
      </c>
      <c r="AJ736">
        <f t="shared" si="207"/>
        <v>5</v>
      </c>
      <c r="AK736">
        <f t="shared" si="200"/>
        <v>4</v>
      </c>
      <c r="AL736">
        <f t="shared" si="208"/>
        <v>6</v>
      </c>
      <c r="AM736" t="str">
        <f t="shared" si="209"/>
        <v>June</v>
      </c>
      <c r="AN736">
        <f t="shared" si="210"/>
        <v>2023</v>
      </c>
      <c r="AO736" t="str">
        <f t="shared" si="211"/>
        <v>&gt;3</v>
      </c>
      <c r="AP736" t="str">
        <f t="shared" si="212"/>
        <v>&lt;=3</v>
      </c>
      <c r="AQ736" t="str">
        <f t="shared" si="213"/>
        <v>&gt;3</v>
      </c>
    </row>
    <row r="737" spans="1:43" x14ac:dyDescent="0.3">
      <c r="A737" t="str">
        <f>A632</f>
        <v>Woodpulp</v>
      </c>
      <c r="B737" t="s">
        <v>289</v>
      </c>
      <c r="C737" t="s">
        <v>133</v>
      </c>
      <c r="D737">
        <v>2299</v>
      </c>
      <c r="E737">
        <v>23320014</v>
      </c>
      <c r="F737" t="s">
        <v>575</v>
      </c>
      <c r="G737" t="s">
        <v>291</v>
      </c>
      <c r="H737">
        <v>100</v>
      </c>
      <c r="I737">
        <v>56000</v>
      </c>
      <c r="J737">
        <v>5600000</v>
      </c>
      <c r="K737" s="7" t="str">
        <f>IFERROR(IF(B737&lt;&gt;"", TEXT(VLOOKUP(B737, 'Expected Date'!A:B, 2, FALSE) + DATE(RIGHT(C737,2),MID(C737,4,2),LEFT(C737,2)), "dd/mm/yy"), ""), "")</f>
        <v>06/07/23</v>
      </c>
      <c r="L737" t="s">
        <v>68</v>
      </c>
      <c r="M737" t="str">
        <f>M633</f>
        <v>MT</v>
      </c>
      <c r="N737" t="s">
        <v>292</v>
      </c>
      <c r="O737" t="s">
        <v>328</v>
      </c>
      <c r="P737">
        <v>23390245</v>
      </c>
      <c r="Q737" t="s">
        <v>575</v>
      </c>
      <c r="R737" t="s">
        <v>291</v>
      </c>
      <c r="S737">
        <v>24.216000000000001</v>
      </c>
      <c r="T737">
        <v>56000</v>
      </c>
      <c r="U737">
        <v>1356096</v>
      </c>
      <c r="V737" t="str">
        <f t="shared" si="196"/>
        <v>Jhagadia</v>
      </c>
      <c r="W737" t="str">
        <f>VLOOKUP(B737, Currency!A:B, 2, FALSE)</f>
        <v>INR</v>
      </c>
      <c r="X737" t="str">
        <f t="shared" si="197"/>
        <v>Accepted</v>
      </c>
      <c r="Y737">
        <f>IFERROR(VLOOKUP(N737, Payment_Terms!A:B, 2, FALSE), "Payment term not found!")</f>
        <v>0</v>
      </c>
      <c r="Z737" t="str">
        <f>IFERROR(VLOOKUP(R737, Item_Category!A:B, 2, FALSE), "Uncategorized")</f>
        <v>Wood pulp</v>
      </c>
      <c r="AA737" s="5">
        <f t="shared" si="201"/>
        <v>0.17262</v>
      </c>
      <c r="AB737">
        <f t="shared" si="202"/>
        <v>1</v>
      </c>
      <c r="AC737" s="10">
        <f t="shared" si="203"/>
        <v>-22</v>
      </c>
      <c r="AD737">
        <f t="shared" si="204"/>
        <v>5</v>
      </c>
      <c r="AE737" s="10">
        <f t="shared" si="205"/>
        <v>8</v>
      </c>
      <c r="AF737" s="5">
        <f t="shared" si="198"/>
        <v>1</v>
      </c>
      <c r="AG737" s="5">
        <f t="shared" si="199"/>
        <v>1</v>
      </c>
      <c r="AH737" s="5">
        <f t="shared" si="206"/>
        <v>0</v>
      </c>
      <c r="AI737">
        <f>IF(B737&lt;&gt;"", COUNTIFS($B$2:B737, B737), "")</f>
        <v>30</v>
      </c>
      <c r="AJ737">
        <f t="shared" si="207"/>
        <v>5</v>
      </c>
      <c r="AK737">
        <f t="shared" si="200"/>
        <v>4</v>
      </c>
      <c r="AL737">
        <f t="shared" si="208"/>
        <v>6</v>
      </c>
      <c r="AM737" t="str">
        <f t="shared" si="209"/>
        <v>June</v>
      </c>
      <c r="AN737">
        <f t="shared" si="210"/>
        <v>2023</v>
      </c>
      <c r="AO737" t="str">
        <f t="shared" si="211"/>
        <v>&gt;3</v>
      </c>
      <c r="AP737" t="str">
        <f t="shared" si="212"/>
        <v>&lt;=3</v>
      </c>
      <c r="AQ737" t="str">
        <f t="shared" si="213"/>
        <v>&gt;3</v>
      </c>
    </row>
    <row r="738" spans="1:43" x14ac:dyDescent="0.3">
      <c r="A738" t="s">
        <v>33</v>
      </c>
      <c r="B738" t="s">
        <v>386</v>
      </c>
      <c r="C738" t="s">
        <v>496</v>
      </c>
      <c r="D738">
        <v>4201</v>
      </c>
      <c r="E738">
        <v>23310343</v>
      </c>
      <c r="F738" t="s">
        <v>554</v>
      </c>
      <c r="G738" t="s">
        <v>555</v>
      </c>
      <c r="H738">
        <v>8000</v>
      </c>
      <c r="I738">
        <v>19.5</v>
      </c>
      <c r="J738">
        <v>156000</v>
      </c>
      <c r="K738" s="7" t="str">
        <f>IFERROR(IF(B738&lt;&gt;"", TEXT(VLOOKUP(B738, 'Expected Date'!A:B, 2, FALSE) + DATE(RIGHT(C738,2),MID(C738,4,2),LEFT(C738,2)), "dd/mm/yy"), ""), "")</f>
        <v>07/09/23</v>
      </c>
      <c r="L738" t="s">
        <v>38</v>
      </c>
      <c r="M738" t="s">
        <v>48</v>
      </c>
      <c r="N738" t="s">
        <v>318</v>
      </c>
      <c r="O738" t="s">
        <v>154</v>
      </c>
      <c r="P738">
        <v>23390600</v>
      </c>
      <c r="Q738" t="s">
        <v>554</v>
      </c>
      <c r="R738" t="s">
        <v>555</v>
      </c>
      <c r="S738">
        <v>9550</v>
      </c>
      <c r="T738">
        <v>19.5</v>
      </c>
      <c r="U738">
        <v>186225</v>
      </c>
      <c r="V738" t="str">
        <f t="shared" si="196"/>
        <v>Jhagadia</v>
      </c>
      <c r="W738" t="str">
        <f>VLOOKUP(B738, Currency!A:B, 2, FALSE)</f>
        <v>INR</v>
      </c>
      <c r="X738" t="str">
        <f t="shared" si="197"/>
        <v>Accepted</v>
      </c>
      <c r="Y738">
        <f>IFERROR(VLOOKUP(N738, Payment_Terms!A:B, 2, FALSE), "Payment term not found!")</f>
        <v>30</v>
      </c>
      <c r="Z738" t="str">
        <f>IFERROR(VLOOKUP(R738, Item_Category!A:B, 2, FALSE), "Uncategorized")</f>
        <v>HDPE bag acecel</v>
      </c>
      <c r="AA738" s="5">
        <f t="shared" si="201"/>
        <v>0</v>
      </c>
      <c r="AB738">
        <f t="shared" si="202"/>
        <v>5</v>
      </c>
      <c r="AC738" s="10">
        <f t="shared" si="203"/>
        <v>13</v>
      </c>
      <c r="AD738">
        <f t="shared" si="204"/>
        <v>1</v>
      </c>
      <c r="AE738" s="10">
        <f t="shared" si="205"/>
        <v>18</v>
      </c>
      <c r="AF738" s="5">
        <f t="shared" si="198"/>
        <v>1</v>
      </c>
      <c r="AG738" s="5">
        <f t="shared" si="199"/>
        <v>1</v>
      </c>
      <c r="AH738" s="5">
        <f t="shared" si="206"/>
        <v>0</v>
      </c>
      <c r="AI738">
        <f>IF(B738&lt;&gt;"", COUNTIFS($B$2:B738, B738), "")</f>
        <v>39</v>
      </c>
      <c r="AJ738">
        <f t="shared" si="207"/>
        <v>5</v>
      </c>
      <c r="AK738">
        <f t="shared" si="200"/>
        <v>4</v>
      </c>
      <c r="AL738">
        <f t="shared" si="208"/>
        <v>9</v>
      </c>
      <c r="AM738" t="str">
        <f t="shared" si="209"/>
        <v>September</v>
      </c>
      <c r="AN738">
        <f t="shared" si="210"/>
        <v>2023</v>
      </c>
      <c r="AO738" t="str">
        <f t="shared" si="211"/>
        <v>&gt;3</v>
      </c>
      <c r="AP738" t="str">
        <f t="shared" si="212"/>
        <v>&gt;3</v>
      </c>
      <c r="AQ738" t="str">
        <f t="shared" si="213"/>
        <v>&lt;=3</v>
      </c>
    </row>
    <row r="739" spans="1:43" x14ac:dyDescent="0.3">
      <c r="A739" t="s">
        <v>111</v>
      </c>
      <c r="B739" t="s">
        <v>296</v>
      </c>
      <c r="C739" t="s">
        <v>257</v>
      </c>
      <c r="D739">
        <v>2662</v>
      </c>
      <c r="E739">
        <v>23320019</v>
      </c>
      <c r="F739" t="s">
        <v>591</v>
      </c>
      <c r="G739" t="s">
        <v>311</v>
      </c>
      <c r="H739">
        <v>1000</v>
      </c>
      <c r="I739">
        <v>413</v>
      </c>
      <c r="J739">
        <v>413000</v>
      </c>
      <c r="K739" s="7" t="str">
        <f>IFERROR(IF(B739&lt;&gt;"", TEXT(VLOOKUP(B739, 'Expected Date'!A:B, 2, FALSE) + DATE(RIGHT(C739,2),MID(C739,4,2),LEFT(C739,2)), "dd/mm/yy"), ""), "")</f>
        <v>12/07/23</v>
      </c>
      <c r="L739" t="s">
        <v>38</v>
      </c>
      <c r="M739" t="s">
        <v>48</v>
      </c>
      <c r="N739" t="s">
        <v>470</v>
      </c>
      <c r="O739" t="s">
        <v>162</v>
      </c>
      <c r="P739">
        <v>23390283</v>
      </c>
      <c r="Q739" t="s">
        <v>591</v>
      </c>
      <c r="R739" t="s">
        <v>311</v>
      </c>
      <c r="S739">
        <v>1000</v>
      </c>
      <c r="T739">
        <v>413</v>
      </c>
      <c r="U739">
        <v>413000</v>
      </c>
      <c r="V739" t="str">
        <f t="shared" si="196"/>
        <v>Jhagadia</v>
      </c>
      <c r="W739" t="str">
        <f>VLOOKUP(B739, Currency!A:B, 2, FALSE)</f>
        <v>INR</v>
      </c>
      <c r="X739" t="str">
        <f t="shared" si="197"/>
        <v>Accepted</v>
      </c>
      <c r="Y739">
        <f>IFERROR(VLOOKUP(N739, Payment_Terms!A:B, 2, FALSE), "Payment term not found!")</f>
        <v>30</v>
      </c>
      <c r="Z739" t="str">
        <f>IFERROR(VLOOKUP(R739, Item_Category!A:B, 2, FALSE), "Uncategorized")</f>
        <v>CROSSCARMELLOSE SODIUM</v>
      </c>
      <c r="AA739" s="5">
        <f t="shared" si="201"/>
        <v>0</v>
      </c>
      <c r="AB739">
        <f t="shared" si="202"/>
        <v>5</v>
      </c>
      <c r="AC739" s="10">
        <f t="shared" si="203"/>
        <v>-13</v>
      </c>
      <c r="AD739">
        <f t="shared" si="204"/>
        <v>5</v>
      </c>
      <c r="AE739" s="10">
        <f t="shared" si="205"/>
        <v>2</v>
      </c>
      <c r="AF739" s="5">
        <f t="shared" si="198"/>
        <v>1</v>
      </c>
      <c r="AG739" s="5">
        <f t="shared" si="199"/>
        <v>1</v>
      </c>
      <c r="AH739" s="5">
        <f t="shared" si="206"/>
        <v>0</v>
      </c>
      <c r="AI739">
        <f>IF(B739&lt;&gt;"", COUNTIFS($B$2:B739, B739), "")</f>
        <v>17</v>
      </c>
      <c r="AJ739">
        <f t="shared" si="207"/>
        <v>5</v>
      </c>
      <c r="AK739">
        <f t="shared" si="200"/>
        <v>5</v>
      </c>
      <c r="AL739">
        <f t="shared" si="208"/>
        <v>6</v>
      </c>
      <c r="AM739" t="str">
        <f t="shared" si="209"/>
        <v>June</v>
      </c>
      <c r="AN739">
        <f t="shared" si="210"/>
        <v>2023</v>
      </c>
      <c r="AO739" t="str">
        <f t="shared" si="211"/>
        <v>&gt;3</v>
      </c>
      <c r="AP739" t="str">
        <f t="shared" si="212"/>
        <v>&gt;3</v>
      </c>
      <c r="AQ739" t="str">
        <f t="shared" si="213"/>
        <v>&gt;3</v>
      </c>
    </row>
    <row r="740" spans="1:43" x14ac:dyDescent="0.3">
      <c r="A740" t="str">
        <f>A712</f>
        <v>Woodpulp</v>
      </c>
      <c r="B740" t="s">
        <v>140</v>
      </c>
      <c r="C740" t="s">
        <v>35</v>
      </c>
      <c r="D740">
        <v>1555</v>
      </c>
      <c r="E740">
        <v>23320010</v>
      </c>
      <c r="F740" t="s">
        <v>571</v>
      </c>
      <c r="G740" t="s">
        <v>360</v>
      </c>
      <c r="H740">
        <v>75</v>
      </c>
      <c r="I740">
        <v>830</v>
      </c>
      <c r="J740">
        <v>5067150</v>
      </c>
      <c r="K740" s="7" t="str">
        <f>IFERROR(IF(B740&lt;&gt;"", TEXT(VLOOKUP(B740, 'Expected Date'!A:B, 2, FALSE) + DATE(RIGHT(C740,2),MID(C740,4,2),LEFT(C740,2)), "dd/mm/yy"), ""), "")</f>
        <v>11/06/23</v>
      </c>
      <c r="L740" t="s">
        <v>68</v>
      </c>
      <c r="M740" t="str">
        <f>M633</f>
        <v>MT</v>
      </c>
      <c r="N740" t="s">
        <v>144</v>
      </c>
      <c r="O740" t="s">
        <v>477</v>
      </c>
      <c r="P740">
        <v>23390077</v>
      </c>
      <c r="Q740" t="s">
        <v>571</v>
      </c>
      <c r="R740" t="s">
        <v>360</v>
      </c>
      <c r="S740">
        <v>73.992999999999995</v>
      </c>
      <c r="T740">
        <v>830</v>
      </c>
      <c r="U740">
        <v>4999115.07</v>
      </c>
      <c r="V740" t="str">
        <f t="shared" si="196"/>
        <v>Jhagadia</v>
      </c>
      <c r="W740" t="str">
        <f>VLOOKUP(B740, Currency!A:B, 2, FALSE)</f>
        <v>USD</v>
      </c>
      <c r="X740" t="str">
        <f t="shared" si="197"/>
        <v>Accepted</v>
      </c>
      <c r="Y740">
        <f>IFERROR(VLOOKUP(N740, Payment_Terms!A:B, 2, FALSE), "Payment term not found!")</f>
        <v>30</v>
      </c>
      <c r="Z740" t="str">
        <f>IFERROR(VLOOKUP(R740, Item_Category!A:B, 2, FALSE), "Uncategorized")</f>
        <v>Wood pulp</v>
      </c>
      <c r="AA740" s="5">
        <f t="shared" si="201"/>
        <v>1.3426666666666733E-2</v>
      </c>
      <c r="AB740">
        <f t="shared" si="202"/>
        <v>4</v>
      </c>
      <c r="AC740" s="10">
        <f t="shared" si="203"/>
        <v>-46</v>
      </c>
      <c r="AD740">
        <f t="shared" si="204"/>
        <v>5</v>
      </c>
      <c r="AE740" s="10">
        <f t="shared" si="205"/>
        <v>1</v>
      </c>
      <c r="AF740" s="5">
        <f t="shared" si="198"/>
        <v>1</v>
      </c>
      <c r="AG740" s="5">
        <f t="shared" si="199"/>
        <v>1</v>
      </c>
      <c r="AH740" s="5">
        <f t="shared" si="206"/>
        <v>0</v>
      </c>
      <c r="AI740">
        <f>IF(B740&lt;&gt;"", COUNTIFS($B$2:B740, B740), "")</f>
        <v>38</v>
      </c>
      <c r="AJ740">
        <f t="shared" si="207"/>
        <v>5</v>
      </c>
      <c r="AK740">
        <f t="shared" si="200"/>
        <v>5</v>
      </c>
      <c r="AL740">
        <f t="shared" si="208"/>
        <v>4</v>
      </c>
      <c r="AM740" t="str">
        <f t="shared" si="209"/>
        <v>April</v>
      </c>
      <c r="AN740">
        <f t="shared" si="210"/>
        <v>2023</v>
      </c>
      <c r="AO740" t="str">
        <f t="shared" si="211"/>
        <v>&gt;3</v>
      </c>
      <c r="AP740" t="str">
        <f t="shared" si="212"/>
        <v>&gt;3</v>
      </c>
      <c r="AQ740" t="str">
        <f t="shared" si="213"/>
        <v>&gt;3</v>
      </c>
    </row>
    <row r="741" spans="1:43" x14ac:dyDescent="0.3">
      <c r="A741" t="s">
        <v>33</v>
      </c>
      <c r="B741" t="s">
        <v>513</v>
      </c>
      <c r="C741" t="s">
        <v>103</v>
      </c>
      <c r="D741">
        <v>4198</v>
      </c>
      <c r="E741">
        <v>23310340</v>
      </c>
      <c r="F741" t="s">
        <v>563</v>
      </c>
      <c r="G741" t="s">
        <v>515</v>
      </c>
      <c r="H741">
        <v>2500</v>
      </c>
      <c r="I741">
        <v>24</v>
      </c>
      <c r="J741">
        <v>60000</v>
      </c>
      <c r="K741" s="7" t="str">
        <f>IFERROR(IF(B741&lt;&gt;"", TEXT(VLOOKUP(B741, 'Expected Date'!A:B, 2, FALSE) + DATE(RIGHT(C741,2),MID(C741,4,2),LEFT(C741,2)), "dd/mm/yy"), ""), "")</f>
        <v>08/09/23</v>
      </c>
      <c r="L741" t="s">
        <v>38</v>
      </c>
      <c r="M741" t="s">
        <v>48</v>
      </c>
      <c r="N741" t="s">
        <v>342</v>
      </c>
      <c r="O741" t="s">
        <v>270</v>
      </c>
      <c r="P741">
        <v>23390582</v>
      </c>
      <c r="Q741" t="s">
        <v>563</v>
      </c>
      <c r="R741" t="s">
        <v>515</v>
      </c>
      <c r="S741">
        <v>1000</v>
      </c>
      <c r="T741">
        <v>24</v>
      </c>
      <c r="U741">
        <v>24000</v>
      </c>
      <c r="V741" t="str">
        <f t="shared" si="196"/>
        <v>Jhagadia</v>
      </c>
      <c r="W741" t="str">
        <f>VLOOKUP(B741, Currency!A:B, 2, FALSE)</f>
        <v>INR</v>
      </c>
      <c r="X741" t="str">
        <f t="shared" si="197"/>
        <v>Accepted</v>
      </c>
      <c r="Y741">
        <f>IFERROR(VLOOKUP(N741, Payment_Terms!A:B, 2, FALSE), "Payment term not found!")</f>
        <v>30</v>
      </c>
      <c r="Z741" t="str">
        <f>IFERROR(VLOOKUP(R741, Item_Category!A:B, 2, FALSE), "Uncategorized")</f>
        <v xml:space="preserve">Caustic Soda </v>
      </c>
      <c r="AA741" s="5">
        <f t="shared" si="201"/>
        <v>0</v>
      </c>
      <c r="AB741">
        <f t="shared" si="202"/>
        <v>5</v>
      </c>
      <c r="AC741" s="10">
        <f t="shared" si="203"/>
        <v>8</v>
      </c>
      <c r="AD741">
        <f t="shared" si="204"/>
        <v>2</v>
      </c>
      <c r="AE741" s="10">
        <f t="shared" si="205"/>
        <v>10</v>
      </c>
      <c r="AF741" s="5">
        <f t="shared" si="198"/>
        <v>1</v>
      </c>
      <c r="AG741" s="5">
        <f t="shared" si="199"/>
        <v>1</v>
      </c>
      <c r="AH741" s="5">
        <f t="shared" si="206"/>
        <v>0</v>
      </c>
      <c r="AI741">
        <f>IF(B741&lt;&gt;"", COUNTIFS($B$2:B741, B741), "")</f>
        <v>14</v>
      </c>
      <c r="AJ741">
        <f t="shared" si="207"/>
        <v>5</v>
      </c>
      <c r="AK741">
        <f t="shared" si="200"/>
        <v>5</v>
      </c>
      <c r="AL741">
        <f t="shared" si="208"/>
        <v>9</v>
      </c>
      <c r="AM741" t="str">
        <f t="shared" si="209"/>
        <v>September</v>
      </c>
      <c r="AN741">
        <f t="shared" si="210"/>
        <v>2023</v>
      </c>
      <c r="AO741" t="str">
        <f t="shared" si="211"/>
        <v>&gt;3</v>
      </c>
      <c r="AP741" t="str">
        <f t="shared" si="212"/>
        <v>&gt;3</v>
      </c>
      <c r="AQ741" t="str">
        <f t="shared" si="213"/>
        <v>&lt;=3</v>
      </c>
    </row>
    <row r="742" spans="1:43" x14ac:dyDescent="0.3">
      <c r="A742" t="s">
        <v>33</v>
      </c>
      <c r="B742" t="s">
        <v>386</v>
      </c>
      <c r="C742" t="s">
        <v>110</v>
      </c>
      <c r="D742">
        <v>2497</v>
      </c>
      <c r="E742">
        <v>23310177</v>
      </c>
      <c r="F742" t="s">
        <v>578</v>
      </c>
      <c r="G742" t="s">
        <v>579</v>
      </c>
      <c r="H742">
        <v>150</v>
      </c>
      <c r="I742">
        <v>129</v>
      </c>
      <c r="J742">
        <v>19350</v>
      </c>
      <c r="K742" s="7" t="str">
        <f>IFERROR(IF(B742&lt;&gt;"", TEXT(VLOOKUP(B742, 'Expected Date'!A:B, 2, FALSE) + DATE(RIGHT(C742,2),MID(C742,4,2),LEFT(C742,2)), "dd/mm/yy"), ""), "")</f>
        <v>05/06/23</v>
      </c>
      <c r="L742" t="s">
        <v>38</v>
      </c>
      <c r="M742" t="s">
        <v>48</v>
      </c>
      <c r="N742" t="s">
        <v>342</v>
      </c>
      <c r="O742" t="s">
        <v>195</v>
      </c>
      <c r="P742">
        <v>23390259</v>
      </c>
      <c r="Q742" t="s">
        <v>578</v>
      </c>
      <c r="R742" t="s">
        <v>579</v>
      </c>
      <c r="S742">
        <v>150</v>
      </c>
      <c r="T742">
        <v>129</v>
      </c>
      <c r="U742">
        <v>19350</v>
      </c>
      <c r="V742" t="str">
        <f t="shared" si="196"/>
        <v>Jhagadia</v>
      </c>
      <c r="W742" t="str">
        <f>VLOOKUP(B742, Currency!A:B, 2, FALSE)</f>
        <v>INR</v>
      </c>
      <c r="X742" t="str">
        <f t="shared" si="197"/>
        <v>Accepted</v>
      </c>
      <c r="Y742">
        <f>IFERROR(VLOOKUP(N742, Payment_Terms!A:B, 2, FALSE), "Payment term not found!")</f>
        <v>30</v>
      </c>
      <c r="Z742" t="str">
        <f>IFERROR(VLOOKUP(R742, Item_Category!A:B, 2, FALSE), "Uncategorized")</f>
        <v>Film</v>
      </c>
      <c r="AA742" s="5">
        <f t="shared" si="201"/>
        <v>0</v>
      </c>
      <c r="AB742">
        <f t="shared" si="202"/>
        <v>5</v>
      </c>
      <c r="AC742" s="10">
        <f t="shared" si="203"/>
        <v>10</v>
      </c>
      <c r="AD742">
        <f t="shared" si="204"/>
        <v>2</v>
      </c>
      <c r="AE742" s="10">
        <f t="shared" si="205"/>
        <v>15</v>
      </c>
      <c r="AF742" s="5">
        <f t="shared" si="198"/>
        <v>1</v>
      </c>
      <c r="AG742" s="5">
        <f t="shared" si="199"/>
        <v>1</v>
      </c>
      <c r="AH742" s="5">
        <f t="shared" si="206"/>
        <v>0</v>
      </c>
      <c r="AI742">
        <f>IF(B742&lt;&gt;"", COUNTIFS($B$2:B742, B742), "")</f>
        <v>40</v>
      </c>
      <c r="AJ742">
        <f t="shared" si="207"/>
        <v>5</v>
      </c>
      <c r="AK742">
        <f t="shared" si="200"/>
        <v>5</v>
      </c>
      <c r="AL742">
        <f t="shared" si="208"/>
        <v>5</v>
      </c>
      <c r="AM742" t="str">
        <f t="shared" si="209"/>
        <v>May</v>
      </c>
      <c r="AN742">
        <f t="shared" si="210"/>
        <v>2023</v>
      </c>
      <c r="AO742" t="str">
        <f t="shared" si="211"/>
        <v>&gt;3</v>
      </c>
      <c r="AP742" t="str">
        <f t="shared" si="212"/>
        <v>&gt;3</v>
      </c>
      <c r="AQ742" t="str">
        <f t="shared" si="213"/>
        <v>&lt;=3</v>
      </c>
    </row>
    <row r="743" spans="1:43" x14ac:dyDescent="0.3">
      <c r="A743" t="s">
        <v>33</v>
      </c>
      <c r="B743" t="s">
        <v>157</v>
      </c>
      <c r="C743" t="s">
        <v>172</v>
      </c>
      <c r="D743">
        <v>1181</v>
      </c>
      <c r="E743">
        <v>23310004</v>
      </c>
      <c r="F743" t="s">
        <v>583</v>
      </c>
      <c r="G743" t="s">
        <v>159</v>
      </c>
      <c r="H743">
        <v>250</v>
      </c>
      <c r="I743">
        <v>270</v>
      </c>
      <c r="J743">
        <v>67500</v>
      </c>
      <c r="K743" s="7" t="str">
        <f>IFERROR(IF(B743&lt;&gt;"", TEXT(VLOOKUP(B743, 'Expected Date'!A:B, 2, FALSE) + DATE(RIGHT(C743,2),MID(C743,4,2),LEFT(C743,2)), "dd/mm/yy"), ""), "")</f>
        <v>16/04/23</v>
      </c>
      <c r="L743" t="s">
        <v>38</v>
      </c>
      <c r="M743" t="s">
        <v>48</v>
      </c>
      <c r="N743" t="s">
        <v>435</v>
      </c>
      <c r="O743" t="s">
        <v>97</v>
      </c>
      <c r="P743">
        <v>23390018</v>
      </c>
      <c r="Q743" t="s">
        <v>583</v>
      </c>
      <c r="R743" t="s">
        <v>159</v>
      </c>
      <c r="S743">
        <v>250</v>
      </c>
      <c r="T743">
        <v>270</v>
      </c>
      <c r="U743">
        <v>67500</v>
      </c>
      <c r="V743" t="str">
        <f t="shared" si="196"/>
        <v>Jhagadia</v>
      </c>
      <c r="W743" t="str">
        <f>VLOOKUP(B743, Currency!A:B, 2, FALSE)</f>
        <v>INR</v>
      </c>
      <c r="X743" t="str">
        <f t="shared" si="197"/>
        <v>Accepted</v>
      </c>
      <c r="Y743">
        <f>IFERROR(VLOOKUP(N743, Payment_Terms!A:B, 2, FALSE), "Payment term not found!")</f>
        <v>0</v>
      </c>
      <c r="Z743" t="str">
        <f>IFERROR(VLOOKUP(R743, Item_Category!A:B, 2, FALSE), "Uncategorized")</f>
        <v>Sodium salts</v>
      </c>
      <c r="AA743" s="5">
        <f t="shared" si="201"/>
        <v>0</v>
      </c>
      <c r="AB743">
        <f t="shared" si="202"/>
        <v>5</v>
      </c>
      <c r="AC743" s="10">
        <f t="shared" si="203"/>
        <v>-5</v>
      </c>
      <c r="AD743">
        <f t="shared" si="204"/>
        <v>5</v>
      </c>
      <c r="AE743" s="10">
        <f t="shared" si="205"/>
        <v>5</v>
      </c>
      <c r="AF743" s="5">
        <f t="shared" si="198"/>
        <v>1</v>
      </c>
      <c r="AG743" s="5">
        <f t="shared" si="199"/>
        <v>1</v>
      </c>
      <c r="AH743" s="5">
        <f t="shared" si="206"/>
        <v>0</v>
      </c>
      <c r="AI743">
        <f>IF(B743&lt;&gt;"", COUNTIFS($B$2:B743, B743), "")</f>
        <v>12</v>
      </c>
      <c r="AJ743">
        <f t="shared" si="207"/>
        <v>5</v>
      </c>
      <c r="AK743">
        <f t="shared" si="200"/>
        <v>5</v>
      </c>
      <c r="AL743">
        <f t="shared" si="208"/>
        <v>4</v>
      </c>
      <c r="AM743" t="str">
        <f t="shared" si="209"/>
        <v>April</v>
      </c>
      <c r="AN743">
        <f t="shared" si="210"/>
        <v>2023</v>
      </c>
      <c r="AO743" t="str">
        <f t="shared" si="211"/>
        <v>&gt;3</v>
      </c>
      <c r="AP743" t="str">
        <f t="shared" si="212"/>
        <v>&gt;3</v>
      </c>
      <c r="AQ743" t="str">
        <f t="shared" si="213"/>
        <v>&gt;3</v>
      </c>
    </row>
    <row r="744" spans="1:43" x14ac:dyDescent="0.3">
      <c r="A744" t="str">
        <f>A712</f>
        <v>Woodpulp</v>
      </c>
      <c r="B744" t="s">
        <v>140</v>
      </c>
      <c r="C744" t="s">
        <v>343</v>
      </c>
      <c r="D744">
        <v>1249</v>
      </c>
      <c r="E744">
        <v>23320005</v>
      </c>
      <c r="F744" t="s">
        <v>571</v>
      </c>
      <c r="G744" t="s">
        <v>360</v>
      </c>
      <c r="H744">
        <v>100</v>
      </c>
      <c r="I744">
        <v>830</v>
      </c>
      <c r="J744">
        <v>6731300</v>
      </c>
      <c r="K744" s="7" t="str">
        <f>IFERROR(IF(B744&lt;&gt;"", TEXT(VLOOKUP(B744, 'Expected Date'!A:B, 2, FALSE) + DATE(RIGHT(C744,2),MID(C744,4,2),LEFT(C744,2)), "dd/mm/yy"), ""), "")</f>
        <v>27/05/23</v>
      </c>
      <c r="L744" t="s">
        <v>68</v>
      </c>
      <c r="M744" t="str">
        <f>M706</f>
        <v>MT</v>
      </c>
      <c r="N744" t="s">
        <v>144</v>
      </c>
      <c r="O744" t="s">
        <v>396</v>
      </c>
      <c r="P744">
        <v>23390019</v>
      </c>
      <c r="Q744" t="s">
        <v>571</v>
      </c>
      <c r="R744" t="s">
        <v>360</v>
      </c>
      <c r="S744">
        <v>98.751999999999995</v>
      </c>
      <c r="T744">
        <v>830</v>
      </c>
      <c r="U744">
        <v>6647293.3799999999</v>
      </c>
      <c r="V744" t="str">
        <f t="shared" si="196"/>
        <v>Jhagadia</v>
      </c>
      <c r="W744" t="str">
        <f>VLOOKUP(B744, Currency!A:B, 2, FALSE)</f>
        <v>USD</v>
      </c>
      <c r="X744" t="str">
        <f t="shared" si="197"/>
        <v>Accepted</v>
      </c>
      <c r="Y744">
        <f>IFERROR(VLOOKUP(N744, Payment_Terms!A:B, 2, FALSE), "Payment term not found!")</f>
        <v>30</v>
      </c>
      <c r="Z744" t="str">
        <f>IFERROR(VLOOKUP(R744, Item_Category!A:B, 2, FALSE), "Uncategorized")</f>
        <v>Wood pulp</v>
      </c>
      <c r="AA744" s="5">
        <f t="shared" si="201"/>
        <v>1.2480000000000047E-2</v>
      </c>
      <c r="AB744">
        <f t="shared" si="202"/>
        <v>4</v>
      </c>
      <c r="AC744" s="10">
        <f t="shared" si="203"/>
        <v>-50</v>
      </c>
      <c r="AD744">
        <f t="shared" si="204"/>
        <v>5</v>
      </c>
      <c r="AE744" s="10">
        <f t="shared" si="205"/>
        <v>5</v>
      </c>
      <c r="AF744" s="5">
        <f t="shared" si="198"/>
        <v>1</v>
      </c>
      <c r="AG744" s="5">
        <f t="shared" si="199"/>
        <v>1</v>
      </c>
      <c r="AH744" s="5">
        <f t="shared" si="206"/>
        <v>0</v>
      </c>
      <c r="AI744">
        <f>IF(B744&lt;&gt;"", COUNTIFS($B$2:B744, B744), "")</f>
        <v>39</v>
      </c>
      <c r="AJ744">
        <f t="shared" si="207"/>
        <v>5</v>
      </c>
      <c r="AK744">
        <f t="shared" si="200"/>
        <v>5</v>
      </c>
      <c r="AL744">
        <f t="shared" si="208"/>
        <v>4</v>
      </c>
      <c r="AM744" t="str">
        <f t="shared" si="209"/>
        <v>April</v>
      </c>
      <c r="AN744">
        <f t="shared" si="210"/>
        <v>2023</v>
      </c>
      <c r="AO744" t="str">
        <f t="shared" si="211"/>
        <v>&gt;3</v>
      </c>
      <c r="AP744" t="str">
        <f t="shared" si="212"/>
        <v>&gt;3</v>
      </c>
      <c r="AQ744" t="str">
        <f t="shared" si="213"/>
        <v>&gt;3</v>
      </c>
    </row>
    <row r="745" spans="1:43" x14ac:dyDescent="0.3">
      <c r="A745" t="s">
        <v>33</v>
      </c>
      <c r="B745" t="s">
        <v>366</v>
      </c>
      <c r="C745" t="s">
        <v>265</v>
      </c>
      <c r="D745">
        <v>1264</v>
      </c>
      <c r="E745">
        <v>23310015</v>
      </c>
      <c r="F745" t="s">
        <v>569</v>
      </c>
      <c r="G745" t="s">
        <v>570</v>
      </c>
      <c r="H745">
        <v>70</v>
      </c>
      <c r="I745">
        <v>10857.14</v>
      </c>
      <c r="J745">
        <v>759999.8</v>
      </c>
      <c r="K745" s="7" t="str">
        <f>IFERROR(IF(B745&lt;&gt;"", TEXT(VLOOKUP(B745, 'Expected Date'!A:B, 2, FALSE) + DATE(RIGHT(C745,2),MID(C745,4,2),LEFT(C745,2)), "dd/mm/yy"), ""), "")</f>
        <v>12/04/23</v>
      </c>
      <c r="L745" t="s">
        <v>38</v>
      </c>
      <c r="M745" t="s">
        <v>48</v>
      </c>
      <c r="N745" t="s">
        <v>574</v>
      </c>
      <c r="O745" t="s">
        <v>97</v>
      </c>
      <c r="P745">
        <v>23390021</v>
      </c>
      <c r="Q745" t="s">
        <v>569</v>
      </c>
      <c r="R745" t="s">
        <v>570</v>
      </c>
      <c r="S745">
        <v>26.75</v>
      </c>
      <c r="T745">
        <v>10857.14</v>
      </c>
      <c r="U745">
        <v>290428.5</v>
      </c>
      <c r="V745" t="str">
        <f t="shared" si="196"/>
        <v>Jhagadia</v>
      </c>
      <c r="W745" t="str">
        <f>VLOOKUP(B745, Currency!A:B, 2, FALSE)</f>
        <v>INR</v>
      </c>
      <c r="X745" t="str">
        <f t="shared" si="197"/>
        <v>Accepted</v>
      </c>
      <c r="Y745">
        <f>IFERROR(VLOOKUP(N745, Payment_Terms!A:B, 2, FALSE), "Payment term not found!")</f>
        <v>0</v>
      </c>
      <c r="Z745" t="str">
        <f>IFERROR(VLOOKUP(R745, Item_Category!A:B, 2, FALSE), "Uncategorized")</f>
        <v>Coal materials</v>
      </c>
      <c r="AA745" s="5">
        <f t="shared" si="201"/>
        <v>0</v>
      </c>
      <c r="AB745">
        <f t="shared" si="202"/>
        <v>5</v>
      </c>
      <c r="AC745" s="10">
        <f t="shared" si="203"/>
        <v>-1</v>
      </c>
      <c r="AD745">
        <f t="shared" si="204"/>
        <v>5</v>
      </c>
      <c r="AE745" s="10">
        <f t="shared" si="205"/>
        <v>1</v>
      </c>
      <c r="AF745" s="5">
        <f t="shared" si="198"/>
        <v>1</v>
      </c>
      <c r="AG745" s="5">
        <f t="shared" si="199"/>
        <v>1</v>
      </c>
      <c r="AH745" s="5">
        <f t="shared" si="206"/>
        <v>0</v>
      </c>
      <c r="AI745">
        <f>IF(B745&lt;&gt;"", COUNTIFS($B$2:B745, B745), "")</f>
        <v>88</v>
      </c>
      <c r="AJ745">
        <f t="shared" si="207"/>
        <v>5</v>
      </c>
      <c r="AK745">
        <f t="shared" si="200"/>
        <v>5</v>
      </c>
      <c r="AL745">
        <f t="shared" si="208"/>
        <v>4</v>
      </c>
      <c r="AM745" t="str">
        <f t="shared" si="209"/>
        <v>April</v>
      </c>
      <c r="AN745">
        <f t="shared" si="210"/>
        <v>2023</v>
      </c>
      <c r="AO745" t="str">
        <f t="shared" si="211"/>
        <v>&gt;3</v>
      </c>
      <c r="AP745" t="str">
        <f t="shared" si="212"/>
        <v>&gt;3</v>
      </c>
      <c r="AQ745" t="str">
        <f t="shared" si="213"/>
        <v>&gt;3</v>
      </c>
    </row>
    <row r="746" spans="1:43" x14ac:dyDescent="0.3">
      <c r="A746" t="s">
        <v>33</v>
      </c>
      <c r="B746" t="s">
        <v>366</v>
      </c>
      <c r="C746" t="s">
        <v>265</v>
      </c>
      <c r="D746">
        <v>1264</v>
      </c>
      <c r="E746">
        <v>23310015</v>
      </c>
      <c r="F746" t="s">
        <v>569</v>
      </c>
      <c r="G746" t="s">
        <v>570</v>
      </c>
      <c r="H746">
        <v>70</v>
      </c>
      <c r="I746">
        <v>10857.14</v>
      </c>
      <c r="J746">
        <v>759999.8</v>
      </c>
      <c r="K746" s="7" t="str">
        <f>IFERROR(IF(B746&lt;&gt;"", TEXT(VLOOKUP(B746, 'Expected Date'!A:B, 2, FALSE) + DATE(RIGHT(C746,2),MID(C746,4,2),LEFT(C746,2)), "dd/mm/yy"), ""), "")</f>
        <v>12/04/23</v>
      </c>
      <c r="L746" t="s">
        <v>38</v>
      </c>
      <c r="M746" t="s">
        <v>48</v>
      </c>
      <c r="N746" t="s">
        <v>574</v>
      </c>
      <c r="O746" t="s">
        <v>378</v>
      </c>
      <c r="P746">
        <v>23390025</v>
      </c>
      <c r="Q746" t="s">
        <v>569</v>
      </c>
      <c r="R746" t="s">
        <v>570</v>
      </c>
      <c r="S746">
        <v>26.51</v>
      </c>
      <c r="T746">
        <v>10857.14</v>
      </c>
      <c r="U746">
        <v>287822.78000000003</v>
      </c>
      <c r="V746" t="str">
        <f t="shared" si="196"/>
        <v>Jhagadia</v>
      </c>
      <c r="W746" t="str">
        <f>VLOOKUP(B746, Currency!A:B, 2, FALSE)</f>
        <v>INR</v>
      </c>
      <c r="X746" t="str">
        <f t="shared" si="197"/>
        <v>Accepted</v>
      </c>
      <c r="Y746">
        <f>IFERROR(VLOOKUP(N746, Payment_Terms!A:B, 2, FALSE), "Payment term not found!")</f>
        <v>0</v>
      </c>
      <c r="Z746" t="str">
        <f>IFERROR(VLOOKUP(R746, Item_Category!A:B, 2, FALSE), "Uncategorized")</f>
        <v>Coal materials</v>
      </c>
      <c r="AA746" s="5">
        <f t="shared" si="201"/>
        <v>0</v>
      </c>
      <c r="AB746">
        <f t="shared" si="202"/>
        <v>5</v>
      </c>
      <c r="AC746" s="10">
        <f t="shared" si="203"/>
        <v>3</v>
      </c>
      <c r="AD746">
        <f t="shared" si="204"/>
        <v>4</v>
      </c>
      <c r="AE746" s="10">
        <f t="shared" si="205"/>
        <v>5</v>
      </c>
      <c r="AF746" s="5">
        <f t="shared" si="198"/>
        <v>1</v>
      </c>
      <c r="AG746" s="5">
        <f t="shared" si="199"/>
        <v>1</v>
      </c>
      <c r="AH746" s="5">
        <f t="shared" si="206"/>
        <v>0</v>
      </c>
      <c r="AI746">
        <f>IF(B746&lt;&gt;"", COUNTIFS($B$2:B746, B746), "")</f>
        <v>89</v>
      </c>
      <c r="AJ746">
        <f t="shared" si="207"/>
        <v>5</v>
      </c>
      <c r="AK746">
        <f t="shared" si="200"/>
        <v>5</v>
      </c>
      <c r="AL746">
        <f t="shared" si="208"/>
        <v>4</v>
      </c>
      <c r="AM746" t="str">
        <f t="shared" si="209"/>
        <v>April</v>
      </c>
      <c r="AN746">
        <f t="shared" si="210"/>
        <v>2023</v>
      </c>
      <c r="AO746" t="str">
        <f t="shared" si="211"/>
        <v>&gt;3</v>
      </c>
      <c r="AP746" t="str">
        <f t="shared" si="212"/>
        <v>&gt;3</v>
      </c>
      <c r="AQ746" t="str">
        <f t="shared" si="213"/>
        <v>&gt;3</v>
      </c>
    </row>
    <row r="747" spans="1:43" x14ac:dyDescent="0.3">
      <c r="A747" t="str">
        <f>A671</f>
        <v>Woodpulp</v>
      </c>
      <c r="B747" t="s">
        <v>96</v>
      </c>
      <c r="C747" t="s">
        <v>168</v>
      </c>
      <c r="D747">
        <v>1301</v>
      </c>
      <c r="E747">
        <v>23320006</v>
      </c>
      <c r="F747" t="s">
        <v>585</v>
      </c>
      <c r="G747" t="s">
        <v>99</v>
      </c>
      <c r="H747">
        <v>50</v>
      </c>
      <c r="I747">
        <v>860</v>
      </c>
      <c r="J747">
        <v>3487300</v>
      </c>
      <c r="K747" s="7" t="str">
        <f>IFERROR(IF(B747&lt;&gt;"", TEXT(VLOOKUP(B747, 'Expected Date'!A:B, 2, FALSE) + DATE(RIGHT(C747,2),MID(C747,4,2),LEFT(C747,2)), "dd/mm/yy"), ""), "")</f>
        <v>16/06/23</v>
      </c>
      <c r="L747" t="s">
        <v>38</v>
      </c>
      <c r="M747" t="str">
        <f>M706</f>
        <v>MT</v>
      </c>
      <c r="N747" t="s">
        <v>596</v>
      </c>
      <c r="O747" t="s">
        <v>80</v>
      </c>
      <c r="P747">
        <v>23390027</v>
      </c>
      <c r="Q747" t="s">
        <v>585</v>
      </c>
      <c r="R747" t="s">
        <v>99</v>
      </c>
      <c r="S747">
        <v>52.838000000000001</v>
      </c>
      <c r="T747">
        <v>860</v>
      </c>
      <c r="U747">
        <v>3685239.15</v>
      </c>
      <c r="V747" t="str">
        <f t="shared" si="196"/>
        <v>Jhagadia</v>
      </c>
      <c r="W747" t="str">
        <f>VLOOKUP(B747, Currency!A:B, 2, FALSE)</f>
        <v>USD</v>
      </c>
      <c r="X747" t="str">
        <f t="shared" si="197"/>
        <v>Accepted</v>
      </c>
      <c r="Y747">
        <f>IFERROR(VLOOKUP(N747, Payment_Terms!A:B, 2, FALSE), "Payment term not found!")</f>
        <v>60</v>
      </c>
      <c r="Z747" t="str">
        <f>IFERROR(VLOOKUP(R747, Item_Category!A:B, 2, FALSE), "Uncategorized")</f>
        <v>Wood pulp</v>
      </c>
      <c r="AA747" s="5">
        <f t="shared" si="201"/>
        <v>0</v>
      </c>
      <c r="AB747">
        <f t="shared" si="202"/>
        <v>5</v>
      </c>
      <c r="AC747" s="10">
        <f t="shared" si="203"/>
        <v>-63</v>
      </c>
      <c r="AD747">
        <f t="shared" si="204"/>
        <v>5</v>
      </c>
      <c r="AE747" s="10">
        <f t="shared" si="205"/>
        <v>3</v>
      </c>
      <c r="AF747" s="5">
        <f t="shared" si="198"/>
        <v>1</v>
      </c>
      <c r="AG747" s="5">
        <f t="shared" si="199"/>
        <v>1</v>
      </c>
      <c r="AH747" s="5">
        <f t="shared" si="206"/>
        <v>0</v>
      </c>
      <c r="AI747">
        <f>IF(B747&lt;&gt;"", COUNTIFS($B$2:B747, B747), "")</f>
        <v>19</v>
      </c>
      <c r="AJ747">
        <f t="shared" si="207"/>
        <v>5</v>
      </c>
      <c r="AK747">
        <f t="shared" si="200"/>
        <v>5</v>
      </c>
      <c r="AL747">
        <f t="shared" si="208"/>
        <v>4</v>
      </c>
      <c r="AM747" t="str">
        <f t="shared" si="209"/>
        <v>April</v>
      </c>
      <c r="AN747">
        <f t="shared" si="210"/>
        <v>2023</v>
      </c>
      <c r="AO747" t="str">
        <f t="shared" si="211"/>
        <v>&gt;3</v>
      </c>
      <c r="AP747" t="str">
        <f t="shared" si="212"/>
        <v>&gt;3</v>
      </c>
      <c r="AQ747" t="str">
        <f t="shared" si="213"/>
        <v>&gt;3</v>
      </c>
    </row>
    <row r="748" spans="1:43" x14ac:dyDescent="0.3">
      <c r="A748" t="s">
        <v>33</v>
      </c>
      <c r="B748" t="s">
        <v>513</v>
      </c>
      <c r="C748" t="s">
        <v>414</v>
      </c>
      <c r="D748">
        <v>2295</v>
      </c>
      <c r="E748">
        <v>23310157</v>
      </c>
      <c r="F748" t="s">
        <v>563</v>
      </c>
      <c r="G748" t="s">
        <v>515</v>
      </c>
      <c r="H748">
        <v>2500</v>
      </c>
      <c r="I748">
        <v>26</v>
      </c>
      <c r="J748">
        <v>65000</v>
      </c>
      <c r="K748" s="7" t="str">
        <f>IFERROR(IF(B748&lt;&gt;"", TEXT(VLOOKUP(B748, 'Expected Date'!A:B, 2, FALSE) + DATE(RIGHT(C748,2),MID(C748,4,2),LEFT(C748,2)), "dd/mm/yy"), ""), "")</f>
        <v>03/06/23</v>
      </c>
      <c r="L748" t="s">
        <v>38</v>
      </c>
      <c r="M748" t="s">
        <v>48</v>
      </c>
      <c r="N748" t="s">
        <v>342</v>
      </c>
      <c r="O748" t="s">
        <v>139</v>
      </c>
      <c r="P748">
        <v>23390281</v>
      </c>
      <c r="Q748" t="s">
        <v>563</v>
      </c>
      <c r="R748" t="s">
        <v>515</v>
      </c>
      <c r="S748">
        <v>1000</v>
      </c>
      <c r="T748">
        <v>26</v>
      </c>
      <c r="U748">
        <v>26000</v>
      </c>
      <c r="V748" t="str">
        <f t="shared" si="196"/>
        <v>Jhagadia</v>
      </c>
      <c r="W748" t="str">
        <f>VLOOKUP(B748, Currency!A:B, 2, FALSE)</f>
        <v>INR</v>
      </c>
      <c r="X748" t="str">
        <f t="shared" si="197"/>
        <v>Accepted</v>
      </c>
      <c r="Y748">
        <f>IFERROR(VLOOKUP(N748, Payment_Terms!A:B, 2, FALSE), "Payment term not found!")</f>
        <v>30</v>
      </c>
      <c r="Z748" t="str">
        <f>IFERROR(VLOOKUP(R748, Item_Category!A:B, 2, FALSE), "Uncategorized")</f>
        <v xml:space="preserve">Caustic Soda </v>
      </c>
      <c r="AA748" s="5">
        <f t="shared" si="201"/>
        <v>0</v>
      </c>
      <c r="AB748">
        <f t="shared" si="202"/>
        <v>5</v>
      </c>
      <c r="AC748" s="10">
        <f t="shared" si="203"/>
        <v>25</v>
      </c>
      <c r="AD748">
        <f t="shared" si="204"/>
        <v>1</v>
      </c>
      <c r="AE748" s="10">
        <f t="shared" si="205"/>
        <v>27</v>
      </c>
      <c r="AF748" s="5">
        <f t="shared" si="198"/>
        <v>1</v>
      </c>
      <c r="AG748" s="5">
        <f t="shared" si="199"/>
        <v>1</v>
      </c>
      <c r="AH748" s="5">
        <f t="shared" si="206"/>
        <v>0</v>
      </c>
      <c r="AI748">
        <f>IF(B748&lt;&gt;"", COUNTIFS($B$2:B748, B748), "")</f>
        <v>15</v>
      </c>
      <c r="AJ748">
        <f t="shared" si="207"/>
        <v>5</v>
      </c>
      <c r="AK748">
        <f t="shared" si="200"/>
        <v>4</v>
      </c>
      <c r="AL748">
        <f t="shared" si="208"/>
        <v>6</v>
      </c>
      <c r="AM748" t="str">
        <f t="shared" si="209"/>
        <v>June</v>
      </c>
      <c r="AN748">
        <f t="shared" si="210"/>
        <v>2023</v>
      </c>
      <c r="AO748" t="str">
        <f t="shared" si="211"/>
        <v>&gt;3</v>
      </c>
      <c r="AP748" t="str">
        <f t="shared" si="212"/>
        <v>&gt;3</v>
      </c>
      <c r="AQ748" t="str">
        <f t="shared" si="213"/>
        <v>&lt;=3</v>
      </c>
    </row>
    <row r="749" spans="1:43" x14ac:dyDescent="0.3">
      <c r="A749" t="s">
        <v>111</v>
      </c>
      <c r="B749" t="s">
        <v>112</v>
      </c>
      <c r="C749" t="s">
        <v>87</v>
      </c>
      <c r="D749">
        <v>3060</v>
      </c>
      <c r="E749">
        <v>23320030</v>
      </c>
      <c r="F749" t="s">
        <v>113</v>
      </c>
      <c r="G749" t="s">
        <v>114</v>
      </c>
      <c r="H749">
        <v>2000</v>
      </c>
      <c r="I749">
        <v>25</v>
      </c>
      <c r="J749">
        <v>50000</v>
      </c>
      <c r="K749" s="7" t="str">
        <f>IFERROR(IF(B749&lt;&gt;"", TEXT(VLOOKUP(B749, 'Expected Date'!A:B, 2, FALSE) + DATE(RIGHT(C749,2),MID(C749,4,2),LEFT(C749,2)), "dd/mm/yy"), ""), "")</f>
        <v>27/07/23</v>
      </c>
      <c r="L749" t="s">
        <v>38</v>
      </c>
      <c r="M749" t="s">
        <v>48</v>
      </c>
      <c r="N749" t="s">
        <v>115</v>
      </c>
      <c r="O749" t="s">
        <v>120</v>
      </c>
      <c r="P749">
        <v>23390347</v>
      </c>
      <c r="Q749" t="s">
        <v>113</v>
      </c>
      <c r="R749" t="s">
        <v>114</v>
      </c>
      <c r="S749">
        <v>2000</v>
      </c>
      <c r="T749">
        <v>25</v>
      </c>
      <c r="U749">
        <v>50000</v>
      </c>
      <c r="V749" t="str">
        <f t="shared" si="196"/>
        <v>Jhagadia</v>
      </c>
      <c r="W749" t="str">
        <f>VLOOKUP(B749, Currency!A:B, 2, FALSE)</f>
        <v>INR</v>
      </c>
      <c r="X749" t="str">
        <f t="shared" si="197"/>
        <v>Accepted</v>
      </c>
      <c r="Y749">
        <f>IFERROR(VLOOKUP(N749, Payment_Terms!A:B, 2, FALSE), "Payment term not found!")</f>
        <v>30</v>
      </c>
      <c r="Z749" t="str">
        <f>IFERROR(VLOOKUP(R749, Item_Category!A:B, 2, FALSE), "Uncategorized")</f>
        <v>Talc</v>
      </c>
      <c r="AA749" s="5">
        <f t="shared" si="201"/>
        <v>0</v>
      </c>
      <c r="AB749">
        <f t="shared" si="202"/>
        <v>5</v>
      </c>
      <c r="AC749" s="10">
        <f t="shared" si="203"/>
        <v>-7</v>
      </c>
      <c r="AD749">
        <f t="shared" si="204"/>
        <v>5</v>
      </c>
      <c r="AE749" s="10">
        <f t="shared" si="205"/>
        <v>8</v>
      </c>
      <c r="AF749" s="5">
        <f t="shared" si="198"/>
        <v>1</v>
      </c>
      <c r="AG749" s="5">
        <f t="shared" si="199"/>
        <v>0.56000000000000005</v>
      </c>
      <c r="AH749" s="5">
        <f t="shared" si="206"/>
        <v>0.44</v>
      </c>
      <c r="AI749">
        <f>IF(B749&lt;&gt;"", COUNTIFS($B$2:B749, B749), "")</f>
        <v>3</v>
      </c>
      <c r="AJ749">
        <f t="shared" si="207"/>
        <v>1</v>
      </c>
      <c r="AK749">
        <f t="shared" si="200"/>
        <v>4</v>
      </c>
      <c r="AL749">
        <f t="shared" si="208"/>
        <v>7</v>
      </c>
      <c r="AM749" t="str">
        <f t="shared" si="209"/>
        <v>July</v>
      </c>
      <c r="AN749">
        <f t="shared" si="210"/>
        <v>2023</v>
      </c>
      <c r="AO749" t="str">
        <f t="shared" si="211"/>
        <v>&lt;=3</v>
      </c>
      <c r="AP749" t="str">
        <f t="shared" si="212"/>
        <v>&gt;3</v>
      </c>
      <c r="AQ749" t="str">
        <f t="shared" si="213"/>
        <v>&gt;3</v>
      </c>
    </row>
    <row r="750" spans="1:43" x14ac:dyDescent="0.3">
      <c r="A750" t="str">
        <f>A671</f>
        <v>Woodpulp</v>
      </c>
      <c r="B750" t="s">
        <v>96</v>
      </c>
      <c r="C750" t="s">
        <v>97</v>
      </c>
      <c r="D750">
        <v>1228</v>
      </c>
      <c r="E750">
        <v>23320003</v>
      </c>
      <c r="F750" t="s">
        <v>585</v>
      </c>
      <c r="G750" t="s">
        <v>99</v>
      </c>
      <c r="H750">
        <v>52</v>
      </c>
      <c r="I750">
        <v>820</v>
      </c>
      <c r="J750">
        <v>3458104</v>
      </c>
      <c r="K750" s="7" t="str">
        <f>IFERROR(IF(B750&lt;&gt;"", TEXT(VLOOKUP(B750, 'Expected Date'!A:B, 2, FALSE) + DATE(RIGHT(C750,2),MID(C750,4,2),LEFT(C750,2)), "dd/mm/yy"), ""), "")</f>
        <v>10/06/23</v>
      </c>
      <c r="L750" t="s">
        <v>38</v>
      </c>
      <c r="M750" t="str">
        <f>M706</f>
        <v>MT</v>
      </c>
      <c r="N750" t="s">
        <v>102</v>
      </c>
      <c r="O750" t="s">
        <v>191</v>
      </c>
      <c r="P750">
        <v>23390487</v>
      </c>
      <c r="Q750" t="s">
        <v>585</v>
      </c>
      <c r="R750" t="s">
        <v>99</v>
      </c>
      <c r="S750">
        <v>52.841999999999999</v>
      </c>
      <c r="T750">
        <v>820</v>
      </c>
      <c r="U750">
        <v>3561762.17</v>
      </c>
      <c r="V750" t="str">
        <f t="shared" si="196"/>
        <v>Jhagadia</v>
      </c>
      <c r="W750" t="str">
        <f>VLOOKUP(B750, Currency!A:B, 2, FALSE)</f>
        <v>USD</v>
      </c>
      <c r="X750" t="str">
        <f t="shared" si="197"/>
        <v>Accepted</v>
      </c>
      <c r="Y750">
        <f>IFERROR(VLOOKUP(N750, Payment_Terms!A:B, 2, FALSE), "Payment term not found!")</f>
        <v>60</v>
      </c>
      <c r="Z750" t="str">
        <f>IFERROR(VLOOKUP(R750, Item_Category!A:B, 2, FALSE), "Uncategorized")</f>
        <v>Wood pulp</v>
      </c>
      <c r="AA750" s="5">
        <f t="shared" si="201"/>
        <v>0</v>
      </c>
      <c r="AB750">
        <f t="shared" si="202"/>
        <v>5</v>
      </c>
      <c r="AC750" s="10">
        <f t="shared" si="203"/>
        <v>79</v>
      </c>
      <c r="AD750">
        <f t="shared" si="204"/>
        <v>1</v>
      </c>
      <c r="AE750" s="10">
        <f t="shared" si="205"/>
        <v>139</v>
      </c>
      <c r="AF750" s="5">
        <f t="shared" si="198"/>
        <v>1</v>
      </c>
      <c r="AG750" s="5">
        <f t="shared" si="199"/>
        <v>1</v>
      </c>
      <c r="AH750" s="5">
        <f t="shared" si="206"/>
        <v>0</v>
      </c>
      <c r="AI750">
        <f>IF(B750&lt;&gt;"", COUNTIFS($B$2:B750, B750), "")</f>
        <v>20</v>
      </c>
      <c r="AJ750">
        <f t="shared" si="207"/>
        <v>5</v>
      </c>
      <c r="AK750">
        <f t="shared" si="200"/>
        <v>4</v>
      </c>
      <c r="AL750">
        <f t="shared" si="208"/>
        <v>4</v>
      </c>
      <c r="AM750" t="str">
        <f t="shared" si="209"/>
        <v>April</v>
      </c>
      <c r="AN750">
        <f t="shared" si="210"/>
        <v>2023</v>
      </c>
      <c r="AO750" t="str">
        <f t="shared" si="211"/>
        <v>&gt;3</v>
      </c>
      <c r="AP750" t="str">
        <f t="shared" si="212"/>
        <v>&gt;3</v>
      </c>
      <c r="AQ750" t="str">
        <f t="shared" si="213"/>
        <v>&lt;=3</v>
      </c>
    </row>
    <row r="751" spans="1:43" x14ac:dyDescent="0.3">
      <c r="A751" t="str">
        <f>A671</f>
        <v>Woodpulp</v>
      </c>
      <c r="B751" t="s">
        <v>96</v>
      </c>
      <c r="C751" t="s">
        <v>97</v>
      </c>
      <c r="D751">
        <v>1229</v>
      </c>
      <c r="E751">
        <v>23320004</v>
      </c>
      <c r="F751" t="s">
        <v>585</v>
      </c>
      <c r="G751" t="s">
        <v>99</v>
      </c>
      <c r="H751">
        <v>78</v>
      </c>
      <c r="I751">
        <v>820</v>
      </c>
      <c r="J751">
        <v>5187156</v>
      </c>
      <c r="K751" s="7" t="str">
        <f>IFERROR(IF(B751&lt;&gt;"", TEXT(VLOOKUP(B751, 'Expected Date'!A:B, 2, FALSE) + DATE(RIGHT(C751,2),MID(C751,4,2),LEFT(C751,2)), "dd/mm/yy"), ""), "")</f>
        <v>10/06/23</v>
      </c>
      <c r="L751" t="s">
        <v>38</v>
      </c>
      <c r="M751" t="str">
        <f>M706</f>
        <v>MT</v>
      </c>
      <c r="N751" t="s">
        <v>102</v>
      </c>
      <c r="O751" t="s">
        <v>330</v>
      </c>
      <c r="P751">
        <v>23390603</v>
      </c>
      <c r="Q751" t="s">
        <v>585</v>
      </c>
      <c r="R751" t="s">
        <v>99</v>
      </c>
      <c r="S751">
        <v>52.695999999999998</v>
      </c>
      <c r="T751">
        <v>820</v>
      </c>
      <c r="U751">
        <v>3556242.26</v>
      </c>
      <c r="V751" t="str">
        <f t="shared" si="196"/>
        <v>Jhagadia</v>
      </c>
      <c r="W751" t="str">
        <f>VLOOKUP(B751, Currency!A:B, 2, FALSE)</f>
        <v>USD</v>
      </c>
      <c r="X751" t="str">
        <f t="shared" si="197"/>
        <v>Accepted</v>
      </c>
      <c r="Y751">
        <f>IFERROR(VLOOKUP(N751, Payment_Terms!A:B, 2, FALSE), "Payment term not found!")</f>
        <v>60</v>
      </c>
      <c r="Z751" t="str">
        <f>IFERROR(VLOOKUP(R751, Item_Category!A:B, 2, FALSE), "Uncategorized")</f>
        <v>Wood pulp</v>
      </c>
      <c r="AA751" s="5">
        <f t="shared" si="201"/>
        <v>0</v>
      </c>
      <c r="AB751">
        <f t="shared" si="202"/>
        <v>5</v>
      </c>
      <c r="AC751" s="10">
        <f t="shared" si="203"/>
        <v>105</v>
      </c>
      <c r="AD751">
        <f t="shared" si="204"/>
        <v>1</v>
      </c>
      <c r="AE751" s="10">
        <f t="shared" si="205"/>
        <v>165</v>
      </c>
      <c r="AF751" s="5">
        <f t="shared" si="198"/>
        <v>1</v>
      </c>
      <c r="AG751" s="5">
        <f t="shared" si="199"/>
        <v>1</v>
      </c>
      <c r="AH751" s="5">
        <f t="shared" si="206"/>
        <v>0</v>
      </c>
      <c r="AI751">
        <f>IF(B751&lt;&gt;"", COUNTIFS($B$2:B751, B751), "")</f>
        <v>21</v>
      </c>
      <c r="AJ751">
        <f t="shared" si="207"/>
        <v>5</v>
      </c>
      <c r="AK751">
        <f t="shared" si="200"/>
        <v>4</v>
      </c>
      <c r="AL751">
        <f t="shared" si="208"/>
        <v>4</v>
      </c>
      <c r="AM751" t="str">
        <f t="shared" si="209"/>
        <v>April</v>
      </c>
      <c r="AN751">
        <f t="shared" si="210"/>
        <v>2023</v>
      </c>
      <c r="AO751" t="str">
        <f t="shared" si="211"/>
        <v>&gt;3</v>
      </c>
      <c r="AP751" t="str">
        <f t="shared" si="212"/>
        <v>&gt;3</v>
      </c>
      <c r="AQ751" t="str">
        <f t="shared" si="213"/>
        <v>&lt;=3</v>
      </c>
    </row>
    <row r="752" spans="1:43" x14ac:dyDescent="0.3">
      <c r="A752" t="s">
        <v>33</v>
      </c>
      <c r="B752" t="s">
        <v>371</v>
      </c>
      <c r="C752" t="s">
        <v>229</v>
      </c>
      <c r="D752">
        <v>4747</v>
      </c>
      <c r="E752">
        <v>23310395</v>
      </c>
      <c r="F752" t="s">
        <v>552</v>
      </c>
      <c r="G752" t="s">
        <v>373</v>
      </c>
      <c r="H752">
        <v>20</v>
      </c>
      <c r="I752">
        <v>1700</v>
      </c>
      <c r="J752">
        <v>34000</v>
      </c>
      <c r="K752" s="7" t="str">
        <f>IFERROR(IF(B752&lt;&gt;"", TEXT(VLOOKUP(B752, 'Expected Date'!A:B, 2, FALSE) + DATE(RIGHT(C752,2),MID(C752,4,2),LEFT(C752,2)), "dd/mm/yy"), ""), "")</f>
        <v>05/10/23</v>
      </c>
      <c r="L752" t="s">
        <v>68</v>
      </c>
      <c r="M752" t="s">
        <v>48</v>
      </c>
      <c r="N752" t="s">
        <v>342</v>
      </c>
      <c r="O752" t="s">
        <v>254</v>
      </c>
      <c r="P752">
        <v>23390690</v>
      </c>
      <c r="Q752" t="s">
        <v>552</v>
      </c>
      <c r="R752" t="s">
        <v>373</v>
      </c>
      <c r="S752">
        <v>9.9499999999999993</v>
      </c>
      <c r="T752">
        <v>1700</v>
      </c>
      <c r="U752">
        <v>16915</v>
      </c>
      <c r="V752" t="str">
        <f t="shared" si="196"/>
        <v>Jhagadia</v>
      </c>
      <c r="W752" t="str">
        <f>VLOOKUP(B752, Currency!A:B, 2, FALSE)</f>
        <v>INR</v>
      </c>
      <c r="X752" t="str">
        <f t="shared" si="197"/>
        <v>Accepted</v>
      </c>
      <c r="Y752">
        <f>IFERROR(VLOOKUP(N752, Payment_Terms!A:B, 2, FALSE), "Payment term not found!")</f>
        <v>30</v>
      </c>
      <c r="Z752" t="str">
        <f>IFERROR(VLOOKUP(R752, Item_Category!A:B, 2, FALSE), "Uncategorized")</f>
        <v>HCL</v>
      </c>
      <c r="AA752" s="5">
        <f t="shared" si="201"/>
        <v>5.0000000000000712E-3</v>
      </c>
      <c r="AB752">
        <f t="shared" si="202"/>
        <v>4</v>
      </c>
      <c r="AC752" s="10">
        <f t="shared" si="203"/>
        <v>9</v>
      </c>
      <c r="AD752">
        <f t="shared" si="204"/>
        <v>2</v>
      </c>
      <c r="AE752" s="10">
        <f t="shared" si="205"/>
        <v>14</v>
      </c>
      <c r="AF752" s="5">
        <f t="shared" si="198"/>
        <v>1</v>
      </c>
      <c r="AG752" s="5">
        <f t="shared" si="199"/>
        <v>1</v>
      </c>
      <c r="AH752" s="5">
        <f t="shared" si="206"/>
        <v>0</v>
      </c>
      <c r="AI752">
        <f>IF(B752&lt;&gt;"", COUNTIFS($B$2:B752, B752), "")</f>
        <v>18</v>
      </c>
      <c r="AJ752">
        <f t="shared" si="207"/>
        <v>5</v>
      </c>
      <c r="AK752">
        <f t="shared" si="200"/>
        <v>4</v>
      </c>
      <c r="AL752">
        <f t="shared" si="208"/>
        <v>9</v>
      </c>
      <c r="AM752" t="str">
        <f t="shared" si="209"/>
        <v>September</v>
      </c>
      <c r="AN752">
        <f t="shared" si="210"/>
        <v>2023</v>
      </c>
      <c r="AO752" t="str">
        <f t="shared" si="211"/>
        <v>&gt;3</v>
      </c>
      <c r="AP752" t="str">
        <f t="shared" si="212"/>
        <v>&gt;3</v>
      </c>
      <c r="AQ752" t="str">
        <f t="shared" si="213"/>
        <v>&lt;=3</v>
      </c>
    </row>
    <row r="753" spans="1:43" x14ac:dyDescent="0.3">
      <c r="A753" t="s">
        <v>33</v>
      </c>
      <c r="B753" t="s">
        <v>371</v>
      </c>
      <c r="C753" t="s">
        <v>414</v>
      </c>
      <c r="D753">
        <v>2293</v>
      </c>
      <c r="E753">
        <v>23310155</v>
      </c>
      <c r="F753" t="s">
        <v>552</v>
      </c>
      <c r="G753" t="s">
        <v>373</v>
      </c>
      <c r="H753">
        <v>50</v>
      </c>
      <c r="I753">
        <v>150</v>
      </c>
      <c r="J753">
        <v>7500</v>
      </c>
      <c r="K753" s="7" t="str">
        <f>IFERROR(IF(B753&lt;&gt;"", TEXT(VLOOKUP(B753, 'Expected Date'!A:B, 2, FALSE) + DATE(RIGHT(C753,2),MID(C753,4,2),LEFT(C753,2)), "dd/mm/yy"), ""), "")</f>
        <v>06/06/23</v>
      </c>
      <c r="L753" t="s">
        <v>68</v>
      </c>
      <c r="M753" t="s">
        <v>48</v>
      </c>
      <c r="N753" t="s">
        <v>342</v>
      </c>
      <c r="O753" t="s">
        <v>231</v>
      </c>
      <c r="P753">
        <v>23390232</v>
      </c>
      <c r="Q753" t="s">
        <v>552</v>
      </c>
      <c r="R753" t="s">
        <v>373</v>
      </c>
      <c r="S753">
        <v>9.6999999999999993</v>
      </c>
      <c r="T753">
        <v>150</v>
      </c>
      <c r="U753">
        <v>1455</v>
      </c>
      <c r="V753" t="str">
        <f t="shared" si="196"/>
        <v>Jhagadia</v>
      </c>
      <c r="W753" t="str">
        <f>VLOOKUP(B753, Currency!A:B, 2, FALSE)</f>
        <v>INR</v>
      </c>
      <c r="X753" t="str">
        <f t="shared" si="197"/>
        <v>Accepted</v>
      </c>
      <c r="Y753">
        <f>IFERROR(VLOOKUP(N753, Payment_Terms!A:B, 2, FALSE), "Payment term not found!")</f>
        <v>30</v>
      </c>
      <c r="Z753" t="str">
        <f>IFERROR(VLOOKUP(R753, Item_Category!A:B, 2, FALSE), "Uncategorized")</f>
        <v>HCL</v>
      </c>
      <c r="AA753" s="5">
        <f t="shared" si="201"/>
        <v>0.41700000000000004</v>
      </c>
      <c r="AB753">
        <f t="shared" si="202"/>
        <v>1</v>
      </c>
      <c r="AC753" s="10">
        <f t="shared" si="203"/>
        <v>3</v>
      </c>
      <c r="AD753">
        <f t="shared" si="204"/>
        <v>4</v>
      </c>
      <c r="AE753" s="10">
        <f t="shared" si="205"/>
        <v>8</v>
      </c>
      <c r="AF753" s="5">
        <f t="shared" si="198"/>
        <v>1</v>
      </c>
      <c r="AG753" s="5">
        <f t="shared" si="199"/>
        <v>1</v>
      </c>
      <c r="AH753" s="5">
        <f t="shared" si="206"/>
        <v>0</v>
      </c>
      <c r="AI753">
        <f>IF(B753&lt;&gt;"", COUNTIFS($B$2:B753, B753), "")</f>
        <v>19</v>
      </c>
      <c r="AJ753">
        <f t="shared" si="207"/>
        <v>5</v>
      </c>
      <c r="AK753">
        <f t="shared" si="200"/>
        <v>4</v>
      </c>
      <c r="AL753">
        <f t="shared" si="208"/>
        <v>6</v>
      </c>
      <c r="AM753" t="str">
        <f t="shared" si="209"/>
        <v>June</v>
      </c>
      <c r="AN753">
        <f t="shared" si="210"/>
        <v>2023</v>
      </c>
      <c r="AO753" t="str">
        <f t="shared" si="211"/>
        <v>&gt;3</v>
      </c>
      <c r="AP753" t="str">
        <f t="shared" si="212"/>
        <v>&lt;=3</v>
      </c>
      <c r="AQ753" t="str">
        <f t="shared" si="213"/>
        <v>&gt;3</v>
      </c>
    </row>
    <row r="754" spans="1:43" x14ac:dyDescent="0.3">
      <c r="A754" t="s">
        <v>33</v>
      </c>
      <c r="B754" t="s">
        <v>386</v>
      </c>
      <c r="C754" t="s">
        <v>165</v>
      </c>
      <c r="D754">
        <v>2309</v>
      </c>
      <c r="E754">
        <v>23310159</v>
      </c>
      <c r="F754" t="s">
        <v>554</v>
      </c>
      <c r="G754" t="s">
        <v>555</v>
      </c>
      <c r="H754">
        <v>8000</v>
      </c>
      <c r="I754">
        <v>19.5</v>
      </c>
      <c r="J754">
        <v>156000</v>
      </c>
      <c r="K754" s="7" t="str">
        <f>IFERROR(IF(B754&lt;&gt;"", TEXT(VLOOKUP(B754, 'Expected Date'!A:B, 2, FALSE) + DATE(RIGHT(C754,2),MID(C754,4,2),LEFT(C754,2)), "dd/mm/yy"), ""), "")</f>
        <v>12/06/23</v>
      </c>
      <c r="L754" t="s">
        <v>68</v>
      </c>
      <c r="M754" t="s">
        <v>39</v>
      </c>
      <c r="N754" t="s">
        <v>318</v>
      </c>
      <c r="O754" t="s">
        <v>308</v>
      </c>
      <c r="P754">
        <v>23390233</v>
      </c>
      <c r="Q754" t="s">
        <v>554</v>
      </c>
      <c r="R754" t="s">
        <v>555</v>
      </c>
      <c r="S754">
        <v>6257</v>
      </c>
      <c r="T754">
        <v>19.5</v>
      </c>
      <c r="U754">
        <v>122011.5</v>
      </c>
      <c r="V754" t="str">
        <f t="shared" ref="V754:V817" si="214">V753</f>
        <v>Jhagadia</v>
      </c>
      <c r="W754" t="str">
        <f>VLOOKUP(B754, Currency!A:B, 2, FALSE)</f>
        <v>INR</v>
      </c>
      <c r="X754" t="str">
        <f t="shared" ref="X754:X817" si="215">X753</f>
        <v>Accepted</v>
      </c>
      <c r="Y754">
        <f>IFERROR(VLOOKUP(N754, Payment_Terms!A:B, 2, FALSE), "Payment term not found!")</f>
        <v>30</v>
      </c>
      <c r="Z754" t="str">
        <f>IFERROR(VLOOKUP(R754, Item_Category!A:B, 2, FALSE), "Uncategorized")</f>
        <v>HDPE bag acecel</v>
      </c>
      <c r="AA754" s="5">
        <f t="shared" si="201"/>
        <v>0.21787500000000001</v>
      </c>
      <c r="AB754">
        <f t="shared" si="202"/>
        <v>1</v>
      </c>
      <c r="AC754" s="10">
        <f t="shared" si="203"/>
        <v>-2</v>
      </c>
      <c r="AD754">
        <f t="shared" si="204"/>
        <v>5</v>
      </c>
      <c r="AE754" s="10">
        <f t="shared" si="205"/>
        <v>3</v>
      </c>
      <c r="AF754" s="5">
        <f t="shared" si="198"/>
        <v>1</v>
      </c>
      <c r="AG754" s="5">
        <f t="shared" si="199"/>
        <v>1</v>
      </c>
      <c r="AH754" s="5">
        <f t="shared" si="206"/>
        <v>0</v>
      </c>
      <c r="AI754">
        <f>IF(B754&lt;&gt;"", COUNTIFS($B$2:B754, B754), "")</f>
        <v>41</v>
      </c>
      <c r="AJ754">
        <f t="shared" si="207"/>
        <v>5</v>
      </c>
      <c r="AK754">
        <f t="shared" si="200"/>
        <v>4</v>
      </c>
      <c r="AL754">
        <f t="shared" si="208"/>
        <v>6</v>
      </c>
      <c r="AM754" t="str">
        <f t="shared" si="209"/>
        <v>June</v>
      </c>
      <c r="AN754">
        <f t="shared" si="210"/>
        <v>2023</v>
      </c>
      <c r="AO754" t="str">
        <f t="shared" si="211"/>
        <v>&gt;3</v>
      </c>
      <c r="AP754" t="str">
        <f t="shared" si="212"/>
        <v>&lt;=3</v>
      </c>
      <c r="AQ754" t="str">
        <f t="shared" si="213"/>
        <v>&gt;3</v>
      </c>
    </row>
    <row r="755" spans="1:43" x14ac:dyDescent="0.3">
      <c r="A755" t="s">
        <v>33</v>
      </c>
      <c r="B755" t="s">
        <v>386</v>
      </c>
      <c r="C755" t="s">
        <v>354</v>
      </c>
      <c r="D755">
        <v>2794</v>
      </c>
      <c r="E755">
        <v>23310213</v>
      </c>
      <c r="F755" t="s">
        <v>554</v>
      </c>
      <c r="G755" t="s">
        <v>555</v>
      </c>
      <c r="H755">
        <v>8000</v>
      </c>
      <c r="I755">
        <v>19.5</v>
      </c>
      <c r="J755">
        <v>156000</v>
      </c>
      <c r="K755" s="7" t="str">
        <f>IFERROR(IF(B755&lt;&gt;"", TEXT(VLOOKUP(B755, 'Expected Date'!A:B, 2, FALSE) + DATE(RIGHT(C755,2),MID(C755,4,2),LEFT(C755,2)), "dd/mm/yy"), ""), "")</f>
        <v>08/07/23</v>
      </c>
      <c r="L755" t="s">
        <v>38</v>
      </c>
      <c r="M755" t="s">
        <v>39</v>
      </c>
      <c r="N755" t="s">
        <v>318</v>
      </c>
      <c r="O755" t="s">
        <v>89</v>
      </c>
      <c r="P755">
        <v>23390292</v>
      </c>
      <c r="Q755" t="s">
        <v>554</v>
      </c>
      <c r="R755" t="s">
        <v>555</v>
      </c>
      <c r="S755">
        <v>4800</v>
      </c>
      <c r="T755">
        <v>19.5</v>
      </c>
      <c r="U755">
        <v>93600</v>
      </c>
      <c r="V755" t="str">
        <f t="shared" si="214"/>
        <v>Jhagadia</v>
      </c>
      <c r="W755" t="str">
        <f>VLOOKUP(B755, Currency!A:B, 2, FALSE)</f>
        <v>INR</v>
      </c>
      <c r="X755" t="str">
        <f t="shared" si="215"/>
        <v>Accepted</v>
      </c>
      <c r="Y755">
        <f>IFERROR(VLOOKUP(N755, Payment_Terms!A:B, 2, FALSE), "Payment term not found!")</f>
        <v>30</v>
      </c>
      <c r="Z755" t="str">
        <f>IFERROR(VLOOKUP(R755, Item_Category!A:B, 2, FALSE), "Uncategorized")</f>
        <v>HDPE bag acecel</v>
      </c>
      <c r="AA755" s="5">
        <f t="shared" si="201"/>
        <v>0</v>
      </c>
      <c r="AB755">
        <f t="shared" si="202"/>
        <v>5</v>
      </c>
      <c r="AC755" s="10">
        <f t="shared" si="203"/>
        <v>-3</v>
      </c>
      <c r="AD755">
        <f t="shared" si="204"/>
        <v>5</v>
      </c>
      <c r="AE755" s="10">
        <f t="shared" si="205"/>
        <v>2</v>
      </c>
      <c r="AF755" s="5">
        <f t="shared" si="198"/>
        <v>1</v>
      </c>
      <c r="AG755" s="5">
        <f t="shared" si="199"/>
        <v>1</v>
      </c>
      <c r="AH755" s="5">
        <f t="shared" si="206"/>
        <v>0</v>
      </c>
      <c r="AI755">
        <f>IF(B755&lt;&gt;"", COUNTIFS($B$2:B755, B755), "")</f>
        <v>42</v>
      </c>
      <c r="AJ755">
        <f t="shared" si="207"/>
        <v>5</v>
      </c>
      <c r="AK755">
        <f t="shared" si="200"/>
        <v>5</v>
      </c>
      <c r="AL755">
        <f t="shared" si="208"/>
        <v>7</v>
      </c>
      <c r="AM755" t="str">
        <f t="shared" si="209"/>
        <v>July</v>
      </c>
      <c r="AN755">
        <f t="shared" si="210"/>
        <v>2023</v>
      </c>
      <c r="AO755" t="str">
        <f t="shared" si="211"/>
        <v>&gt;3</v>
      </c>
      <c r="AP755" t="str">
        <f t="shared" si="212"/>
        <v>&gt;3</v>
      </c>
      <c r="AQ755" t="str">
        <f t="shared" si="213"/>
        <v>&gt;3</v>
      </c>
    </row>
    <row r="756" spans="1:43" x14ac:dyDescent="0.3">
      <c r="A756" t="s">
        <v>33</v>
      </c>
      <c r="B756" t="s">
        <v>366</v>
      </c>
      <c r="C756" t="s">
        <v>476</v>
      </c>
      <c r="D756">
        <v>3937</v>
      </c>
      <c r="E756">
        <v>23310313</v>
      </c>
      <c r="F756" t="s">
        <v>569</v>
      </c>
      <c r="G756" t="s">
        <v>570</v>
      </c>
      <c r="H756">
        <v>100</v>
      </c>
      <c r="I756">
        <v>9800</v>
      </c>
      <c r="J756">
        <v>980000</v>
      </c>
      <c r="K756" s="7" t="str">
        <f>IFERROR(IF(B756&lt;&gt;"", TEXT(VLOOKUP(B756, 'Expected Date'!A:B, 2, FALSE) + DATE(RIGHT(C756,2),MID(C756,4,2),LEFT(C756,2)), "dd/mm/yy"), ""), "")</f>
        <v>17/08/23</v>
      </c>
      <c r="L756" t="s">
        <v>38</v>
      </c>
      <c r="M756" t="s">
        <v>48</v>
      </c>
      <c r="N756" t="s">
        <v>532</v>
      </c>
      <c r="O756" t="s">
        <v>540</v>
      </c>
      <c r="P756">
        <v>23390483</v>
      </c>
      <c r="Q756" t="s">
        <v>569</v>
      </c>
      <c r="R756" t="s">
        <v>570</v>
      </c>
      <c r="S756">
        <v>29.41</v>
      </c>
      <c r="T756">
        <v>9800</v>
      </c>
      <c r="U756">
        <v>288218</v>
      </c>
      <c r="V756" t="str">
        <f t="shared" si="214"/>
        <v>Jhagadia</v>
      </c>
      <c r="W756" t="str">
        <f>VLOOKUP(B756, Currency!A:B, 2, FALSE)</f>
        <v>INR</v>
      </c>
      <c r="X756" t="str">
        <f t="shared" si="215"/>
        <v>Accepted</v>
      </c>
      <c r="Y756">
        <f>IFERROR(VLOOKUP(N756, Payment_Terms!A:B, 2, FALSE), "Payment term not found!")</f>
        <v>15</v>
      </c>
      <c r="Z756" t="str">
        <f>IFERROR(VLOOKUP(R756, Item_Category!A:B, 2, FALSE), "Uncategorized")</f>
        <v>Coal materials</v>
      </c>
      <c r="AA756" s="5">
        <f t="shared" si="201"/>
        <v>0</v>
      </c>
      <c r="AB756">
        <f t="shared" si="202"/>
        <v>5</v>
      </c>
      <c r="AC756" s="10">
        <f t="shared" si="203"/>
        <v>10</v>
      </c>
      <c r="AD756">
        <f t="shared" si="204"/>
        <v>2</v>
      </c>
      <c r="AE756" s="10">
        <f t="shared" si="205"/>
        <v>12</v>
      </c>
      <c r="AF756" s="5">
        <f t="shared" si="198"/>
        <v>1</v>
      </c>
      <c r="AG756" s="5">
        <f t="shared" si="199"/>
        <v>1</v>
      </c>
      <c r="AH756" s="5">
        <f t="shared" si="206"/>
        <v>0</v>
      </c>
      <c r="AI756">
        <f>IF(B756&lt;&gt;"", COUNTIFS($B$2:B756, B756), "")</f>
        <v>90</v>
      </c>
      <c r="AJ756">
        <f t="shared" si="207"/>
        <v>5</v>
      </c>
      <c r="AK756">
        <f t="shared" si="200"/>
        <v>5</v>
      </c>
      <c r="AL756">
        <f t="shared" si="208"/>
        <v>8</v>
      </c>
      <c r="AM756" t="str">
        <f t="shared" si="209"/>
        <v>August</v>
      </c>
      <c r="AN756">
        <f t="shared" si="210"/>
        <v>2023</v>
      </c>
      <c r="AO756" t="str">
        <f t="shared" si="211"/>
        <v>&gt;3</v>
      </c>
      <c r="AP756" t="str">
        <f t="shared" si="212"/>
        <v>&gt;3</v>
      </c>
      <c r="AQ756" t="str">
        <f t="shared" si="213"/>
        <v>&lt;=3</v>
      </c>
    </row>
    <row r="757" spans="1:43" x14ac:dyDescent="0.3">
      <c r="A757" t="s">
        <v>33</v>
      </c>
      <c r="B757" t="s">
        <v>371</v>
      </c>
      <c r="C757" t="s">
        <v>78</v>
      </c>
      <c r="D757">
        <v>3998</v>
      </c>
      <c r="E757">
        <v>23310325</v>
      </c>
      <c r="F757" t="s">
        <v>552</v>
      </c>
      <c r="G757" t="s">
        <v>373</v>
      </c>
      <c r="H757">
        <v>20</v>
      </c>
      <c r="I757">
        <v>1700</v>
      </c>
      <c r="J757">
        <v>34000</v>
      </c>
      <c r="K757" s="7" t="str">
        <f>IFERROR(IF(B757&lt;&gt;"", TEXT(VLOOKUP(B757, 'Expected Date'!A:B, 2, FALSE) + DATE(RIGHT(C757,2),MID(C757,4,2),LEFT(C757,2)), "dd/mm/yy"), ""), "")</f>
        <v>29/08/23</v>
      </c>
      <c r="L757" t="s">
        <v>38</v>
      </c>
      <c r="M757" t="s">
        <v>48</v>
      </c>
      <c r="N757" t="s">
        <v>318</v>
      </c>
      <c r="O757" t="s">
        <v>191</v>
      </c>
      <c r="P757">
        <v>23390485</v>
      </c>
      <c r="Q757" t="s">
        <v>552</v>
      </c>
      <c r="R757" t="s">
        <v>373</v>
      </c>
      <c r="S757">
        <v>10</v>
      </c>
      <c r="T757">
        <v>1700</v>
      </c>
      <c r="U757">
        <v>17000</v>
      </c>
      <c r="V757" t="str">
        <f t="shared" si="214"/>
        <v>Jhagadia</v>
      </c>
      <c r="W757" t="str">
        <f>VLOOKUP(B757, Currency!A:B, 2, FALSE)</f>
        <v>INR</v>
      </c>
      <c r="X757" t="str">
        <f t="shared" si="215"/>
        <v>Accepted</v>
      </c>
      <c r="Y757">
        <f>IFERROR(VLOOKUP(N757, Payment_Terms!A:B, 2, FALSE), "Payment term not found!")</f>
        <v>30</v>
      </c>
      <c r="Z757" t="str">
        <f>IFERROR(VLOOKUP(R757, Item_Category!A:B, 2, FALSE), "Uncategorized")</f>
        <v>HCL</v>
      </c>
      <c r="AA757" s="5">
        <f t="shared" si="201"/>
        <v>0</v>
      </c>
      <c r="AB757">
        <f t="shared" si="202"/>
        <v>5</v>
      </c>
      <c r="AC757" s="10">
        <f t="shared" si="203"/>
        <v>-1</v>
      </c>
      <c r="AD757">
        <f t="shared" si="204"/>
        <v>5</v>
      </c>
      <c r="AE757" s="10">
        <f t="shared" si="205"/>
        <v>4</v>
      </c>
      <c r="AF757" s="5">
        <f t="shared" si="198"/>
        <v>1</v>
      </c>
      <c r="AG757" s="5">
        <f t="shared" si="199"/>
        <v>1</v>
      </c>
      <c r="AH757" s="5">
        <f t="shared" si="206"/>
        <v>0</v>
      </c>
      <c r="AI757">
        <f>IF(B757&lt;&gt;"", COUNTIFS($B$2:B757, B757), "")</f>
        <v>20</v>
      </c>
      <c r="AJ757">
        <f t="shared" si="207"/>
        <v>5</v>
      </c>
      <c r="AK757">
        <f t="shared" si="200"/>
        <v>5</v>
      </c>
      <c r="AL757">
        <f t="shared" si="208"/>
        <v>8</v>
      </c>
      <c r="AM757" t="str">
        <f t="shared" si="209"/>
        <v>August</v>
      </c>
      <c r="AN757">
        <f t="shared" si="210"/>
        <v>2023</v>
      </c>
      <c r="AO757" t="str">
        <f t="shared" si="211"/>
        <v>&gt;3</v>
      </c>
      <c r="AP757" t="str">
        <f t="shared" si="212"/>
        <v>&gt;3</v>
      </c>
      <c r="AQ757" t="str">
        <f t="shared" si="213"/>
        <v>&gt;3</v>
      </c>
    </row>
    <row r="758" spans="1:43" x14ac:dyDescent="0.3">
      <c r="A758" t="s">
        <v>33</v>
      </c>
      <c r="B758" t="s">
        <v>386</v>
      </c>
      <c r="C758" t="s">
        <v>496</v>
      </c>
      <c r="D758">
        <v>4201</v>
      </c>
      <c r="E758">
        <v>23310343</v>
      </c>
      <c r="F758" t="s">
        <v>567</v>
      </c>
      <c r="G758" t="s">
        <v>568</v>
      </c>
      <c r="H758">
        <v>500</v>
      </c>
      <c r="I758">
        <v>133</v>
      </c>
      <c r="J758">
        <v>66500</v>
      </c>
      <c r="K758" s="7" t="str">
        <f>IFERROR(IF(B758&lt;&gt;"", TEXT(VLOOKUP(B758, 'Expected Date'!A:B, 2, FALSE) + DATE(RIGHT(C758,2),MID(C758,4,2),LEFT(C758,2)), "dd/mm/yy"), ""), "")</f>
        <v>07/09/23</v>
      </c>
      <c r="L758" t="s">
        <v>38</v>
      </c>
      <c r="M758" t="s">
        <v>39</v>
      </c>
      <c r="N758" t="s">
        <v>318</v>
      </c>
      <c r="O758" t="s">
        <v>228</v>
      </c>
      <c r="P758">
        <v>23390601</v>
      </c>
      <c r="Q758" t="s">
        <v>567</v>
      </c>
      <c r="R758" t="s">
        <v>568</v>
      </c>
      <c r="S758">
        <v>501</v>
      </c>
      <c r="T758">
        <v>133</v>
      </c>
      <c r="U758">
        <v>66633</v>
      </c>
      <c r="V758" t="str">
        <f t="shared" si="214"/>
        <v>Jhagadia</v>
      </c>
      <c r="W758" t="str">
        <f>VLOOKUP(B758, Currency!A:B, 2, FALSE)</f>
        <v>INR</v>
      </c>
      <c r="X758" t="str">
        <f t="shared" si="215"/>
        <v>Accepted</v>
      </c>
      <c r="Y758">
        <f>IFERROR(VLOOKUP(N758, Payment_Terms!A:B, 2, FALSE), "Payment term not found!")</f>
        <v>30</v>
      </c>
      <c r="Z758" t="str">
        <f>IFERROR(VLOOKUP(R758, Item_Category!A:B, 2, FALSE), "Uncategorized")</f>
        <v>Liner</v>
      </c>
      <c r="AA758" s="5">
        <f t="shared" si="201"/>
        <v>0</v>
      </c>
      <c r="AB758">
        <f t="shared" si="202"/>
        <v>5</v>
      </c>
      <c r="AC758" s="10">
        <f t="shared" si="203"/>
        <v>15</v>
      </c>
      <c r="AD758">
        <f t="shared" si="204"/>
        <v>1</v>
      </c>
      <c r="AE758" s="10">
        <f t="shared" si="205"/>
        <v>20</v>
      </c>
      <c r="AF758" s="5">
        <f t="shared" si="198"/>
        <v>1</v>
      </c>
      <c r="AG758" s="5">
        <f t="shared" si="199"/>
        <v>1</v>
      </c>
      <c r="AH758" s="5">
        <f t="shared" si="206"/>
        <v>0</v>
      </c>
      <c r="AI758">
        <f>IF(B758&lt;&gt;"", COUNTIFS($B$2:B758, B758), "")</f>
        <v>43</v>
      </c>
      <c r="AJ758">
        <f t="shared" si="207"/>
        <v>5</v>
      </c>
      <c r="AK758">
        <f t="shared" si="200"/>
        <v>4</v>
      </c>
      <c r="AL758">
        <f t="shared" si="208"/>
        <v>9</v>
      </c>
      <c r="AM758" t="str">
        <f t="shared" si="209"/>
        <v>September</v>
      </c>
      <c r="AN758">
        <f t="shared" si="210"/>
        <v>2023</v>
      </c>
      <c r="AO758" t="str">
        <f t="shared" si="211"/>
        <v>&gt;3</v>
      </c>
      <c r="AP758" t="str">
        <f t="shared" si="212"/>
        <v>&gt;3</v>
      </c>
      <c r="AQ758" t="str">
        <f t="shared" si="213"/>
        <v>&lt;=3</v>
      </c>
    </row>
    <row r="759" spans="1:43" x14ac:dyDescent="0.3">
      <c r="A759" t="s">
        <v>33</v>
      </c>
      <c r="B759" t="s">
        <v>366</v>
      </c>
      <c r="C759" t="s">
        <v>178</v>
      </c>
      <c r="D759">
        <v>4155</v>
      </c>
      <c r="E759">
        <v>23310339</v>
      </c>
      <c r="F759" t="s">
        <v>569</v>
      </c>
      <c r="G759" t="s">
        <v>570</v>
      </c>
      <c r="H759">
        <v>150</v>
      </c>
      <c r="I759">
        <v>9800</v>
      </c>
      <c r="J759">
        <v>1470000</v>
      </c>
      <c r="K759" s="7" t="str">
        <f>IFERROR(IF(B759&lt;&gt;"", TEXT(VLOOKUP(B759, 'Expected Date'!A:B, 2, FALSE) + DATE(RIGHT(C759,2),MID(C759,4,2),LEFT(C759,2)), "dd/mm/yy"), ""), "")</f>
        <v>03/09/23</v>
      </c>
      <c r="L759" t="s">
        <v>38</v>
      </c>
      <c r="M759" t="s">
        <v>48</v>
      </c>
      <c r="N759" t="s">
        <v>532</v>
      </c>
      <c r="O759" t="s">
        <v>228</v>
      </c>
      <c r="P759">
        <v>23390602</v>
      </c>
      <c r="Q759" t="s">
        <v>569</v>
      </c>
      <c r="R759" t="s">
        <v>570</v>
      </c>
      <c r="S759">
        <v>29.54</v>
      </c>
      <c r="T759">
        <v>9800</v>
      </c>
      <c r="U759">
        <v>289492</v>
      </c>
      <c r="V759" t="str">
        <f t="shared" si="214"/>
        <v>Jhagadia</v>
      </c>
      <c r="W759" t="str">
        <f>VLOOKUP(B759, Currency!A:B, 2, FALSE)</f>
        <v>INR</v>
      </c>
      <c r="X759" t="str">
        <f t="shared" si="215"/>
        <v>Accepted</v>
      </c>
      <c r="Y759">
        <f>IFERROR(VLOOKUP(N759, Payment_Terms!A:B, 2, FALSE), "Payment term not found!")</f>
        <v>15</v>
      </c>
      <c r="Z759" t="str">
        <f>IFERROR(VLOOKUP(R759, Item_Category!A:B, 2, FALSE), "Uncategorized")</f>
        <v>Coal materials</v>
      </c>
      <c r="AA759" s="5">
        <f t="shared" si="201"/>
        <v>0</v>
      </c>
      <c r="AB759">
        <f t="shared" si="202"/>
        <v>5</v>
      </c>
      <c r="AC759" s="10">
        <f t="shared" si="203"/>
        <v>19</v>
      </c>
      <c r="AD759">
        <f t="shared" si="204"/>
        <v>1</v>
      </c>
      <c r="AE759" s="10">
        <f t="shared" si="205"/>
        <v>21</v>
      </c>
      <c r="AF759" s="5">
        <f t="shared" si="198"/>
        <v>1</v>
      </c>
      <c r="AG759" s="5">
        <f t="shared" si="199"/>
        <v>1</v>
      </c>
      <c r="AH759" s="5">
        <f t="shared" si="206"/>
        <v>0</v>
      </c>
      <c r="AI759">
        <f>IF(B759&lt;&gt;"", COUNTIFS($B$2:B759, B759), "")</f>
        <v>91</v>
      </c>
      <c r="AJ759">
        <f t="shared" si="207"/>
        <v>5</v>
      </c>
      <c r="AK759">
        <f t="shared" si="200"/>
        <v>4</v>
      </c>
      <c r="AL759">
        <f t="shared" si="208"/>
        <v>9</v>
      </c>
      <c r="AM759" t="str">
        <f t="shared" si="209"/>
        <v>September</v>
      </c>
      <c r="AN759">
        <f t="shared" si="210"/>
        <v>2023</v>
      </c>
      <c r="AO759" t="str">
        <f t="shared" si="211"/>
        <v>&gt;3</v>
      </c>
      <c r="AP759" t="str">
        <f t="shared" si="212"/>
        <v>&gt;3</v>
      </c>
      <c r="AQ759" t="str">
        <f t="shared" si="213"/>
        <v>&lt;=3</v>
      </c>
    </row>
    <row r="760" spans="1:43" x14ac:dyDescent="0.3">
      <c r="A760" t="s">
        <v>33</v>
      </c>
      <c r="B760" t="s">
        <v>157</v>
      </c>
      <c r="C760" t="s">
        <v>103</v>
      </c>
      <c r="D760">
        <v>4199</v>
      </c>
      <c r="E760">
        <v>23310341</v>
      </c>
      <c r="F760" t="s">
        <v>583</v>
      </c>
      <c r="G760" t="s">
        <v>159</v>
      </c>
      <c r="H760">
        <v>400</v>
      </c>
      <c r="I760">
        <v>270</v>
      </c>
      <c r="J760">
        <v>108000</v>
      </c>
      <c r="K760" s="7" t="str">
        <f>IFERROR(IF(B760&lt;&gt;"", TEXT(VLOOKUP(B760, 'Expected Date'!A:B, 2, FALSE) + DATE(RIGHT(C760,2),MID(C760,4,2),LEFT(C760,2)), "dd/mm/yy"), ""), "")</f>
        <v>16/09/23</v>
      </c>
      <c r="L760" t="s">
        <v>38</v>
      </c>
      <c r="M760" t="s">
        <v>48</v>
      </c>
      <c r="N760" t="s">
        <v>584</v>
      </c>
      <c r="O760" t="s">
        <v>512</v>
      </c>
      <c r="P760">
        <v>23390604</v>
      </c>
      <c r="Q760" t="s">
        <v>583</v>
      </c>
      <c r="R760" t="s">
        <v>159</v>
      </c>
      <c r="S760">
        <v>400</v>
      </c>
      <c r="T760">
        <v>270</v>
      </c>
      <c r="U760">
        <v>108000</v>
      </c>
      <c r="V760" t="str">
        <f t="shared" si="214"/>
        <v>Jhagadia</v>
      </c>
      <c r="W760" t="str">
        <f>VLOOKUP(B760, Currency!A:B, 2, FALSE)</f>
        <v>INR</v>
      </c>
      <c r="X760" t="str">
        <f t="shared" si="215"/>
        <v>Accepted</v>
      </c>
      <c r="Y760">
        <f>IFERROR(VLOOKUP(N760, Payment_Terms!A:B, 2, FALSE), "Payment term not found!")</f>
        <v>0</v>
      </c>
      <c r="Z760" t="str">
        <f>IFERROR(VLOOKUP(R760, Item_Category!A:B, 2, FALSE), "Uncategorized")</f>
        <v>Sodium salts</v>
      </c>
      <c r="AA760" s="5">
        <f t="shared" si="201"/>
        <v>0</v>
      </c>
      <c r="AB760">
        <f t="shared" si="202"/>
        <v>5</v>
      </c>
      <c r="AC760" s="10">
        <f t="shared" si="203"/>
        <v>8</v>
      </c>
      <c r="AD760">
        <f t="shared" si="204"/>
        <v>2</v>
      </c>
      <c r="AE760" s="10">
        <f t="shared" si="205"/>
        <v>18</v>
      </c>
      <c r="AF760" s="5">
        <f t="shared" si="198"/>
        <v>1</v>
      </c>
      <c r="AG760" s="5">
        <f t="shared" si="199"/>
        <v>1</v>
      </c>
      <c r="AH760" s="5">
        <f t="shared" si="206"/>
        <v>0</v>
      </c>
      <c r="AI760">
        <f>IF(B760&lt;&gt;"", COUNTIFS($B$2:B760, B760), "")</f>
        <v>13</v>
      </c>
      <c r="AJ760">
        <f t="shared" si="207"/>
        <v>5</v>
      </c>
      <c r="AK760">
        <f t="shared" si="200"/>
        <v>5</v>
      </c>
      <c r="AL760">
        <f t="shared" si="208"/>
        <v>9</v>
      </c>
      <c r="AM760" t="str">
        <f t="shared" si="209"/>
        <v>September</v>
      </c>
      <c r="AN760">
        <f t="shared" si="210"/>
        <v>2023</v>
      </c>
      <c r="AO760" t="str">
        <f t="shared" si="211"/>
        <v>&gt;3</v>
      </c>
      <c r="AP760" t="str">
        <f t="shared" si="212"/>
        <v>&gt;3</v>
      </c>
      <c r="AQ760" t="str">
        <f t="shared" si="213"/>
        <v>&lt;=3</v>
      </c>
    </row>
    <row r="761" spans="1:43" x14ac:dyDescent="0.3">
      <c r="A761" t="s">
        <v>33</v>
      </c>
      <c r="B761" t="s">
        <v>371</v>
      </c>
      <c r="C761" t="s">
        <v>414</v>
      </c>
      <c r="D761">
        <v>2293</v>
      </c>
      <c r="E761">
        <v>23310155</v>
      </c>
      <c r="F761" t="s">
        <v>552</v>
      </c>
      <c r="G761" t="s">
        <v>373</v>
      </c>
      <c r="H761">
        <v>50</v>
      </c>
      <c r="I761">
        <v>150</v>
      </c>
      <c r="J761">
        <v>7500</v>
      </c>
      <c r="K761" s="7" t="str">
        <f>IFERROR(IF(B761&lt;&gt;"", TEXT(VLOOKUP(B761, 'Expected Date'!A:B, 2, FALSE) + DATE(RIGHT(C761,2),MID(C761,4,2),LEFT(C761,2)), "dd/mm/yy"), ""), "")</f>
        <v>06/06/23</v>
      </c>
      <c r="L761" t="s">
        <v>68</v>
      </c>
      <c r="M761" t="s">
        <v>48</v>
      </c>
      <c r="N761" t="s">
        <v>342</v>
      </c>
      <c r="O761" t="s">
        <v>88</v>
      </c>
      <c r="P761">
        <v>23390293</v>
      </c>
      <c r="Q761" t="s">
        <v>552</v>
      </c>
      <c r="R761" t="s">
        <v>373</v>
      </c>
      <c r="S761">
        <v>9.8699999999999992</v>
      </c>
      <c r="T761">
        <v>150</v>
      </c>
      <c r="U761">
        <v>1480.5</v>
      </c>
      <c r="V761" t="str">
        <f t="shared" si="214"/>
        <v>Jhagadia</v>
      </c>
      <c r="W761" t="str">
        <f>VLOOKUP(B761, Currency!A:B, 2, FALSE)</f>
        <v>INR</v>
      </c>
      <c r="X761" t="str">
        <f t="shared" si="215"/>
        <v>Accepted</v>
      </c>
      <c r="Y761">
        <f>IFERROR(VLOOKUP(N761, Payment_Terms!A:B, 2, FALSE), "Payment term not found!")</f>
        <v>30</v>
      </c>
      <c r="Z761" t="str">
        <f>IFERROR(VLOOKUP(R761, Item_Category!A:B, 2, FALSE), "Uncategorized")</f>
        <v>HCL</v>
      </c>
      <c r="AA761" s="5">
        <f t="shared" si="201"/>
        <v>0.41700000000000004</v>
      </c>
      <c r="AB761">
        <f t="shared" si="202"/>
        <v>1</v>
      </c>
      <c r="AC761" s="10">
        <f t="shared" si="203"/>
        <v>28</v>
      </c>
      <c r="AD761">
        <f t="shared" si="204"/>
        <v>1</v>
      </c>
      <c r="AE761" s="10">
        <f t="shared" si="205"/>
        <v>33</v>
      </c>
      <c r="AF761" s="5">
        <f t="shared" si="198"/>
        <v>1</v>
      </c>
      <c r="AG761" s="5">
        <f t="shared" si="199"/>
        <v>1</v>
      </c>
      <c r="AH761" s="5">
        <f t="shared" si="206"/>
        <v>0</v>
      </c>
      <c r="AI761">
        <f>IF(B761&lt;&gt;"", COUNTIFS($B$2:B761, B761), "")</f>
        <v>21</v>
      </c>
      <c r="AJ761">
        <f t="shared" si="207"/>
        <v>5</v>
      </c>
      <c r="AK761">
        <f t="shared" si="200"/>
        <v>3</v>
      </c>
      <c r="AL761">
        <f t="shared" si="208"/>
        <v>6</v>
      </c>
      <c r="AM761" t="str">
        <f t="shared" si="209"/>
        <v>June</v>
      </c>
      <c r="AN761">
        <f t="shared" si="210"/>
        <v>2023</v>
      </c>
      <c r="AO761" t="str">
        <f t="shared" si="211"/>
        <v>&gt;3</v>
      </c>
      <c r="AP761" t="str">
        <f t="shared" si="212"/>
        <v>&lt;=3</v>
      </c>
      <c r="AQ761" t="str">
        <f t="shared" si="213"/>
        <v>&lt;=3</v>
      </c>
    </row>
    <row r="762" spans="1:43" x14ac:dyDescent="0.3">
      <c r="A762" t="s">
        <v>33</v>
      </c>
      <c r="B762" t="s">
        <v>371</v>
      </c>
      <c r="C762" t="s">
        <v>414</v>
      </c>
      <c r="D762">
        <v>2293</v>
      </c>
      <c r="E762">
        <v>23310155</v>
      </c>
      <c r="F762" t="s">
        <v>552</v>
      </c>
      <c r="G762" t="s">
        <v>373</v>
      </c>
      <c r="H762">
        <v>50</v>
      </c>
      <c r="I762">
        <v>150</v>
      </c>
      <c r="J762">
        <v>7500</v>
      </c>
      <c r="K762" s="7" t="str">
        <f>IFERROR(IF(B762&lt;&gt;"", TEXT(VLOOKUP(B762, 'Expected Date'!A:B, 2, FALSE) + DATE(RIGHT(C762,2),MID(C762,4,2),LEFT(C762,2)), "dd/mm/yy"), ""), "")</f>
        <v>06/06/23</v>
      </c>
      <c r="L762" t="s">
        <v>68</v>
      </c>
      <c r="M762" t="s">
        <v>48</v>
      </c>
      <c r="N762" t="s">
        <v>342</v>
      </c>
      <c r="O762" t="s">
        <v>324</v>
      </c>
      <c r="P762">
        <v>23390260</v>
      </c>
      <c r="Q762" t="s">
        <v>552</v>
      </c>
      <c r="R762" t="s">
        <v>373</v>
      </c>
      <c r="S762">
        <v>9.58</v>
      </c>
      <c r="T762">
        <v>150</v>
      </c>
      <c r="U762">
        <v>1437</v>
      </c>
      <c r="V762" t="str">
        <f t="shared" si="214"/>
        <v>Jhagadia</v>
      </c>
      <c r="W762" t="str">
        <f>VLOOKUP(B762, Currency!A:B, 2, FALSE)</f>
        <v>INR</v>
      </c>
      <c r="X762" t="str">
        <f t="shared" si="215"/>
        <v>Accepted</v>
      </c>
      <c r="Y762">
        <f>IFERROR(VLOOKUP(N762, Payment_Terms!A:B, 2, FALSE), "Payment term not found!")</f>
        <v>30</v>
      </c>
      <c r="Z762" t="str">
        <f>IFERROR(VLOOKUP(R762, Item_Category!A:B, 2, FALSE), "Uncategorized")</f>
        <v>HCL</v>
      </c>
      <c r="AA762" s="5">
        <f t="shared" si="201"/>
        <v>0.41700000000000004</v>
      </c>
      <c r="AB762">
        <f t="shared" si="202"/>
        <v>1</v>
      </c>
      <c r="AC762" s="10">
        <f t="shared" si="203"/>
        <v>14</v>
      </c>
      <c r="AD762">
        <f t="shared" si="204"/>
        <v>1</v>
      </c>
      <c r="AE762" s="10">
        <f t="shared" si="205"/>
        <v>19</v>
      </c>
      <c r="AF762" s="5">
        <f t="shared" si="198"/>
        <v>1</v>
      </c>
      <c r="AG762" s="5">
        <f t="shared" si="199"/>
        <v>1</v>
      </c>
      <c r="AH762" s="5">
        <f t="shared" si="206"/>
        <v>0</v>
      </c>
      <c r="AI762">
        <f>IF(B762&lt;&gt;"", COUNTIFS($B$2:B762, B762), "")</f>
        <v>22</v>
      </c>
      <c r="AJ762">
        <f t="shared" si="207"/>
        <v>5</v>
      </c>
      <c r="AK762">
        <f t="shared" si="200"/>
        <v>3</v>
      </c>
      <c r="AL762">
        <f t="shared" si="208"/>
        <v>6</v>
      </c>
      <c r="AM762" t="str">
        <f t="shared" si="209"/>
        <v>June</v>
      </c>
      <c r="AN762">
        <f t="shared" si="210"/>
        <v>2023</v>
      </c>
      <c r="AO762" t="str">
        <f t="shared" si="211"/>
        <v>&gt;3</v>
      </c>
      <c r="AP762" t="str">
        <f t="shared" si="212"/>
        <v>&lt;=3</v>
      </c>
      <c r="AQ762" t="str">
        <f t="shared" si="213"/>
        <v>&lt;=3</v>
      </c>
    </row>
    <row r="763" spans="1:43" x14ac:dyDescent="0.3">
      <c r="A763" t="s">
        <v>33</v>
      </c>
      <c r="B763" t="s">
        <v>366</v>
      </c>
      <c r="C763" t="s">
        <v>269</v>
      </c>
      <c r="D763">
        <v>2005</v>
      </c>
      <c r="E763">
        <v>23310109</v>
      </c>
      <c r="F763" t="s">
        <v>569</v>
      </c>
      <c r="G763" t="s">
        <v>570</v>
      </c>
      <c r="H763">
        <v>100</v>
      </c>
      <c r="I763">
        <v>10857.14</v>
      </c>
      <c r="J763">
        <v>1085714</v>
      </c>
      <c r="K763" s="7" t="str">
        <f>IFERROR(IF(B763&lt;&gt;"", TEXT(VLOOKUP(B763, 'Expected Date'!A:B, 2, FALSE) + DATE(RIGHT(C763,2),MID(C763,4,2),LEFT(C763,2)), "dd/mm/yy"), ""), "")</f>
        <v>17/05/23</v>
      </c>
      <c r="L763" t="s">
        <v>68</v>
      </c>
      <c r="M763" t="s">
        <v>48</v>
      </c>
      <c r="N763" t="s">
        <v>574</v>
      </c>
      <c r="O763" t="s">
        <v>174</v>
      </c>
      <c r="P763">
        <v>23390163</v>
      </c>
      <c r="Q763" t="s">
        <v>569</v>
      </c>
      <c r="R763" t="s">
        <v>570</v>
      </c>
      <c r="S763">
        <v>30.7</v>
      </c>
      <c r="T763">
        <v>10857.14</v>
      </c>
      <c r="U763">
        <v>333314.2</v>
      </c>
      <c r="V763" t="str">
        <f t="shared" si="214"/>
        <v>Jhagadia</v>
      </c>
      <c r="W763" t="str">
        <f>VLOOKUP(B763, Currency!A:B, 2, FALSE)</f>
        <v>INR</v>
      </c>
      <c r="X763" t="str">
        <f t="shared" si="215"/>
        <v>Accepted</v>
      </c>
      <c r="Y763">
        <f>IFERROR(VLOOKUP(N763, Payment_Terms!A:B, 2, FALSE), "Payment term not found!")</f>
        <v>0</v>
      </c>
      <c r="Z763" t="str">
        <f>IFERROR(VLOOKUP(R763, Item_Category!A:B, 2, FALSE), "Uncategorized")</f>
        <v>Coal materials</v>
      </c>
      <c r="AA763" s="5">
        <f t="shared" si="201"/>
        <v>0.41389999999999999</v>
      </c>
      <c r="AB763">
        <f t="shared" si="202"/>
        <v>1</v>
      </c>
      <c r="AC763" s="10">
        <f t="shared" si="203"/>
        <v>-1</v>
      </c>
      <c r="AD763">
        <f t="shared" si="204"/>
        <v>5</v>
      </c>
      <c r="AE763" s="10">
        <f t="shared" si="205"/>
        <v>1</v>
      </c>
      <c r="AF763" s="5">
        <f t="shared" si="198"/>
        <v>1</v>
      </c>
      <c r="AG763" s="5">
        <f t="shared" si="199"/>
        <v>1</v>
      </c>
      <c r="AH763" s="5">
        <f t="shared" si="206"/>
        <v>0</v>
      </c>
      <c r="AI763">
        <f>IF(B763&lt;&gt;"", COUNTIFS($B$2:B763, B763), "")</f>
        <v>92</v>
      </c>
      <c r="AJ763">
        <f t="shared" si="207"/>
        <v>5</v>
      </c>
      <c r="AK763">
        <f t="shared" si="200"/>
        <v>4</v>
      </c>
      <c r="AL763">
        <f t="shared" si="208"/>
        <v>5</v>
      </c>
      <c r="AM763" t="str">
        <f t="shared" si="209"/>
        <v>May</v>
      </c>
      <c r="AN763">
        <f t="shared" si="210"/>
        <v>2023</v>
      </c>
      <c r="AO763" t="str">
        <f t="shared" si="211"/>
        <v>&gt;3</v>
      </c>
      <c r="AP763" t="str">
        <f t="shared" si="212"/>
        <v>&lt;=3</v>
      </c>
      <c r="AQ763" t="str">
        <f t="shared" si="213"/>
        <v>&gt;3</v>
      </c>
    </row>
    <row r="764" spans="1:43" x14ac:dyDescent="0.3">
      <c r="A764" t="s">
        <v>33</v>
      </c>
      <c r="B764" t="s">
        <v>557</v>
      </c>
      <c r="C764" t="s">
        <v>57</v>
      </c>
      <c r="D764">
        <v>3523</v>
      </c>
      <c r="E764">
        <v>23310275</v>
      </c>
      <c r="F764" t="s">
        <v>558</v>
      </c>
      <c r="G764" t="s">
        <v>384</v>
      </c>
      <c r="H764">
        <v>400</v>
      </c>
      <c r="I764">
        <v>99</v>
      </c>
      <c r="J764">
        <v>39600</v>
      </c>
      <c r="K764" s="7" t="str">
        <f>IFERROR(IF(B764&lt;&gt;"", TEXT(VLOOKUP(B764, 'Expected Date'!A:B, 2, FALSE) + DATE(RIGHT(C764,2),MID(C764,4,2),LEFT(C764,2)), "dd/mm/yy"), ""), "")</f>
        <v>13/08/23</v>
      </c>
      <c r="L764" t="s">
        <v>38</v>
      </c>
      <c r="M764" t="s">
        <v>48</v>
      </c>
      <c r="N764" t="s">
        <v>364</v>
      </c>
      <c r="O764" t="s">
        <v>191</v>
      </c>
      <c r="P764">
        <v>23390486</v>
      </c>
      <c r="Q764" t="s">
        <v>558</v>
      </c>
      <c r="R764" t="s">
        <v>384</v>
      </c>
      <c r="S764">
        <v>100</v>
      </c>
      <c r="T764">
        <v>99</v>
      </c>
      <c r="U764">
        <v>9900</v>
      </c>
      <c r="V764" t="str">
        <f t="shared" si="214"/>
        <v>Jhagadia</v>
      </c>
      <c r="W764" t="str">
        <f>VLOOKUP(B764, Currency!A:B, 2, FALSE)</f>
        <v>INR</v>
      </c>
      <c r="X764" t="str">
        <f t="shared" si="215"/>
        <v>Accepted</v>
      </c>
      <c r="Y764">
        <f>IFERROR(VLOOKUP(N764, Payment_Terms!A:B, 2, FALSE), "Payment term not found!")</f>
        <v>30</v>
      </c>
      <c r="Z764" t="str">
        <f>IFERROR(VLOOKUP(R764, Item_Category!A:B, 2, FALSE), "Uncategorized")</f>
        <v>Gas</v>
      </c>
      <c r="AA764" s="5">
        <f t="shared" si="201"/>
        <v>0</v>
      </c>
      <c r="AB764">
        <f t="shared" si="202"/>
        <v>5</v>
      </c>
      <c r="AC764" s="10">
        <f t="shared" si="203"/>
        <v>15</v>
      </c>
      <c r="AD764">
        <f t="shared" si="204"/>
        <v>1</v>
      </c>
      <c r="AE764" s="10">
        <f t="shared" si="205"/>
        <v>25</v>
      </c>
      <c r="AF764" s="5">
        <f t="shared" si="198"/>
        <v>1</v>
      </c>
      <c r="AG764" s="5">
        <f t="shared" si="199"/>
        <v>1</v>
      </c>
      <c r="AH764" s="5">
        <f t="shared" si="206"/>
        <v>0</v>
      </c>
      <c r="AI764">
        <f>IF(B764&lt;&gt;"", COUNTIFS($B$2:B764, B764), "")</f>
        <v>15</v>
      </c>
      <c r="AJ764">
        <f t="shared" si="207"/>
        <v>5</v>
      </c>
      <c r="AK764">
        <f t="shared" si="200"/>
        <v>4</v>
      </c>
      <c r="AL764">
        <f t="shared" si="208"/>
        <v>8</v>
      </c>
      <c r="AM764" t="str">
        <f t="shared" si="209"/>
        <v>August</v>
      </c>
      <c r="AN764">
        <f t="shared" si="210"/>
        <v>2023</v>
      </c>
      <c r="AO764" t="str">
        <f t="shared" si="211"/>
        <v>&gt;3</v>
      </c>
      <c r="AP764" t="str">
        <f t="shared" si="212"/>
        <v>&gt;3</v>
      </c>
      <c r="AQ764" t="str">
        <f t="shared" si="213"/>
        <v>&lt;=3</v>
      </c>
    </row>
    <row r="765" spans="1:43" x14ac:dyDescent="0.3">
      <c r="A765" t="str">
        <f>A712</f>
        <v>Woodpulp</v>
      </c>
      <c r="B765" t="s">
        <v>140</v>
      </c>
      <c r="C765" t="s">
        <v>70</v>
      </c>
      <c r="D765">
        <v>1465</v>
      </c>
      <c r="E765">
        <v>23320008</v>
      </c>
      <c r="F765" t="s">
        <v>571</v>
      </c>
      <c r="G765" t="s">
        <v>360</v>
      </c>
      <c r="H765">
        <v>75</v>
      </c>
      <c r="I765">
        <v>830</v>
      </c>
      <c r="J765">
        <v>5067150</v>
      </c>
      <c r="K765" s="7" t="str">
        <f>IFERROR(IF(B765&lt;&gt;"", TEXT(VLOOKUP(B765, 'Expected Date'!A:B, 2, FALSE) + DATE(RIGHT(C765,2),MID(C765,4,2),LEFT(C765,2)), "dd/mm/yy"), ""), "")</f>
        <v>08/06/23</v>
      </c>
      <c r="L765" t="s">
        <v>68</v>
      </c>
      <c r="M765" t="str">
        <f>M706</f>
        <v>MT</v>
      </c>
      <c r="N765" t="s">
        <v>144</v>
      </c>
      <c r="O765" t="s">
        <v>439</v>
      </c>
      <c r="P765">
        <v>23390068</v>
      </c>
      <c r="Q765" t="s">
        <v>571</v>
      </c>
      <c r="R765" t="s">
        <v>360</v>
      </c>
      <c r="S765">
        <v>74.682000000000002</v>
      </c>
      <c r="T765">
        <v>830</v>
      </c>
      <c r="U765">
        <v>5027069.47</v>
      </c>
      <c r="V765" t="str">
        <f t="shared" si="214"/>
        <v>Jhagadia</v>
      </c>
      <c r="W765" t="str">
        <f>VLOOKUP(B765, Currency!A:B, 2, FALSE)</f>
        <v>USD</v>
      </c>
      <c r="X765" t="str">
        <f t="shared" si="215"/>
        <v>Accepted</v>
      </c>
      <c r="Y765">
        <f>IFERROR(VLOOKUP(N765, Payment_Terms!A:B, 2, FALSE), "Payment term not found!")</f>
        <v>30</v>
      </c>
      <c r="Z765" t="str">
        <f>IFERROR(VLOOKUP(R765, Item_Category!A:B, 2, FALSE), "Uncategorized")</f>
        <v>Wood pulp</v>
      </c>
      <c r="AA765" s="5">
        <f t="shared" si="201"/>
        <v>4.2399999999999712E-3</v>
      </c>
      <c r="AB765">
        <f t="shared" si="202"/>
        <v>4</v>
      </c>
      <c r="AC765" s="10">
        <f t="shared" si="203"/>
        <v>-49</v>
      </c>
      <c r="AD765">
        <f t="shared" si="204"/>
        <v>5</v>
      </c>
      <c r="AE765" s="10">
        <f t="shared" si="205"/>
        <v>4</v>
      </c>
      <c r="AF765" s="5">
        <f t="shared" si="198"/>
        <v>1</v>
      </c>
      <c r="AG765" s="5">
        <f t="shared" si="199"/>
        <v>1</v>
      </c>
      <c r="AH765" s="5">
        <f t="shared" si="206"/>
        <v>0</v>
      </c>
      <c r="AI765">
        <f>IF(B765&lt;&gt;"", COUNTIFS($B$2:B765, B765), "")</f>
        <v>40</v>
      </c>
      <c r="AJ765">
        <f t="shared" si="207"/>
        <v>5</v>
      </c>
      <c r="AK765">
        <f t="shared" si="200"/>
        <v>5</v>
      </c>
      <c r="AL765">
        <f t="shared" si="208"/>
        <v>4</v>
      </c>
      <c r="AM765" t="str">
        <f t="shared" si="209"/>
        <v>April</v>
      </c>
      <c r="AN765">
        <f t="shared" si="210"/>
        <v>2023</v>
      </c>
      <c r="AO765" t="str">
        <f t="shared" si="211"/>
        <v>&gt;3</v>
      </c>
      <c r="AP765" t="str">
        <f t="shared" si="212"/>
        <v>&gt;3</v>
      </c>
      <c r="AQ765" t="str">
        <f t="shared" si="213"/>
        <v>&gt;3</v>
      </c>
    </row>
    <row r="766" spans="1:43" x14ac:dyDescent="0.3">
      <c r="A766" t="s">
        <v>33</v>
      </c>
      <c r="B766" t="s">
        <v>429</v>
      </c>
      <c r="C766" t="s">
        <v>178</v>
      </c>
      <c r="D766">
        <v>4150</v>
      </c>
      <c r="E766">
        <v>23310338</v>
      </c>
      <c r="F766" t="s">
        <v>581</v>
      </c>
      <c r="G766" t="s">
        <v>582</v>
      </c>
      <c r="H766">
        <v>6000</v>
      </c>
      <c r="I766">
        <v>8</v>
      </c>
      <c r="J766">
        <v>48000</v>
      </c>
      <c r="K766" s="7" t="str">
        <f>IFERROR(IF(B766&lt;&gt;"", TEXT(VLOOKUP(B766, 'Expected Date'!A:B, 2, FALSE) + DATE(RIGHT(C766,2),MID(C766,4,2),LEFT(C766,2)), "dd/mm/yy"), ""), "")</f>
        <v>06/09/23</v>
      </c>
      <c r="L766" t="s">
        <v>38</v>
      </c>
      <c r="M766" t="s">
        <v>48</v>
      </c>
      <c r="N766" t="s">
        <v>318</v>
      </c>
      <c r="O766" t="s">
        <v>331</v>
      </c>
      <c r="P766">
        <v>23390733</v>
      </c>
      <c r="Q766" t="s">
        <v>581</v>
      </c>
      <c r="R766" t="s">
        <v>582</v>
      </c>
      <c r="S766">
        <v>3320</v>
      </c>
      <c r="T766">
        <v>8</v>
      </c>
      <c r="U766">
        <v>26560</v>
      </c>
      <c r="V766" t="str">
        <f t="shared" si="214"/>
        <v>Jhagadia</v>
      </c>
      <c r="W766" t="str">
        <f>VLOOKUP(B766, Currency!A:B, 2, FALSE)</f>
        <v>INR</v>
      </c>
      <c r="X766" t="str">
        <f t="shared" si="215"/>
        <v>Accepted</v>
      </c>
      <c r="Y766">
        <f>IFERROR(VLOOKUP(N766, Payment_Terms!A:B, 2, FALSE), "Payment term not found!")</f>
        <v>30</v>
      </c>
      <c r="Z766" t="str">
        <f>IFERROR(VLOOKUP(R766, Item_Category!A:B, 2, FALSE), "Uncategorized")</f>
        <v>Lime</v>
      </c>
      <c r="AA766" s="5">
        <f t="shared" si="201"/>
        <v>0</v>
      </c>
      <c r="AB766">
        <f t="shared" si="202"/>
        <v>5</v>
      </c>
      <c r="AC766" s="10">
        <f t="shared" si="203"/>
        <v>41</v>
      </c>
      <c r="AD766">
        <f t="shared" si="204"/>
        <v>1</v>
      </c>
      <c r="AE766" s="10">
        <f t="shared" si="205"/>
        <v>46</v>
      </c>
      <c r="AF766" s="5">
        <f t="shared" si="198"/>
        <v>1</v>
      </c>
      <c r="AG766" s="5">
        <f t="shared" si="199"/>
        <v>1</v>
      </c>
      <c r="AH766" s="5">
        <f t="shared" si="206"/>
        <v>0</v>
      </c>
      <c r="AI766">
        <f>IF(B766&lt;&gt;"", COUNTIFS($B$2:B766, B766), "")</f>
        <v>12</v>
      </c>
      <c r="AJ766">
        <f t="shared" si="207"/>
        <v>5</v>
      </c>
      <c r="AK766">
        <f t="shared" si="200"/>
        <v>4</v>
      </c>
      <c r="AL766">
        <f t="shared" si="208"/>
        <v>9</v>
      </c>
      <c r="AM766" t="str">
        <f t="shared" si="209"/>
        <v>September</v>
      </c>
      <c r="AN766">
        <f t="shared" si="210"/>
        <v>2023</v>
      </c>
      <c r="AO766" t="str">
        <f t="shared" si="211"/>
        <v>&gt;3</v>
      </c>
      <c r="AP766" t="str">
        <f t="shared" si="212"/>
        <v>&gt;3</v>
      </c>
      <c r="AQ766" t="str">
        <f t="shared" si="213"/>
        <v>&lt;=3</v>
      </c>
    </row>
    <row r="767" spans="1:43" x14ac:dyDescent="0.3">
      <c r="A767" t="s">
        <v>33</v>
      </c>
      <c r="B767" t="s">
        <v>386</v>
      </c>
      <c r="C767" t="s">
        <v>110</v>
      </c>
      <c r="D767">
        <v>2497</v>
      </c>
      <c r="E767">
        <v>23310177</v>
      </c>
      <c r="F767" t="s">
        <v>576</v>
      </c>
      <c r="G767" t="s">
        <v>577</v>
      </c>
      <c r="H767">
        <v>97.4</v>
      </c>
      <c r="I767">
        <v>62</v>
      </c>
      <c r="J767">
        <v>6038.8</v>
      </c>
      <c r="K767" s="7" t="str">
        <f>IFERROR(IF(B767&lt;&gt;"", TEXT(VLOOKUP(B767, 'Expected Date'!A:B, 2, FALSE) + DATE(RIGHT(C767,2),MID(C767,4,2),LEFT(C767,2)), "dd/mm/yy"), ""), "")</f>
        <v>05/06/23</v>
      </c>
      <c r="L767" t="s">
        <v>38</v>
      </c>
      <c r="M767" t="s">
        <v>39</v>
      </c>
      <c r="N767" t="s">
        <v>342</v>
      </c>
      <c r="O767" t="s">
        <v>195</v>
      </c>
      <c r="P767">
        <v>23390259</v>
      </c>
      <c r="Q767" t="s">
        <v>576</v>
      </c>
      <c r="R767" t="s">
        <v>577</v>
      </c>
      <c r="S767">
        <v>97.4</v>
      </c>
      <c r="T767">
        <v>62</v>
      </c>
      <c r="U767">
        <v>6038.8</v>
      </c>
      <c r="V767" t="str">
        <f t="shared" si="214"/>
        <v>Jhagadia</v>
      </c>
      <c r="W767" t="str">
        <f>VLOOKUP(B767, Currency!A:B, 2, FALSE)</f>
        <v>INR</v>
      </c>
      <c r="X767" t="str">
        <f t="shared" si="215"/>
        <v>Accepted</v>
      </c>
      <c r="Y767">
        <f>IFERROR(VLOOKUP(N767, Payment_Terms!A:B, 2, FALSE), "Payment term not found!")</f>
        <v>30</v>
      </c>
      <c r="Z767" t="str">
        <f>IFERROR(VLOOKUP(R767, Item_Category!A:B, 2, FALSE), "Uncategorized")</f>
        <v>Corrugated sheet</v>
      </c>
      <c r="AA767" s="5">
        <f t="shared" si="201"/>
        <v>0</v>
      </c>
      <c r="AB767">
        <f t="shared" si="202"/>
        <v>5</v>
      </c>
      <c r="AC767" s="10">
        <f t="shared" si="203"/>
        <v>10</v>
      </c>
      <c r="AD767">
        <f t="shared" si="204"/>
        <v>2</v>
      </c>
      <c r="AE767" s="10">
        <f t="shared" si="205"/>
        <v>15</v>
      </c>
      <c r="AF767" s="5">
        <f t="shared" si="198"/>
        <v>1</v>
      </c>
      <c r="AG767" s="5">
        <f t="shared" si="199"/>
        <v>1</v>
      </c>
      <c r="AH767" s="5">
        <f t="shared" si="206"/>
        <v>0</v>
      </c>
      <c r="AI767">
        <f>IF(B767&lt;&gt;"", COUNTIFS($B$2:B767, B767), "")</f>
        <v>44</v>
      </c>
      <c r="AJ767">
        <f t="shared" si="207"/>
        <v>5</v>
      </c>
      <c r="AK767">
        <f t="shared" si="200"/>
        <v>5</v>
      </c>
      <c r="AL767">
        <f t="shared" si="208"/>
        <v>5</v>
      </c>
      <c r="AM767" t="str">
        <f t="shared" si="209"/>
        <v>May</v>
      </c>
      <c r="AN767">
        <f t="shared" si="210"/>
        <v>2023</v>
      </c>
      <c r="AO767" t="str">
        <f t="shared" si="211"/>
        <v>&gt;3</v>
      </c>
      <c r="AP767" t="str">
        <f t="shared" si="212"/>
        <v>&gt;3</v>
      </c>
      <c r="AQ767" t="str">
        <f t="shared" si="213"/>
        <v>&lt;=3</v>
      </c>
    </row>
    <row r="768" spans="1:43" x14ac:dyDescent="0.3">
      <c r="A768" t="s">
        <v>33</v>
      </c>
      <c r="B768" t="s">
        <v>513</v>
      </c>
      <c r="C768" t="s">
        <v>354</v>
      </c>
      <c r="D768">
        <v>2797</v>
      </c>
      <c r="E768">
        <v>23310216</v>
      </c>
      <c r="F768" t="s">
        <v>563</v>
      </c>
      <c r="G768" t="s">
        <v>515</v>
      </c>
      <c r="H768">
        <v>2500</v>
      </c>
      <c r="I768">
        <v>26</v>
      </c>
      <c r="J768">
        <v>65000</v>
      </c>
      <c r="K768" s="7" t="str">
        <f>IFERROR(IF(B768&lt;&gt;"", TEXT(VLOOKUP(B768, 'Expected Date'!A:B, 2, FALSE) + DATE(RIGHT(C768,2),MID(C768,4,2),LEFT(C768,2)), "dd/mm/yy"), ""), "")</f>
        <v>05/07/23</v>
      </c>
      <c r="L768" t="s">
        <v>38</v>
      </c>
      <c r="M768" t="s">
        <v>48</v>
      </c>
      <c r="N768" t="s">
        <v>342</v>
      </c>
      <c r="O768" t="s">
        <v>227</v>
      </c>
      <c r="P768">
        <v>23390356</v>
      </c>
      <c r="Q768" t="s">
        <v>563</v>
      </c>
      <c r="R768" t="s">
        <v>515</v>
      </c>
      <c r="S768">
        <v>1000</v>
      </c>
      <c r="T768">
        <v>26</v>
      </c>
      <c r="U768">
        <v>26000</v>
      </c>
      <c r="V768" t="str">
        <f t="shared" si="214"/>
        <v>Jhagadia</v>
      </c>
      <c r="W768" t="str">
        <f>VLOOKUP(B768, Currency!A:B, 2, FALSE)</f>
        <v>INR</v>
      </c>
      <c r="X768" t="str">
        <f t="shared" si="215"/>
        <v>Accepted</v>
      </c>
      <c r="Y768">
        <f>IFERROR(VLOOKUP(N768, Payment_Terms!A:B, 2, FALSE), "Payment term not found!")</f>
        <v>30</v>
      </c>
      <c r="Z768" t="str">
        <f>IFERROR(VLOOKUP(R768, Item_Category!A:B, 2, FALSE), "Uncategorized")</f>
        <v xml:space="preserve">Caustic Soda </v>
      </c>
      <c r="AA768" s="5">
        <f t="shared" si="201"/>
        <v>0</v>
      </c>
      <c r="AB768">
        <f t="shared" si="202"/>
        <v>5</v>
      </c>
      <c r="AC768" s="10">
        <f t="shared" si="203"/>
        <v>20</v>
      </c>
      <c r="AD768">
        <f t="shared" si="204"/>
        <v>1</v>
      </c>
      <c r="AE768" s="10">
        <f t="shared" si="205"/>
        <v>22</v>
      </c>
      <c r="AF768" s="5">
        <f t="shared" si="198"/>
        <v>1</v>
      </c>
      <c r="AG768" s="5">
        <f t="shared" si="199"/>
        <v>1</v>
      </c>
      <c r="AH768" s="5">
        <f t="shared" si="206"/>
        <v>0</v>
      </c>
      <c r="AI768">
        <f>IF(B768&lt;&gt;"", COUNTIFS($B$2:B768, B768), "")</f>
        <v>16</v>
      </c>
      <c r="AJ768">
        <f t="shared" si="207"/>
        <v>5</v>
      </c>
      <c r="AK768">
        <f t="shared" si="200"/>
        <v>4</v>
      </c>
      <c r="AL768">
        <f t="shared" si="208"/>
        <v>7</v>
      </c>
      <c r="AM768" t="str">
        <f t="shared" si="209"/>
        <v>July</v>
      </c>
      <c r="AN768">
        <f t="shared" si="210"/>
        <v>2023</v>
      </c>
      <c r="AO768" t="str">
        <f t="shared" si="211"/>
        <v>&gt;3</v>
      </c>
      <c r="AP768" t="str">
        <f t="shared" si="212"/>
        <v>&gt;3</v>
      </c>
      <c r="AQ768" t="str">
        <f t="shared" si="213"/>
        <v>&lt;=3</v>
      </c>
    </row>
    <row r="769" spans="1:43" x14ac:dyDescent="0.3">
      <c r="A769" t="s">
        <v>33</v>
      </c>
      <c r="B769" t="s">
        <v>366</v>
      </c>
      <c r="C769" t="s">
        <v>439</v>
      </c>
      <c r="D769">
        <v>1489</v>
      </c>
      <c r="E769">
        <v>23310037</v>
      </c>
      <c r="F769" t="s">
        <v>569</v>
      </c>
      <c r="G769" t="s">
        <v>570</v>
      </c>
      <c r="H769">
        <v>70</v>
      </c>
      <c r="I769">
        <v>10857.14</v>
      </c>
      <c r="J769">
        <v>759999.8</v>
      </c>
      <c r="K769" s="7" t="str">
        <f>IFERROR(IF(B769&lt;&gt;"", TEXT(VLOOKUP(B769, 'Expected Date'!A:B, 2, FALSE) + DATE(RIGHT(C769,2),MID(C769,4,2),LEFT(C769,2)), "dd/mm/yy"), ""), "")</f>
        <v>22/04/23</v>
      </c>
      <c r="L769" t="s">
        <v>38</v>
      </c>
      <c r="M769" t="s">
        <v>48</v>
      </c>
      <c r="N769" t="s">
        <v>574</v>
      </c>
      <c r="O769" t="s">
        <v>398</v>
      </c>
      <c r="P769">
        <v>23390093</v>
      </c>
      <c r="Q769" t="s">
        <v>569</v>
      </c>
      <c r="R769" t="s">
        <v>570</v>
      </c>
      <c r="S769">
        <v>23.9</v>
      </c>
      <c r="T769">
        <v>10857.14</v>
      </c>
      <c r="U769">
        <v>259485.65</v>
      </c>
      <c r="V769" t="str">
        <f t="shared" si="214"/>
        <v>Jhagadia</v>
      </c>
      <c r="W769" t="str">
        <f>VLOOKUP(B769, Currency!A:B, 2, FALSE)</f>
        <v>INR</v>
      </c>
      <c r="X769" t="str">
        <f t="shared" si="215"/>
        <v>Accepted</v>
      </c>
      <c r="Y769">
        <f>IFERROR(VLOOKUP(N769, Payment_Terms!A:B, 2, FALSE), "Payment term not found!")</f>
        <v>0</v>
      </c>
      <c r="Z769" t="str">
        <f>IFERROR(VLOOKUP(R769, Item_Category!A:B, 2, FALSE), "Uncategorized")</f>
        <v>Coal materials</v>
      </c>
      <c r="AA769" s="5">
        <f t="shared" si="201"/>
        <v>0</v>
      </c>
      <c r="AB769">
        <f t="shared" si="202"/>
        <v>5</v>
      </c>
      <c r="AC769" s="10">
        <f t="shared" si="203"/>
        <v>9</v>
      </c>
      <c r="AD769">
        <f t="shared" si="204"/>
        <v>2</v>
      </c>
      <c r="AE769" s="10">
        <f t="shared" si="205"/>
        <v>11</v>
      </c>
      <c r="AF769" s="5">
        <f t="shared" si="198"/>
        <v>1</v>
      </c>
      <c r="AG769" s="5">
        <f t="shared" si="199"/>
        <v>1</v>
      </c>
      <c r="AH769" s="5">
        <f t="shared" si="206"/>
        <v>0</v>
      </c>
      <c r="AI769">
        <f>IF(B769&lt;&gt;"", COUNTIFS($B$2:B769, B769), "")</f>
        <v>93</v>
      </c>
      <c r="AJ769">
        <f t="shared" si="207"/>
        <v>5</v>
      </c>
      <c r="AK769">
        <f t="shared" si="200"/>
        <v>5</v>
      </c>
      <c r="AL769">
        <f t="shared" si="208"/>
        <v>4</v>
      </c>
      <c r="AM769" t="str">
        <f t="shared" si="209"/>
        <v>April</v>
      </c>
      <c r="AN769">
        <f t="shared" si="210"/>
        <v>2023</v>
      </c>
      <c r="AO769" t="str">
        <f t="shared" si="211"/>
        <v>&gt;3</v>
      </c>
      <c r="AP769" t="str">
        <f t="shared" si="212"/>
        <v>&gt;3</v>
      </c>
      <c r="AQ769" t="str">
        <f t="shared" si="213"/>
        <v>&lt;=3</v>
      </c>
    </row>
    <row r="770" spans="1:43" x14ac:dyDescent="0.3">
      <c r="A770" t="s">
        <v>33</v>
      </c>
      <c r="B770" t="s">
        <v>366</v>
      </c>
      <c r="C770" t="s">
        <v>203</v>
      </c>
      <c r="D770">
        <v>3212</v>
      </c>
      <c r="E770">
        <v>23310240</v>
      </c>
      <c r="F770" t="s">
        <v>569</v>
      </c>
      <c r="G770" t="s">
        <v>570</v>
      </c>
      <c r="H770">
        <v>100</v>
      </c>
      <c r="I770">
        <v>9800</v>
      </c>
      <c r="J770">
        <v>980000</v>
      </c>
      <c r="K770" s="7" t="str">
        <f>IFERROR(IF(B770&lt;&gt;"", TEXT(VLOOKUP(B770, 'Expected Date'!A:B, 2, FALSE) + DATE(RIGHT(C770,2),MID(C770,4,2),LEFT(C770,2)), "dd/mm/yy"), ""), "")</f>
        <v>18/07/23</v>
      </c>
      <c r="L770" t="s">
        <v>38</v>
      </c>
      <c r="M770" t="s">
        <v>48</v>
      </c>
      <c r="N770" t="s">
        <v>574</v>
      </c>
      <c r="O770" t="s">
        <v>116</v>
      </c>
      <c r="P770">
        <v>23390341</v>
      </c>
      <c r="Q770" t="s">
        <v>569</v>
      </c>
      <c r="R770" t="s">
        <v>570</v>
      </c>
      <c r="S770">
        <v>30.22</v>
      </c>
      <c r="T770">
        <v>9800</v>
      </c>
      <c r="U770">
        <v>296156</v>
      </c>
      <c r="V770" t="str">
        <f t="shared" si="214"/>
        <v>Jhagadia</v>
      </c>
      <c r="W770" t="str">
        <f>VLOOKUP(B770, Currency!A:B, 2, FALSE)</f>
        <v>INR</v>
      </c>
      <c r="X770" t="str">
        <f t="shared" si="215"/>
        <v>Accepted</v>
      </c>
      <c r="Y770">
        <f>IFERROR(VLOOKUP(N770, Payment_Terms!A:B, 2, FALSE), "Payment term not found!")</f>
        <v>0</v>
      </c>
      <c r="Z770" t="str">
        <f>IFERROR(VLOOKUP(R770, Item_Category!A:B, 2, FALSE), "Uncategorized")</f>
        <v>Coal materials</v>
      </c>
      <c r="AA770" s="5">
        <f t="shared" si="201"/>
        <v>0</v>
      </c>
      <c r="AB770">
        <f t="shared" si="202"/>
        <v>5</v>
      </c>
      <c r="AC770" s="10">
        <f t="shared" si="203"/>
        <v>0</v>
      </c>
      <c r="AD770">
        <f t="shared" si="204"/>
        <v>5</v>
      </c>
      <c r="AE770" s="10">
        <f t="shared" si="205"/>
        <v>2</v>
      </c>
      <c r="AF770" s="5">
        <f t="shared" ref="AF770:AF833" si="216">IF(X770="Accepted",1,0)</f>
        <v>1</v>
      </c>
      <c r="AG770" s="5">
        <f t="shared" ref="AG770:AG833" si="217">ROUNDUP((SUMIFS(S:S, B:B, B770, X:X, "Accepted")/SUMIF(B:B,B770,S:S)),2)</f>
        <v>1</v>
      </c>
      <c r="AH770" s="5">
        <f t="shared" si="206"/>
        <v>0</v>
      </c>
      <c r="AI770">
        <f>IF(B770&lt;&gt;"", COUNTIFS($B$2:B770, B770), "")</f>
        <v>94</v>
      </c>
      <c r="AJ770">
        <f t="shared" si="207"/>
        <v>5</v>
      </c>
      <c r="AK770">
        <f t="shared" ref="AK770:AK833" si="218">_xlfn.CEILING.MATH(((0.4*AJ770)+(0.3*AD770)+(0.3*AB770)),1)</f>
        <v>5</v>
      </c>
      <c r="AL770">
        <f t="shared" si="208"/>
        <v>7</v>
      </c>
      <c r="AM770" t="str">
        <f t="shared" si="209"/>
        <v>July</v>
      </c>
      <c r="AN770">
        <f t="shared" si="210"/>
        <v>2023</v>
      </c>
      <c r="AO770" t="str">
        <f t="shared" si="211"/>
        <v>&gt;3</v>
      </c>
      <c r="AP770" t="str">
        <f t="shared" si="212"/>
        <v>&gt;3</v>
      </c>
      <c r="AQ770" t="str">
        <f t="shared" si="213"/>
        <v>&gt;3</v>
      </c>
    </row>
    <row r="771" spans="1:43" x14ac:dyDescent="0.3">
      <c r="A771" t="s">
        <v>111</v>
      </c>
      <c r="B771" t="s">
        <v>296</v>
      </c>
      <c r="C771" t="s">
        <v>407</v>
      </c>
      <c r="D771">
        <v>3320</v>
      </c>
      <c r="E771">
        <v>23310261</v>
      </c>
      <c r="F771" t="s">
        <v>591</v>
      </c>
      <c r="G771" t="s">
        <v>311</v>
      </c>
      <c r="H771">
        <v>1500</v>
      </c>
      <c r="I771">
        <v>413</v>
      </c>
      <c r="J771">
        <v>619500</v>
      </c>
      <c r="K771" s="7" t="str">
        <f>IFERROR(IF(B771&lt;&gt;"", TEXT(VLOOKUP(B771, 'Expected Date'!A:B, 2, FALSE) + DATE(RIGHT(C771,2),MID(C771,4,2),LEFT(C771,2)), "dd/mm/yy"), ""), "")</f>
        <v>10/08/23</v>
      </c>
      <c r="L771" t="s">
        <v>38</v>
      </c>
      <c r="M771" t="s">
        <v>48</v>
      </c>
      <c r="N771" t="s">
        <v>470</v>
      </c>
      <c r="O771" t="s">
        <v>57</v>
      </c>
      <c r="P771">
        <v>23390371</v>
      </c>
      <c r="Q771" t="s">
        <v>591</v>
      </c>
      <c r="R771" t="s">
        <v>311</v>
      </c>
      <c r="S771">
        <v>1500</v>
      </c>
      <c r="T771">
        <v>413</v>
      </c>
      <c r="U771">
        <v>619500</v>
      </c>
      <c r="V771" t="str">
        <f t="shared" si="214"/>
        <v>Jhagadia</v>
      </c>
      <c r="W771" t="str">
        <f>VLOOKUP(B771, Currency!A:B, 2, FALSE)</f>
        <v>INR</v>
      </c>
      <c r="X771" t="str">
        <f t="shared" si="215"/>
        <v>Accepted</v>
      </c>
      <c r="Y771">
        <f>IFERROR(VLOOKUP(N771, Payment_Terms!A:B, 2, FALSE), "Payment term not found!")</f>
        <v>30</v>
      </c>
      <c r="Z771" t="str">
        <f>IFERROR(VLOOKUP(R771, Item_Category!A:B, 2, FALSE), "Uncategorized")</f>
        <v>CROSSCARMELLOSE SODIUM</v>
      </c>
      <c r="AA771" s="5">
        <f t="shared" ref="AA771:AA834" si="219">IFERROR(IF(AND(E771&lt;&gt;"", G771&lt;&gt;""), MAX(0, (H771-SUMIFS(S:S, E:E, E771, G:G, G771))/H771), ""), (H771-S771)/H771)</f>
        <v>0</v>
      </c>
      <c r="AB771">
        <f t="shared" ref="AB771:AB834" si="220">IF(AA771&lt;=0%,5,(IF(AND(AA771&gt;0%,AA771&lt;=2%),4,IF(AND(AA771&gt;2%,AA771&lt;=5%),3,IF(AND(AA771&gt;5%,AA771&lt;10%),2,1)))))</f>
        <v>5</v>
      </c>
      <c r="AC771" s="10">
        <f t="shared" ref="AC771:AC834" si="221">DATE(RIGHT(O771,2),MID(O771,4,2),LEFT(O771,2)) - DATE(RIGHT(K771,2),MID(K771,4,2),LEFT(K771,2))</f>
        <v>-7</v>
      </c>
      <c r="AD771">
        <f t="shared" ref="AD771:AD834" si="222">IF(AC771 &lt;= 2, 5, IF(AC771 &lt;= 4, 4, IF(AC771 &lt;= 7, 3, IF(AC771&lt;=10,2,1))))</f>
        <v>5</v>
      </c>
      <c r="AE771" s="10">
        <f t="shared" ref="AE771:AE834" si="223">ABS(DATE(RIGHT(O771,2),MID(O771,4,2),LEFT(O771,2)) - DATE(RIGHT(C771,2),MID(C771,4,2),LEFT(C771,2)))</f>
        <v>8</v>
      </c>
      <c r="AF771" s="5">
        <f t="shared" si="216"/>
        <v>1</v>
      </c>
      <c r="AG771" s="5">
        <f t="shared" si="217"/>
        <v>1</v>
      </c>
      <c r="AH771" s="5">
        <f t="shared" ref="AH771:AH834" si="224">ROUNDUP(ABS(100%-AG771),2)</f>
        <v>0</v>
      </c>
      <c r="AI771">
        <f>IF(B771&lt;&gt;"", COUNTIFS($B$2:B771, B771), "")</f>
        <v>18</v>
      </c>
      <c r="AJ771">
        <f t="shared" ref="AJ771:AJ834" si="225">IF(AH771=0%,5,IF(AND(AH771&gt;0%,AH771&lt;=2%),4,IF(AND(AH771&gt;2%,AH771&lt;=5%),3,IF(AND(AH771&gt;5%,AH771&lt;10%),2,1))))</f>
        <v>5</v>
      </c>
      <c r="AK771">
        <f t="shared" si="218"/>
        <v>5</v>
      </c>
      <c r="AL771">
        <f t="shared" ref="AL771:AL834" si="226">MONTH(DATE(RIGHT(C771,2),MID(C771,4,2),LEFT(C771,2)))</f>
        <v>7</v>
      </c>
      <c r="AM771" t="str">
        <f t="shared" ref="AM771:AM834" si="227">TEXT(DATE(RIGHT(C771,2),MID(C771,4,2),LEFT(C771,2)),"mmmm")</f>
        <v>July</v>
      </c>
      <c r="AN771">
        <f t="shared" ref="AN771:AN834" si="228">YEAR(DATE(VALUE(MID(C771,7,2))+2000, MID(C771,4,2), MID(C771,1,2)))</f>
        <v>2023</v>
      </c>
      <c r="AO771" t="str">
        <f t="shared" ref="AO771:AO834" si="229">IF(AJ771&lt;=3,"&lt;=3","&gt;3")</f>
        <v>&gt;3</v>
      </c>
      <c r="AP771" t="str">
        <f t="shared" ref="AP771:AP834" si="230">IF(AB771&lt;=3,"&lt;=3","&gt;3")</f>
        <v>&gt;3</v>
      </c>
      <c r="AQ771" t="str">
        <f t="shared" ref="AQ771:AQ834" si="231">IF(AD771&lt;=3,"&lt;=3","&gt;3")</f>
        <v>&gt;3</v>
      </c>
    </row>
    <row r="772" spans="1:43" x14ac:dyDescent="0.3">
      <c r="A772" t="s">
        <v>33</v>
      </c>
      <c r="B772" t="s">
        <v>366</v>
      </c>
      <c r="C772" t="s">
        <v>58</v>
      </c>
      <c r="D772">
        <v>3581</v>
      </c>
      <c r="E772">
        <v>23310287</v>
      </c>
      <c r="F772" t="s">
        <v>569</v>
      </c>
      <c r="G772" t="s">
        <v>570</v>
      </c>
      <c r="H772">
        <v>100</v>
      </c>
      <c r="I772">
        <v>9800</v>
      </c>
      <c r="J772">
        <v>980000</v>
      </c>
      <c r="K772" s="7" t="str">
        <f>IFERROR(IF(B772&lt;&gt;"", TEXT(VLOOKUP(B772, 'Expected Date'!A:B, 2, FALSE) + DATE(RIGHT(C772,2),MID(C772,4,2),LEFT(C772,2)), "dd/mm/yy"), ""), "")</f>
        <v>03/08/23</v>
      </c>
      <c r="L772" t="s">
        <v>38</v>
      </c>
      <c r="M772" t="s">
        <v>48</v>
      </c>
      <c r="N772" t="s">
        <v>532</v>
      </c>
      <c r="O772" t="s">
        <v>59</v>
      </c>
      <c r="P772">
        <v>23390402</v>
      </c>
      <c r="Q772" t="s">
        <v>569</v>
      </c>
      <c r="R772" t="s">
        <v>570</v>
      </c>
      <c r="S772">
        <v>24.52</v>
      </c>
      <c r="T772">
        <v>9800</v>
      </c>
      <c r="U772">
        <v>240296</v>
      </c>
      <c r="V772" t="str">
        <f t="shared" si="214"/>
        <v>Jhagadia</v>
      </c>
      <c r="W772" t="str">
        <f>VLOOKUP(B772, Currency!A:B, 2, FALSE)</f>
        <v>INR</v>
      </c>
      <c r="X772" t="str">
        <f t="shared" si="215"/>
        <v>Accepted</v>
      </c>
      <c r="Y772">
        <f>IFERROR(VLOOKUP(N772, Payment_Terms!A:B, 2, FALSE), "Payment term not found!")</f>
        <v>15</v>
      </c>
      <c r="Z772" t="str">
        <f>IFERROR(VLOOKUP(R772, Item_Category!A:B, 2, FALSE), "Uncategorized")</f>
        <v>Coal materials</v>
      </c>
      <c r="AA772" s="5">
        <f t="shared" si="219"/>
        <v>0</v>
      </c>
      <c r="AB772">
        <f t="shared" si="220"/>
        <v>5</v>
      </c>
      <c r="AC772" s="10">
        <f t="shared" si="221"/>
        <v>2</v>
      </c>
      <c r="AD772">
        <f t="shared" si="222"/>
        <v>5</v>
      </c>
      <c r="AE772" s="10">
        <f t="shared" si="223"/>
        <v>4</v>
      </c>
      <c r="AF772" s="5">
        <f t="shared" si="216"/>
        <v>1</v>
      </c>
      <c r="AG772" s="5">
        <f t="shared" si="217"/>
        <v>1</v>
      </c>
      <c r="AH772" s="5">
        <f t="shared" si="224"/>
        <v>0</v>
      </c>
      <c r="AI772">
        <f>IF(B772&lt;&gt;"", COUNTIFS($B$2:B772, B772), "")</f>
        <v>95</v>
      </c>
      <c r="AJ772">
        <f t="shared" si="225"/>
        <v>5</v>
      </c>
      <c r="AK772">
        <f t="shared" si="218"/>
        <v>5</v>
      </c>
      <c r="AL772">
        <f t="shared" si="226"/>
        <v>8</v>
      </c>
      <c r="AM772" t="str">
        <f t="shared" si="227"/>
        <v>August</v>
      </c>
      <c r="AN772">
        <f t="shared" si="228"/>
        <v>2023</v>
      </c>
      <c r="AO772" t="str">
        <f t="shared" si="229"/>
        <v>&gt;3</v>
      </c>
      <c r="AP772" t="str">
        <f t="shared" si="230"/>
        <v>&gt;3</v>
      </c>
      <c r="AQ772" t="str">
        <f t="shared" si="231"/>
        <v>&gt;3</v>
      </c>
    </row>
    <row r="773" spans="1:43" x14ac:dyDescent="0.3">
      <c r="A773" t="s">
        <v>33</v>
      </c>
      <c r="B773" t="s">
        <v>366</v>
      </c>
      <c r="C773" t="s">
        <v>58</v>
      </c>
      <c r="D773">
        <v>3581</v>
      </c>
      <c r="E773">
        <v>23310287</v>
      </c>
      <c r="F773" t="s">
        <v>569</v>
      </c>
      <c r="G773" t="s">
        <v>570</v>
      </c>
      <c r="H773">
        <v>100</v>
      </c>
      <c r="I773">
        <v>9800</v>
      </c>
      <c r="J773">
        <v>980000</v>
      </c>
      <c r="K773" s="7" t="str">
        <f>IFERROR(IF(B773&lt;&gt;"", TEXT(VLOOKUP(B773, 'Expected Date'!A:B, 2, FALSE) + DATE(RIGHT(C773,2),MID(C773,4,2),LEFT(C773,2)), "dd/mm/yy"), ""), "")</f>
        <v>03/08/23</v>
      </c>
      <c r="L773" t="s">
        <v>38</v>
      </c>
      <c r="M773" t="s">
        <v>48</v>
      </c>
      <c r="N773" t="s">
        <v>532</v>
      </c>
      <c r="O773" t="s">
        <v>202</v>
      </c>
      <c r="P773">
        <v>23390405</v>
      </c>
      <c r="Q773" t="s">
        <v>569</v>
      </c>
      <c r="R773" t="s">
        <v>570</v>
      </c>
      <c r="S773">
        <v>28.12</v>
      </c>
      <c r="T773">
        <v>9800</v>
      </c>
      <c r="U773">
        <v>275576</v>
      </c>
      <c r="V773" t="str">
        <f t="shared" si="214"/>
        <v>Jhagadia</v>
      </c>
      <c r="W773" t="str">
        <f>VLOOKUP(B773, Currency!A:B, 2, FALSE)</f>
        <v>INR</v>
      </c>
      <c r="X773" t="str">
        <f t="shared" si="215"/>
        <v>Accepted</v>
      </c>
      <c r="Y773">
        <f>IFERROR(VLOOKUP(N773, Payment_Terms!A:B, 2, FALSE), "Payment term not found!")</f>
        <v>15</v>
      </c>
      <c r="Z773" t="str">
        <f>IFERROR(VLOOKUP(R773, Item_Category!A:B, 2, FALSE), "Uncategorized")</f>
        <v>Coal materials</v>
      </c>
      <c r="AA773" s="5">
        <f t="shared" si="219"/>
        <v>0</v>
      </c>
      <c r="AB773">
        <f t="shared" si="220"/>
        <v>5</v>
      </c>
      <c r="AC773" s="10">
        <f t="shared" si="221"/>
        <v>6</v>
      </c>
      <c r="AD773">
        <f t="shared" si="222"/>
        <v>3</v>
      </c>
      <c r="AE773" s="10">
        <f t="shared" si="223"/>
        <v>8</v>
      </c>
      <c r="AF773" s="5">
        <f t="shared" si="216"/>
        <v>1</v>
      </c>
      <c r="AG773" s="5">
        <f t="shared" si="217"/>
        <v>1</v>
      </c>
      <c r="AH773" s="5">
        <f t="shared" si="224"/>
        <v>0</v>
      </c>
      <c r="AI773">
        <f>IF(B773&lt;&gt;"", COUNTIFS($B$2:B773, B773), "")</f>
        <v>96</v>
      </c>
      <c r="AJ773">
        <f t="shared" si="225"/>
        <v>5</v>
      </c>
      <c r="AK773">
        <f t="shared" si="218"/>
        <v>5</v>
      </c>
      <c r="AL773">
        <f t="shared" si="226"/>
        <v>8</v>
      </c>
      <c r="AM773" t="str">
        <f t="shared" si="227"/>
        <v>August</v>
      </c>
      <c r="AN773">
        <f t="shared" si="228"/>
        <v>2023</v>
      </c>
      <c r="AO773" t="str">
        <f t="shared" si="229"/>
        <v>&gt;3</v>
      </c>
      <c r="AP773" t="str">
        <f t="shared" si="230"/>
        <v>&gt;3</v>
      </c>
      <c r="AQ773" t="str">
        <f t="shared" si="231"/>
        <v>&lt;=3</v>
      </c>
    </row>
    <row r="774" spans="1:43" x14ac:dyDescent="0.3">
      <c r="A774" t="s">
        <v>33</v>
      </c>
      <c r="B774" t="s">
        <v>386</v>
      </c>
      <c r="C774" t="s">
        <v>562</v>
      </c>
      <c r="D774">
        <v>1638</v>
      </c>
      <c r="E774">
        <v>23310060</v>
      </c>
      <c r="F774" t="s">
        <v>554</v>
      </c>
      <c r="G774" t="s">
        <v>555</v>
      </c>
      <c r="H774">
        <v>8000</v>
      </c>
      <c r="I774">
        <v>19.5</v>
      </c>
      <c r="J774">
        <v>156000</v>
      </c>
      <c r="K774" s="7" t="str">
        <f>IFERROR(IF(B774&lt;&gt;"", TEXT(VLOOKUP(B774, 'Expected Date'!A:B, 2, FALSE) + DATE(RIGHT(C774,2),MID(C774,4,2),LEFT(C774,2)), "dd/mm/yy"), ""), "")</f>
        <v>05/05/23</v>
      </c>
      <c r="L774" t="s">
        <v>38</v>
      </c>
      <c r="M774" t="s">
        <v>48</v>
      </c>
      <c r="N774" t="s">
        <v>556</v>
      </c>
      <c r="O774" t="s">
        <v>262</v>
      </c>
      <c r="P774">
        <v>23390094</v>
      </c>
      <c r="Q774" t="s">
        <v>554</v>
      </c>
      <c r="R774" t="s">
        <v>555</v>
      </c>
      <c r="S774">
        <v>2530</v>
      </c>
      <c r="T774">
        <v>19.5</v>
      </c>
      <c r="U774">
        <v>49335</v>
      </c>
      <c r="V774" t="str">
        <f t="shared" si="214"/>
        <v>Jhagadia</v>
      </c>
      <c r="W774" t="str">
        <f>VLOOKUP(B774, Currency!A:B, 2, FALSE)</f>
        <v>INR</v>
      </c>
      <c r="X774" t="str">
        <f t="shared" si="215"/>
        <v>Accepted</v>
      </c>
      <c r="Y774">
        <f>IFERROR(VLOOKUP(N774, Payment_Terms!A:B, 2, FALSE), "Payment term not found!")</f>
        <v>30</v>
      </c>
      <c r="Z774" t="str">
        <f>IFERROR(VLOOKUP(R774, Item_Category!A:B, 2, FALSE), "Uncategorized")</f>
        <v>HDPE bag acecel</v>
      </c>
      <c r="AA774" s="5">
        <f t="shared" si="219"/>
        <v>0</v>
      </c>
      <c r="AB774">
        <f t="shared" si="220"/>
        <v>5</v>
      </c>
      <c r="AC774" s="10">
        <f t="shared" si="221"/>
        <v>-3</v>
      </c>
      <c r="AD774">
        <f t="shared" si="222"/>
        <v>5</v>
      </c>
      <c r="AE774" s="10">
        <f t="shared" si="223"/>
        <v>2</v>
      </c>
      <c r="AF774" s="5">
        <f t="shared" si="216"/>
        <v>1</v>
      </c>
      <c r="AG774" s="5">
        <f t="shared" si="217"/>
        <v>1</v>
      </c>
      <c r="AH774" s="5">
        <f t="shared" si="224"/>
        <v>0</v>
      </c>
      <c r="AI774">
        <f>IF(B774&lt;&gt;"", COUNTIFS($B$2:B774, B774), "")</f>
        <v>45</v>
      </c>
      <c r="AJ774">
        <f t="shared" si="225"/>
        <v>5</v>
      </c>
      <c r="AK774">
        <f t="shared" si="218"/>
        <v>5</v>
      </c>
      <c r="AL774">
        <f t="shared" si="226"/>
        <v>4</v>
      </c>
      <c r="AM774" t="str">
        <f t="shared" si="227"/>
        <v>April</v>
      </c>
      <c r="AN774">
        <f t="shared" si="228"/>
        <v>2023</v>
      </c>
      <c r="AO774" t="str">
        <f t="shared" si="229"/>
        <v>&gt;3</v>
      </c>
      <c r="AP774" t="str">
        <f t="shared" si="230"/>
        <v>&gt;3</v>
      </c>
      <c r="AQ774" t="str">
        <f t="shared" si="231"/>
        <v>&gt;3</v>
      </c>
    </row>
    <row r="775" spans="1:43" x14ac:dyDescent="0.3">
      <c r="A775" t="s">
        <v>33</v>
      </c>
      <c r="B775" t="s">
        <v>386</v>
      </c>
      <c r="C775" t="s">
        <v>562</v>
      </c>
      <c r="D775">
        <v>1638</v>
      </c>
      <c r="E775">
        <v>23310060</v>
      </c>
      <c r="F775" t="s">
        <v>554</v>
      </c>
      <c r="G775" t="s">
        <v>555</v>
      </c>
      <c r="H775">
        <v>8000</v>
      </c>
      <c r="I775">
        <v>19.5</v>
      </c>
      <c r="J775">
        <v>156000</v>
      </c>
      <c r="K775" s="7" t="str">
        <f>IFERROR(IF(B775&lt;&gt;"", TEXT(VLOOKUP(B775, 'Expected Date'!A:B, 2, FALSE) + DATE(RIGHT(C775,2),MID(C775,4,2),LEFT(C775,2)), "dd/mm/yy"), ""), "")</f>
        <v>05/05/23</v>
      </c>
      <c r="L775" t="s">
        <v>38</v>
      </c>
      <c r="M775" t="s">
        <v>48</v>
      </c>
      <c r="N775" t="s">
        <v>556</v>
      </c>
      <c r="O775" t="s">
        <v>222</v>
      </c>
      <c r="P775">
        <v>23390169</v>
      </c>
      <c r="Q775" t="s">
        <v>554</v>
      </c>
      <c r="R775" t="s">
        <v>555</v>
      </c>
      <c r="S775">
        <v>5637</v>
      </c>
      <c r="T775">
        <v>19.5</v>
      </c>
      <c r="U775">
        <v>109921.5</v>
      </c>
      <c r="V775" t="str">
        <f t="shared" si="214"/>
        <v>Jhagadia</v>
      </c>
      <c r="W775" t="str">
        <f>VLOOKUP(B775, Currency!A:B, 2, FALSE)</f>
        <v>INR</v>
      </c>
      <c r="X775" t="str">
        <f t="shared" si="215"/>
        <v>Accepted</v>
      </c>
      <c r="Y775">
        <f>IFERROR(VLOOKUP(N775, Payment_Terms!A:B, 2, FALSE), "Payment term not found!")</f>
        <v>30</v>
      </c>
      <c r="Z775" t="str">
        <f>IFERROR(VLOOKUP(R775, Item_Category!A:B, 2, FALSE), "Uncategorized")</f>
        <v>HDPE bag acecel</v>
      </c>
      <c r="AA775" s="5">
        <f t="shared" si="219"/>
        <v>0</v>
      </c>
      <c r="AB775">
        <f t="shared" si="220"/>
        <v>5</v>
      </c>
      <c r="AC775" s="10">
        <f t="shared" si="221"/>
        <v>14</v>
      </c>
      <c r="AD775">
        <f t="shared" si="222"/>
        <v>1</v>
      </c>
      <c r="AE775" s="10">
        <f t="shared" si="223"/>
        <v>19</v>
      </c>
      <c r="AF775" s="5">
        <f t="shared" si="216"/>
        <v>1</v>
      </c>
      <c r="AG775" s="5">
        <f t="shared" si="217"/>
        <v>1</v>
      </c>
      <c r="AH775" s="5">
        <f t="shared" si="224"/>
        <v>0</v>
      </c>
      <c r="AI775">
        <f>IF(B775&lt;&gt;"", COUNTIFS($B$2:B775, B775), "")</f>
        <v>46</v>
      </c>
      <c r="AJ775">
        <f t="shared" si="225"/>
        <v>5</v>
      </c>
      <c r="AK775">
        <f t="shared" si="218"/>
        <v>4</v>
      </c>
      <c r="AL775">
        <f t="shared" si="226"/>
        <v>4</v>
      </c>
      <c r="AM775" t="str">
        <f t="shared" si="227"/>
        <v>April</v>
      </c>
      <c r="AN775">
        <f t="shared" si="228"/>
        <v>2023</v>
      </c>
      <c r="AO775" t="str">
        <f t="shared" si="229"/>
        <v>&gt;3</v>
      </c>
      <c r="AP775" t="str">
        <f t="shared" si="230"/>
        <v>&gt;3</v>
      </c>
      <c r="AQ775" t="str">
        <f t="shared" si="231"/>
        <v>&lt;=3</v>
      </c>
    </row>
    <row r="776" spans="1:43" x14ac:dyDescent="0.3">
      <c r="A776" t="str">
        <f>A712</f>
        <v>Woodpulp</v>
      </c>
      <c r="B776" t="s">
        <v>140</v>
      </c>
      <c r="C776" t="s">
        <v>108</v>
      </c>
      <c r="D776">
        <v>1806</v>
      </c>
      <c r="E776">
        <v>23320012</v>
      </c>
      <c r="F776" t="s">
        <v>571</v>
      </c>
      <c r="G776" t="s">
        <v>360</v>
      </c>
      <c r="H776">
        <v>100</v>
      </c>
      <c r="I776">
        <v>830</v>
      </c>
      <c r="J776">
        <v>6710550</v>
      </c>
      <c r="K776" s="7" t="str">
        <f>IFERROR(IF(B776&lt;&gt;"", TEXT(VLOOKUP(B776, 'Expected Date'!A:B, 2, FALSE) + DATE(RIGHT(C776,2),MID(C776,4,2),LEFT(C776,2)), "dd/mm/yy"), ""), "")</f>
        <v>24/06/23</v>
      </c>
      <c r="L776" t="s">
        <v>38</v>
      </c>
      <c r="M776" t="str">
        <f>M706</f>
        <v>MT</v>
      </c>
      <c r="N776" t="s">
        <v>144</v>
      </c>
      <c r="O776" t="s">
        <v>415</v>
      </c>
      <c r="P776">
        <v>23390173</v>
      </c>
      <c r="Q776" t="s">
        <v>571</v>
      </c>
      <c r="R776" t="s">
        <v>360</v>
      </c>
      <c r="S776">
        <v>98.537999999999997</v>
      </c>
      <c r="T776">
        <v>830</v>
      </c>
      <c r="U776">
        <v>6612441.7599999998</v>
      </c>
      <c r="V776" t="str">
        <f t="shared" si="214"/>
        <v>Jhagadia</v>
      </c>
      <c r="W776" t="str">
        <f>VLOOKUP(B776, Currency!A:B, 2, FALSE)</f>
        <v>USD</v>
      </c>
      <c r="X776" t="str">
        <f t="shared" si="215"/>
        <v>Accepted</v>
      </c>
      <c r="Y776">
        <f>IFERROR(VLOOKUP(N776, Payment_Terms!A:B, 2, FALSE), "Payment term not found!")</f>
        <v>30</v>
      </c>
      <c r="Z776" t="str">
        <f>IFERROR(VLOOKUP(R776, Item_Category!A:B, 2, FALSE), "Uncategorized")</f>
        <v>Wood pulp</v>
      </c>
      <c r="AA776" s="5">
        <f t="shared" si="219"/>
        <v>0</v>
      </c>
      <c r="AB776">
        <f t="shared" si="220"/>
        <v>5</v>
      </c>
      <c r="AC776" s="10">
        <f t="shared" si="221"/>
        <v>-34</v>
      </c>
      <c r="AD776">
        <f t="shared" si="222"/>
        <v>5</v>
      </c>
      <c r="AE776" s="10">
        <f t="shared" si="223"/>
        <v>11</v>
      </c>
      <c r="AF776" s="5">
        <f t="shared" si="216"/>
        <v>1</v>
      </c>
      <c r="AG776" s="5">
        <f t="shared" si="217"/>
        <v>1</v>
      </c>
      <c r="AH776" s="5">
        <f t="shared" si="224"/>
        <v>0</v>
      </c>
      <c r="AI776">
        <f>IF(B776&lt;&gt;"", COUNTIFS($B$2:B776, B776), "")</f>
        <v>41</v>
      </c>
      <c r="AJ776">
        <f t="shared" si="225"/>
        <v>5</v>
      </c>
      <c r="AK776">
        <f t="shared" si="218"/>
        <v>5</v>
      </c>
      <c r="AL776">
        <f t="shared" si="226"/>
        <v>5</v>
      </c>
      <c r="AM776" t="str">
        <f t="shared" si="227"/>
        <v>May</v>
      </c>
      <c r="AN776">
        <f t="shared" si="228"/>
        <v>2023</v>
      </c>
      <c r="AO776" t="str">
        <f t="shared" si="229"/>
        <v>&gt;3</v>
      </c>
      <c r="AP776" t="str">
        <f t="shared" si="230"/>
        <v>&gt;3</v>
      </c>
      <c r="AQ776" t="str">
        <f t="shared" si="231"/>
        <v>&gt;3</v>
      </c>
    </row>
    <row r="777" spans="1:43" x14ac:dyDescent="0.3">
      <c r="A777" t="str">
        <f>A632</f>
        <v>Woodpulp</v>
      </c>
      <c r="B777" t="s">
        <v>289</v>
      </c>
      <c r="C777" t="s">
        <v>133</v>
      </c>
      <c r="D777">
        <v>2299</v>
      </c>
      <c r="E777">
        <v>23320014</v>
      </c>
      <c r="F777" t="s">
        <v>575</v>
      </c>
      <c r="G777" t="s">
        <v>291</v>
      </c>
      <c r="H777">
        <v>100</v>
      </c>
      <c r="I777">
        <v>56000</v>
      </c>
      <c r="J777">
        <v>5600000</v>
      </c>
      <c r="K777" s="7" t="str">
        <f>IFERROR(IF(B777&lt;&gt;"", TEXT(VLOOKUP(B777, 'Expected Date'!A:B, 2, FALSE) + DATE(RIGHT(C777,2),MID(C777,4,2),LEFT(C777,2)), "dd/mm/yy"), ""), "")</f>
        <v>06/07/23</v>
      </c>
      <c r="L777" t="s">
        <v>68</v>
      </c>
      <c r="M777" t="str">
        <f>M730</f>
        <v>MT</v>
      </c>
      <c r="N777" t="s">
        <v>292</v>
      </c>
      <c r="O777" t="s">
        <v>328</v>
      </c>
      <c r="P777">
        <v>23390244</v>
      </c>
      <c r="Q777" t="s">
        <v>575</v>
      </c>
      <c r="R777" t="s">
        <v>291</v>
      </c>
      <c r="S777">
        <v>28.251999999999999</v>
      </c>
      <c r="T777">
        <v>56000</v>
      </c>
      <c r="U777">
        <v>1582112</v>
      </c>
      <c r="V777" t="str">
        <f t="shared" si="214"/>
        <v>Jhagadia</v>
      </c>
      <c r="W777" t="str">
        <f>VLOOKUP(B777, Currency!A:B, 2, FALSE)</f>
        <v>INR</v>
      </c>
      <c r="X777" t="str">
        <f t="shared" si="215"/>
        <v>Accepted</v>
      </c>
      <c r="Y777">
        <f>IFERROR(VLOOKUP(N777, Payment_Terms!A:B, 2, FALSE), "Payment term not found!")</f>
        <v>0</v>
      </c>
      <c r="Z777" t="str">
        <f>IFERROR(VLOOKUP(R777, Item_Category!A:B, 2, FALSE), "Uncategorized")</f>
        <v>Wood pulp</v>
      </c>
      <c r="AA777" s="5">
        <f t="shared" si="219"/>
        <v>0.17262</v>
      </c>
      <c r="AB777">
        <f t="shared" si="220"/>
        <v>1</v>
      </c>
      <c r="AC777" s="10">
        <f t="shared" si="221"/>
        <v>-22</v>
      </c>
      <c r="AD777">
        <f t="shared" si="222"/>
        <v>5</v>
      </c>
      <c r="AE777" s="10">
        <f t="shared" si="223"/>
        <v>8</v>
      </c>
      <c r="AF777" s="5">
        <f t="shared" si="216"/>
        <v>1</v>
      </c>
      <c r="AG777" s="5">
        <f t="shared" si="217"/>
        <v>1</v>
      </c>
      <c r="AH777" s="5">
        <f t="shared" si="224"/>
        <v>0</v>
      </c>
      <c r="AI777">
        <f>IF(B777&lt;&gt;"", COUNTIFS($B$2:B777, B777), "")</f>
        <v>31</v>
      </c>
      <c r="AJ777">
        <f t="shared" si="225"/>
        <v>5</v>
      </c>
      <c r="AK777">
        <f t="shared" si="218"/>
        <v>4</v>
      </c>
      <c r="AL777">
        <f t="shared" si="226"/>
        <v>6</v>
      </c>
      <c r="AM777" t="str">
        <f t="shared" si="227"/>
        <v>June</v>
      </c>
      <c r="AN777">
        <f t="shared" si="228"/>
        <v>2023</v>
      </c>
      <c r="AO777" t="str">
        <f t="shared" si="229"/>
        <v>&gt;3</v>
      </c>
      <c r="AP777" t="str">
        <f t="shared" si="230"/>
        <v>&lt;=3</v>
      </c>
      <c r="AQ777" t="str">
        <f t="shared" si="231"/>
        <v>&gt;3</v>
      </c>
    </row>
    <row r="778" spans="1:43" x14ac:dyDescent="0.3">
      <c r="A778" t="s">
        <v>33</v>
      </c>
      <c r="B778" t="s">
        <v>513</v>
      </c>
      <c r="C778" t="s">
        <v>172</v>
      </c>
      <c r="D778">
        <v>1186</v>
      </c>
      <c r="E778">
        <v>23310008</v>
      </c>
      <c r="F778" t="s">
        <v>563</v>
      </c>
      <c r="G778" t="s">
        <v>515</v>
      </c>
      <c r="H778">
        <v>2500</v>
      </c>
      <c r="I778">
        <v>26</v>
      </c>
      <c r="J778">
        <v>65000</v>
      </c>
      <c r="K778" s="7" t="str">
        <f>IFERROR(IF(B778&lt;&gt;"", TEXT(VLOOKUP(B778, 'Expected Date'!A:B, 2, FALSE) + DATE(RIGHT(C778,2),MID(C778,4,2),LEFT(C778,2)), "dd/mm/yy"), ""), "")</f>
        <v>08/04/23</v>
      </c>
      <c r="L778" t="s">
        <v>38</v>
      </c>
      <c r="M778" t="s">
        <v>48</v>
      </c>
      <c r="N778" t="s">
        <v>342</v>
      </c>
      <c r="O778" t="s">
        <v>172</v>
      </c>
      <c r="P778">
        <v>23390008</v>
      </c>
      <c r="Q778" t="s">
        <v>563</v>
      </c>
      <c r="R778" t="s">
        <v>515</v>
      </c>
      <c r="S778">
        <v>500</v>
      </c>
      <c r="T778">
        <v>26</v>
      </c>
      <c r="U778">
        <v>13000</v>
      </c>
      <c r="V778" t="str">
        <f t="shared" si="214"/>
        <v>Jhagadia</v>
      </c>
      <c r="W778" t="str">
        <f>VLOOKUP(B778, Currency!A:B, 2, FALSE)</f>
        <v>INR</v>
      </c>
      <c r="X778" t="str">
        <f t="shared" si="215"/>
        <v>Accepted</v>
      </c>
      <c r="Y778">
        <f>IFERROR(VLOOKUP(N778, Payment_Terms!A:B, 2, FALSE), "Payment term not found!")</f>
        <v>30</v>
      </c>
      <c r="Z778" t="str">
        <f>IFERROR(VLOOKUP(R778, Item_Category!A:B, 2, FALSE), "Uncategorized")</f>
        <v xml:space="preserve">Caustic Soda </v>
      </c>
      <c r="AA778" s="5">
        <f t="shared" si="219"/>
        <v>0</v>
      </c>
      <c r="AB778">
        <f t="shared" si="220"/>
        <v>5</v>
      </c>
      <c r="AC778" s="10">
        <f t="shared" si="221"/>
        <v>-2</v>
      </c>
      <c r="AD778">
        <f t="shared" si="222"/>
        <v>5</v>
      </c>
      <c r="AE778" s="10">
        <f t="shared" si="223"/>
        <v>0</v>
      </c>
      <c r="AF778" s="5">
        <f t="shared" si="216"/>
        <v>1</v>
      </c>
      <c r="AG778" s="5">
        <f t="shared" si="217"/>
        <v>1</v>
      </c>
      <c r="AH778" s="5">
        <f t="shared" si="224"/>
        <v>0</v>
      </c>
      <c r="AI778">
        <f>IF(B778&lt;&gt;"", COUNTIFS($B$2:B778, B778), "")</f>
        <v>17</v>
      </c>
      <c r="AJ778">
        <f t="shared" si="225"/>
        <v>5</v>
      </c>
      <c r="AK778">
        <f t="shared" si="218"/>
        <v>5</v>
      </c>
      <c r="AL778">
        <f t="shared" si="226"/>
        <v>4</v>
      </c>
      <c r="AM778" t="str">
        <f t="shared" si="227"/>
        <v>April</v>
      </c>
      <c r="AN778">
        <f t="shared" si="228"/>
        <v>2023</v>
      </c>
      <c r="AO778" t="str">
        <f t="shared" si="229"/>
        <v>&gt;3</v>
      </c>
      <c r="AP778" t="str">
        <f t="shared" si="230"/>
        <v>&gt;3</v>
      </c>
      <c r="AQ778" t="str">
        <f t="shared" si="231"/>
        <v>&gt;3</v>
      </c>
    </row>
    <row r="779" spans="1:43" x14ac:dyDescent="0.3">
      <c r="A779" t="s">
        <v>33</v>
      </c>
      <c r="B779" t="s">
        <v>513</v>
      </c>
      <c r="C779" t="s">
        <v>103</v>
      </c>
      <c r="D779">
        <v>4198</v>
      </c>
      <c r="E779">
        <v>23310340</v>
      </c>
      <c r="F779" t="s">
        <v>563</v>
      </c>
      <c r="G779" t="s">
        <v>515</v>
      </c>
      <c r="H779">
        <v>2500</v>
      </c>
      <c r="I779">
        <v>24</v>
      </c>
      <c r="J779">
        <v>60000</v>
      </c>
      <c r="K779" s="7" t="str">
        <f>IFERROR(IF(B779&lt;&gt;"", TEXT(VLOOKUP(B779, 'Expected Date'!A:B, 2, FALSE) + DATE(RIGHT(C779,2),MID(C779,4,2),LEFT(C779,2)), "dd/mm/yy"), ""), "")</f>
        <v>08/09/23</v>
      </c>
      <c r="L779" t="s">
        <v>38</v>
      </c>
      <c r="M779" t="s">
        <v>48</v>
      </c>
      <c r="N779" t="s">
        <v>342</v>
      </c>
      <c r="O779" t="s">
        <v>272</v>
      </c>
      <c r="P779">
        <v>23390617</v>
      </c>
      <c r="Q779" t="s">
        <v>563</v>
      </c>
      <c r="R779" t="s">
        <v>515</v>
      </c>
      <c r="S779">
        <v>1000</v>
      </c>
      <c r="T779">
        <v>24</v>
      </c>
      <c r="U779">
        <v>24000</v>
      </c>
      <c r="V779" t="str">
        <f t="shared" si="214"/>
        <v>Jhagadia</v>
      </c>
      <c r="W779" t="str">
        <f>VLOOKUP(B779, Currency!A:B, 2, FALSE)</f>
        <v>INR</v>
      </c>
      <c r="X779" t="str">
        <f t="shared" si="215"/>
        <v>Accepted</v>
      </c>
      <c r="Y779">
        <f>IFERROR(VLOOKUP(N779, Payment_Terms!A:B, 2, FALSE), "Payment term not found!")</f>
        <v>30</v>
      </c>
      <c r="Z779" t="str">
        <f>IFERROR(VLOOKUP(R779, Item_Category!A:B, 2, FALSE), "Uncategorized")</f>
        <v xml:space="preserve">Caustic Soda </v>
      </c>
      <c r="AA779" s="5">
        <f t="shared" si="219"/>
        <v>0</v>
      </c>
      <c r="AB779">
        <f t="shared" si="220"/>
        <v>5</v>
      </c>
      <c r="AC779" s="10">
        <f t="shared" si="221"/>
        <v>17</v>
      </c>
      <c r="AD779">
        <f t="shared" si="222"/>
        <v>1</v>
      </c>
      <c r="AE779" s="10">
        <f t="shared" si="223"/>
        <v>19</v>
      </c>
      <c r="AF779" s="5">
        <f t="shared" si="216"/>
        <v>1</v>
      </c>
      <c r="AG779" s="5">
        <f t="shared" si="217"/>
        <v>1</v>
      </c>
      <c r="AH779" s="5">
        <f t="shared" si="224"/>
        <v>0</v>
      </c>
      <c r="AI779">
        <f>IF(B779&lt;&gt;"", COUNTIFS($B$2:B779, B779), "")</f>
        <v>18</v>
      </c>
      <c r="AJ779">
        <f t="shared" si="225"/>
        <v>5</v>
      </c>
      <c r="AK779">
        <f t="shared" si="218"/>
        <v>4</v>
      </c>
      <c r="AL779">
        <f t="shared" si="226"/>
        <v>9</v>
      </c>
      <c r="AM779" t="str">
        <f t="shared" si="227"/>
        <v>September</v>
      </c>
      <c r="AN779">
        <f t="shared" si="228"/>
        <v>2023</v>
      </c>
      <c r="AO779" t="str">
        <f t="shared" si="229"/>
        <v>&gt;3</v>
      </c>
      <c r="AP779" t="str">
        <f t="shared" si="230"/>
        <v>&gt;3</v>
      </c>
      <c r="AQ779" t="str">
        <f t="shared" si="231"/>
        <v>&lt;=3</v>
      </c>
    </row>
    <row r="780" spans="1:43" x14ac:dyDescent="0.3">
      <c r="A780" t="s">
        <v>33</v>
      </c>
      <c r="B780" t="s">
        <v>366</v>
      </c>
      <c r="C780" t="s">
        <v>272</v>
      </c>
      <c r="D780">
        <v>4656</v>
      </c>
      <c r="E780">
        <v>23310387</v>
      </c>
      <c r="F780" t="s">
        <v>569</v>
      </c>
      <c r="G780" t="s">
        <v>570</v>
      </c>
      <c r="H780">
        <v>100</v>
      </c>
      <c r="I780">
        <v>9800</v>
      </c>
      <c r="J780">
        <v>980000</v>
      </c>
      <c r="K780" s="7" t="str">
        <f>IFERROR(IF(B780&lt;&gt;"", TEXT(VLOOKUP(B780, 'Expected Date'!A:B, 2, FALSE) + DATE(RIGHT(C780,2),MID(C780,4,2),LEFT(C780,2)), "dd/mm/yy"), ""), "")</f>
        <v>27/09/23</v>
      </c>
      <c r="L780" t="s">
        <v>38</v>
      </c>
      <c r="M780" t="s">
        <v>48</v>
      </c>
      <c r="N780" t="s">
        <v>574</v>
      </c>
      <c r="O780" t="s">
        <v>194</v>
      </c>
      <c r="P780">
        <v>23390619</v>
      </c>
      <c r="Q780" t="s">
        <v>569</v>
      </c>
      <c r="R780" t="s">
        <v>570</v>
      </c>
      <c r="S780">
        <v>29.31</v>
      </c>
      <c r="T780">
        <v>9800</v>
      </c>
      <c r="U780">
        <v>287238</v>
      </c>
      <c r="V780" t="str">
        <f t="shared" si="214"/>
        <v>Jhagadia</v>
      </c>
      <c r="W780" t="str">
        <f>VLOOKUP(B780, Currency!A:B, 2, FALSE)</f>
        <v>INR</v>
      </c>
      <c r="X780" t="str">
        <f t="shared" si="215"/>
        <v>Accepted</v>
      </c>
      <c r="Y780">
        <f>IFERROR(VLOOKUP(N780, Payment_Terms!A:B, 2, FALSE), "Payment term not found!")</f>
        <v>0</v>
      </c>
      <c r="Z780" t="str">
        <f>IFERROR(VLOOKUP(R780, Item_Category!A:B, 2, FALSE), "Uncategorized")</f>
        <v>Coal materials</v>
      </c>
      <c r="AA780" s="5">
        <f t="shared" si="219"/>
        <v>0</v>
      </c>
      <c r="AB780">
        <f t="shared" si="220"/>
        <v>5</v>
      </c>
      <c r="AC780" s="10">
        <f t="shared" si="221"/>
        <v>-1</v>
      </c>
      <c r="AD780">
        <f t="shared" si="222"/>
        <v>5</v>
      </c>
      <c r="AE780" s="10">
        <f t="shared" si="223"/>
        <v>1</v>
      </c>
      <c r="AF780" s="5">
        <f t="shared" si="216"/>
        <v>1</v>
      </c>
      <c r="AG780" s="5">
        <f t="shared" si="217"/>
        <v>1</v>
      </c>
      <c r="AH780" s="5">
        <f t="shared" si="224"/>
        <v>0</v>
      </c>
      <c r="AI780">
        <f>IF(B780&lt;&gt;"", COUNTIFS($B$2:B780, B780), "")</f>
        <v>97</v>
      </c>
      <c r="AJ780">
        <f t="shared" si="225"/>
        <v>5</v>
      </c>
      <c r="AK780">
        <f t="shared" si="218"/>
        <v>5</v>
      </c>
      <c r="AL780">
        <f t="shared" si="226"/>
        <v>9</v>
      </c>
      <c r="AM780" t="str">
        <f t="shared" si="227"/>
        <v>September</v>
      </c>
      <c r="AN780">
        <f t="shared" si="228"/>
        <v>2023</v>
      </c>
      <c r="AO780" t="str">
        <f t="shared" si="229"/>
        <v>&gt;3</v>
      </c>
      <c r="AP780" t="str">
        <f t="shared" si="230"/>
        <v>&gt;3</v>
      </c>
      <c r="AQ780" t="str">
        <f t="shared" si="231"/>
        <v>&gt;3</v>
      </c>
    </row>
    <row r="781" spans="1:43" x14ac:dyDescent="0.3">
      <c r="A781" t="s">
        <v>33</v>
      </c>
      <c r="B781" t="s">
        <v>557</v>
      </c>
      <c r="C781" t="s">
        <v>397</v>
      </c>
      <c r="D781">
        <v>1188</v>
      </c>
      <c r="E781">
        <v>23310010</v>
      </c>
      <c r="F781" t="s">
        <v>558</v>
      </c>
      <c r="G781" t="s">
        <v>384</v>
      </c>
      <c r="H781">
        <v>400</v>
      </c>
      <c r="I781">
        <v>99</v>
      </c>
      <c r="J781">
        <v>39600</v>
      </c>
      <c r="K781" s="7" t="str">
        <f>IFERROR(IF(B781&lt;&gt;"", TEXT(VLOOKUP(B781, 'Expected Date'!A:B, 2, FALSE) + DATE(RIGHT(C781,2),MID(C781,4,2),LEFT(C781,2)), "dd/mm/yy"), ""), "")</f>
        <v>15/04/23</v>
      </c>
      <c r="L781" t="s">
        <v>68</v>
      </c>
      <c r="M781" t="s">
        <v>48</v>
      </c>
      <c r="N781" t="s">
        <v>364</v>
      </c>
      <c r="O781" t="s">
        <v>396</v>
      </c>
      <c r="P781">
        <v>23390009</v>
      </c>
      <c r="Q781" t="s">
        <v>558</v>
      </c>
      <c r="R781" t="s">
        <v>384</v>
      </c>
      <c r="S781">
        <v>100</v>
      </c>
      <c r="T781">
        <v>99</v>
      </c>
      <c r="U781">
        <v>9900</v>
      </c>
      <c r="V781" t="str">
        <f t="shared" si="214"/>
        <v>Jhagadia</v>
      </c>
      <c r="W781" t="str">
        <f>VLOOKUP(B781, Currency!A:B, 2, FALSE)</f>
        <v>INR</v>
      </c>
      <c r="X781" t="str">
        <f t="shared" si="215"/>
        <v>Accepted</v>
      </c>
      <c r="Y781">
        <f>IFERROR(VLOOKUP(N781, Payment_Terms!A:B, 2, FALSE), "Payment term not found!")</f>
        <v>30</v>
      </c>
      <c r="Z781" t="str">
        <f>IFERROR(VLOOKUP(R781, Item_Category!A:B, 2, FALSE), "Uncategorized")</f>
        <v>Gas</v>
      </c>
      <c r="AA781" s="5">
        <f t="shared" si="219"/>
        <v>0.25</v>
      </c>
      <c r="AB781">
        <f t="shared" si="220"/>
        <v>1</v>
      </c>
      <c r="AC781" s="10">
        <f t="shared" si="221"/>
        <v>-8</v>
      </c>
      <c r="AD781">
        <f t="shared" si="222"/>
        <v>5</v>
      </c>
      <c r="AE781" s="10">
        <f t="shared" si="223"/>
        <v>2</v>
      </c>
      <c r="AF781" s="5">
        <f t="shared" si="216"/>
        <v>1</v>
      </c>
      <c r="AG781" s="5">
        <f t="shared" si="217"/>
        <v>1</v>
      </c>
      <c r="AH781" s="5">
        <f t="shared" si="224"/>
        <v>0</v>
      </c>
      <c r="AI781">
        <f>IF(B781&lt;&gt;"", COUNTIFS($B$2:B781, B781), "")</f>
        <v>16</v>
      </c>
      <c r="AJ781">
        <f t="shared" si="225"/>
        <v>5</v>
      </c>
      <c r="AK781">
        <f t="shared" si="218"/>
        <v>4</v>
      </c>
      <c r="AL781">
        <f t="shared" si="226"/>
        <v>4</v>
      </c>
      <c r="AM781" t="str">
        <f t="shared" si="227"/>
        <v>April</v>
      </c>
      <c r="AN781">
        <f t="shared" si="228"/>
        <v>2023</v>
      </c>
      <c r="AO781" t="str">
        <f t="shared" si="229"/>
        <v>&gt;3</v>
      </c>
      <c r="AP781" t="str">
        <f t="shared" si="230"/>
        <v>&lt;=3</v>
      </c>
      <c r="AQ781" t="str">
        <f t="shared" si="231"/>
        <v>&gt;3</v>
      </c>
    </row>
    <row r="782" spans="1:43" x14ac:dyDescent="0.3">
      <c r="A782" t="s">
        <v>33</v>
      </c>
      <c r="B782" t="s">
        <v>429</v>
      </c>
      <c r="C782" t="s">
        <v>178</v>
      </c>
      <c r="D782">
        <v>4150</v>
      </c>
      <c r="E782">
        <v>23310338</v>
      </c>
      <c r="F782" t="s">
        <v>581</v>
      </c>
      <c r="G782" t="s">
        <v>582</v>
      </c>
      <c r="H782">
        <v>6000</v>
      </c>
      <c r="I782">
        <v>8</v>
      </c>
      <c r="J782">
        <v>48000</v>
      </c>
      <c r="K782" s="7" t="str">
        <f>IFERROR(IF(B782&lt;&gt;"", TEXT(VLOOKUP(B782, 'Expected Date'!A:B, 2, FALSE) + DATE(RIGHT(C782,2),MID(C782,4,2),LEFT(C782,2)), "dd/mm/yy"), ""), "")</f>
        <v>06/09/23</v>
      </c>
      <c r="L782" t="s">
        <v>38</v>
      </c>
      <c r="M782" t="s">
        <v>48</v>
      </c>
      <c r="N782" t="s">
        <v>318</v>
      </c>
      <c r="O782" t="s">
        <v>284</v>
      </c>
      <c r="P782">
        <v>23390502</v>
      </c>
      <c r="Q782" t="s">
        <v>581</v>
      </c>
      <c r="R782" t="s">
        <v>582</v>
      </c>
      <c r="S782">
        <v>3155</v>
      </c>
      <c r="T782">
        <v>8</v>
      </c>
      <c r="U782">
        <v>25240</v>
      </c>
      <c r="V782" t="str">
        <f t="shared" si="214"/>
        <v>Jhagadia</v>
      </c>
      <c r="W782" t="str">
        <f>VLOOKUP(B782, Currency!A:B, 2, FALSE)</f>
        <v>INR</v>
      </c>
      <c r="X782" t="str">
        <f t="shared" si="215"/>
        <v>Accepted</v>
      </c>
      <c r="Y782">
        <f>IFERROR(VLOOKUP(N782, Payment_Terms!A:B, 2, FALSE), "Payment term not found!")</f>
        <v>30</v>
      </c>
      <c r="Z782" t="str">
        <f>IFERROR(VLOOKUP(R782, Item_Category!A:B, 2, FALSE), "Uncategorized")</f>
        <v>Lime</v>
      </c>
      <c r="AA782" s="5">
        <f t="shared" si="219"/>
        <v>0</v>
      </c>
      <c r="AB782">
        <f t="shared" si="220"/>
        <v>5</v>
      </c>
      <c r="AC782" s="10">
        <f t="shared" si="221"/>
        <v>-2</v>
      </c>
      <c r="AD782">
        <f t="shared" si="222"/>
        <v>5</v>
      </c>
      <c r="AE782" s="10">
        <f t="shared" si="223"/>
        <v>3</v>
      </c>
      <c r="AF782" s="5">
        <f t="shared" si="216"/>
        <v>1</v>
      </c>
      <c r="AG782" s="5">
        <f t="shared" si="217"/>
        <v>1</v>
      </c>
      <c r="AH782" s="5">
        <f t="shared" si="224"/>
        <v>0</v>
      </c>
      <c r="AI782">
        <f>IF(B782&lt;&gt;"", COUNTIFS($B$2:B782, B782), "")</f>
        <v>13</v>
      </c>
      <c r="AJ782">
        <f t="shared" si="225"/>
        <v>5</v>
      </c>
      <c r="AK782">
        <f t="shared" si="218"/>
        <v>5</v>
      </c>
      <c r="AL782">
        <f t="shared" si="226"/>
        <v>9</v>
      </c>
      <c r="AM782" t="str">
        <f t="shared" si="227"/>
        <v>September</v>
      </c>
      <c r="AN782">
        <f t="shared" si="228"/>
        <v>2023</v>
      </c>
      <c r="AO782" t="str">
        <f t="shared" si="229"/>
        <v>&gt;3</v>
      </c>
      <c r="AP782" t="str">
        <f t="shared" si="230"/>
        <v>&gt;3</v>
      </c>
      <c r="AQ782" t="str">
        <f t="shared" si="231"/>
        <v>&gt;3</v>
      </c>
    </row>
    <row r="783" spans="1:43" x14ac:dyDescent="0.3">
      <c r="A783" t="s">
        <v>33</v>
      </c>
      <c r="B783" t="s">
        <v>122</v>
      </c>
      <c r="C783" t="s">
        <v>103</v>
      </c>
      <c r="D783">
        <v>4202</v>
      </c>
      <c r="E783">
        <v>23310344</v>
      </c>
      <c r="F783" t="s">
        <v>565</v>
      </c>
      <c r="G783" t="s">
        <v>566</v>
      </c>
      <c r="H783">
        <v>140</v>
      </c>
      <c r="I783">
        <v>930</v>
      </c>
      <c r="J783">
        <v>130200</v>
      </c>
      <c r="K783" s="7" t="str">
        <f>IFERROR(IF(B783&lt;&gt;"", TEXT(VLOOKUP(B783, 'Expected Date'!A:B, 2, FALSE) + DATE(RIGHT(C783,2),MID(C783,4,2),LEFT(C783,2)), "dd/mm/yy"), ""), "")</f>
        <v>21/09/23</v>
      </c>
      <c r="L783" t="s">
        <v>68</v>
      </c>
      <c r="M783" t="s">
        <v>39</v>
      </c>
      <c r="N783" t="s">
        <v>318</v>
      </c>
      <c r="O783" t="s">
        <v>229</v>
      </c>
      <c r="P783">
        <v>23390633</v>
      </c>
      <c r="Q783" t="s">
        <v>565</v>
      </c>
      <c r="R783" t="s">
        <v>566</v>
      </c>
      <c r="S783">
        <v>50</v>
      </c>
      <c r="T783">
        <v>930</v>
      </c>
      <c r="U783">
        <v>46500</v>
      </c>
      <c r="V783" t="str">
        <f t="shared" si="214"/>
        <v>Jhagadia</v>
      </c>
      <c r="W783" t="str">
        <f>VLOOKUP(B783, Currency!A:B, 2, FALSE)</f>
        <v>INR</v>
      </c>
      <c r="X783" t="str">
        <f t="shared" si="215"/>
        <v>Accepted</v>
      </c>
      <c r="Y783">
        <f>IFERROR(VLOOKUP(N783, Payment_Terms!A:B, 2, FALSE), "Payment term not found!")</f>
        <v>30</v>
      </c>
      <c r="Z783" t="str">
        <f>IFERROR(VLOOKUP(R783, Item_Category!A:B, 2, FALSE), "Uncategorized")</f>
        <v>Pallets</v>
      </c>
      <c r="AA783" s="5">
        <f t="shared" si="219"/>
        <v>0.2857142857142857</v>
      </c>
      <c r="AB783">
        <f t="shared" si="220"/>
        <v>1</v>
      </c>
      <c r="AC783" s="10">
        <f t="shared" si="221"/>
        <v>9</v>
      </c>
      <c r="AD783">
        <f t="shared" si="222"/>
        <v>2</v>
      </c>
      <c r="AE783" s="10">
        <f t="shared" si="223"/>
        <v>24</v>
      </c>
      <c r="AF783" s="5">
        <f t="shared" si="216"/>
        <v>1</v>
      </c>
      <c r="AG783" s="5">
        <f t="shared" si="217"/>
        <v>1</v>
      </c>
      <c r="AH783" s="5">
        <f t="shared" si="224"/>
        <v>0</v>
      </c>
      <c r="AI783">
        <f>IF(B783&lt;&gt;"", COUNTIFS($B$2:B783, B783), "")</f>
        <v>44</v>
      </c>
      <c r="AJ783">
        <f t="shared" si="225"/>
        <v>5</v>
      </c>
      <c r="AK783">
        <f t="shared" si="218"/>
        <v>3</v>
      </c>
      <c r="AL783">
        <f t="shared" si="226"/>
        <v>9</v>
      </c>
      <c r="AM783" t="str">
        <f t="shared" si="227"/>
        <v>September</v>
      </c>
      <c r="AN783">
        <f t="shared" si="228"/>
        <v>2023</v>
      </c>
      <c r="AO783" t="str">
        <f t="shared" si="229"/>
        <v>&gt;3</v>
      </c>
      <c r="AP783" t="str">
        <f t="shared" si="230"/>
        <v>&lt;=3</v>
      </c>
      <c r="AQ783" t="str">
        <f t="shared" si="231"/>
        <v>&lt;=3</v>
      </c>
    </row>
    <row r="784" spans="1:43" x14ac:dyDescent="0.3">
      <c r="A784" t="s">
        <v>111</v>
      </c>
      <c r="B784" t="s">
        <v>296</v>
      </c>
      <c r="C784" t="s">
        <v>396</v>
      </c>
      <c r="D784">
        <v>1447</v>
      </c>
      <c r="E784">
        <v>23310028</v>
      </c>
      <c r="F784" t="s">
        <v>591</v>
      </c>
      <c r="G784" t="s">
        <v>311</v>
      </c>
      <c r="H784">
        <v>1000</v>
      </c>
      <c r="I784">
        <v>413</v>
      </c>
      <c r="J784">
        <v>413000</v>
      </c>
      <c r="K784" s="7" t="str">
        <f>IFERROR(IF(B784&lt;&gt;"", TEXT(VLOOKUP(B784, 'Expected Date'!A:B, 2, FALSE) + DATE(RIGHT(C784,2),MID(C784,4,2),LEFT(C784,2)), "dd/mm/yy"), ""), "")</f>
        <v>22/04/23</v>
      </c>
      <c r="L784" t="s">
        <v>38</v>
      </c>
      <c r="M784" t="s">
        <v>48</v>
      </c>
      <c r="N784" t="s">
        <v>342</v>
      </c>
      <c r="O784" t="s">
        <v>223</v>
      </c>
      <c r="P784">
        <v>23390162</v>
      </c>
      <c r="Q784" t="s">
        <v>591</v>
      </c>
      <c r="R784" t="s">
        <v>311</v>
      </c>
      <c r="S784">
        <v>1000</v>
      </c>
      <c r="T784">
        <v>413</v>
      </c>
      <c r="U784">
        <v>413000</v>
      </c>
      <c r="V784" t="str">
        <f t="shared" si="214"/>
        <v>Jhagadia</v>
      </c>
      <c r="W784" t="str">
        <f>VLOOKUP(B784, Currency!A:B, 2, FALSE)</f>
        <v>INR</v>
      </c>
      <c r="X784" t="str">
        <f t="shared" si="215"/>
        <v>Accepted</v>
      </c>
      <c r="Y784">
        <f>IFERROR(VLOOKUP(N784, Payment_Terms!A:B, 2, FALSE), "Payment term not found!")</f>
        <v>30</v>
      </c>
      <c r="Z784" t="str">
        <f>IFERROR(VLOOKUP(R784, Item_Category!A:B, 2, FALSE), "Uncategorized")</f>
        <v>CROSSCARMELLOSE SODIUM</v>
      </c>
      <c r="AA784" s="5">
        <f t="shared" si="219"/>
        <v>0</v>
      </c>
      <c r="AB784">
        <f t="shared" si="220"/>
        <v>5</v>
      </c>
      <c r="AC784" s="10">
        <f t="shared" si="221"/>
        <v>25</v>
      </c>
      <c r="AD784">
        <f t="shared" si="222"/>
        <v>1</v>
      </c>
      <c r="AE784" s="10">
        <f t="shared" si="223"/>
        <v>40</v>
      </c>
      <c r="AF784" s="5">
        <f t="shared" si="216"/>
        <v>1</v>
      </c>
      <c r="AG784" s="5">
        <f t="shared" si="217"/>
        <v>1</v>
      </c>
      <c r="AH784" s="5">
        <f t="shared" si="224"/>
        <v>0</v>
      </c>
      <c r="AI784">
        <f>IF(B784&lt;&gt;"", COUNTIFS($B$2:B784, B784), "")</f>
        <v>19</v>
      </c>
      <c r="AJ784">
        <f t="shared" si="225"/>
        <v>5</v>
      </c>
      <c r="AK784">
        <f t="shared" si="218"/>
        <v>4</v>
      </c>
      <c r="AL784">
        <f t="shared" si="226"/>
        <v>4</v>
      </c>
      <c r="AM784" t="str">
        <f t="shared" si="227"/>
        <v>April</v>
      </c>
      <c r="AN784">
        <f t="shared" si="228"/>
        <v>2023</v>
      </c>
      <c r="AO784" t="str">
        <f t="shared" si="229"/>
        <v>&gt;3</v>
      </c>
      <c r="AP784" t="str">
        <f t="shared" si="230"/>
        <v>&gt;3</v>
      </c>
      <c r="AQ784" t="str">
        <f t="shared" si="231"/>
        <v>&lt;=3</v>
      </c>
    </row>
    <row r="785" spans="1:43" x14ac:dyDescent="0.3">
      <c r="A785" t="s">
        <v>33</v>
      </c>
      <c r="B785" t="s">
        <v>395</v>
      </c>
      <c r="C785" t="s">
        <v>416</v>
      </c>
      <c r="D785">
        <v>2024</v>
      </c>
      <c r="E785">
        <v>23310112</v>
      </c>
      <c r="F785" t="s">
        <v>569</v>
      </c>
      <c r="G785" t="s">
        <v>570</v>
      </c>
      <c r="H785">
        <v>100</v>
      </c>
      <c r="I785">
        <v>11523.81</v>
      </c>
      <c r="J785">
        <v>1152381</v>
      </c>
      <c r="K785" s="7" t="str">
        <f>IFERROR(IF(B785&lt;&gt;"", TEXT(VLOOKUP(B785, 'Expected Date'!A:B, 2, FALSE) + DATE(RIGHT(C785,2),MID(C785,4,2),LEFT(C785,2)), "dd/mm/yy"), ""), "")</f>
        <v>25/05/23</v>
      </c>
      <c r="L785" t="s">
        <v>38</v>
      </c>
      <c r="M785" t="s">
        <v>48</v>
      </c>
      <c r="N785" t="s">
        <v>342</v>
      </c>
      <c r="O785" t="s">
        <v>415</v>
      </c>
      <c r="P785">
        <v>23390174</v>
      </c>
      <c r="Q785" t="s">
        <v>569</v>
      </c>
      <c r="R785" t="s">
        <v>570</v>
      </c>
      <c r="S785">
        <v>30.98</v>
      </c>
      <c r="T785">
        <v>11523.81</v>
      </c>
      <c r="U785">
        <v>357007.63</v>
      </c>
      <c r="V785" t="str">
        <f t="shared" si="214"/>
        <v>Jhagadia</v>
      </c>
      <c r="W785" t="str">
        <f>VLOOKUP(B785, Currency!A:B, 2, FALSE)</f>
        <v>INR</v>
      </c>
      <c r="X785" t="str">
        <f t="shared" si="215"/>
        <v>Accepted</v>
      </c>
      <c r="Y785">
        <f>IFERROR(VLOOKUP(N785, Payment_Terms!A:B, 2, FALSE), "Payment term not found!")</f>
        <v>30</v>
      </c>
      <c r="Z785" t="str">
        <f>IFERROR(VLOOKUP(R785, Item_Category!A:B, 2, FALSE), "Uncategorized")</f>
        <v>Coal materials</v>
      </c>
      <c r="AA785" s="5">
        <f t="shared" si="219"/>
        <v>0</v>
      </c>
      <c r="AB785">
        <f t="shared" si="220"/>
        <v>5</v>
      </c>
      <c r="AC785" s="10">
        <f t="shared" si="221"/>
        <v>-4</v>
      </c>
      <c r="AD785">
        <f t="shared" si="222"/>
        <v>5</v>
      </c>
      <c r="AE785" s="10">
        <f t="shared" si="223"/>
        <v>1</v>
      </c>
      <c r="AF785" s="5">
        <f t="shared" si="216"/>
        <v>1</v>
      </c>
      <c r="AG785" s="5">
        <f t="shared" si="217"/>
        <v>1</v>
      </c>
      <c r="AH785" s="5">
        <f t="shared" si="224"/>
        <v>0</v>
      </c>
      <c r="AI785">
        <f>IF(B785&lt;&gt;"", COUNTIFS($B$2:B785, B785), "")</f>
        <v>33</v>
      </c>
      <c r="AJ785">
        <f t="shared" si="225"/>
        <v>5</v>
      </c>
      <c r="AK785">
        <f t="shared" si="218"/>
        <v>5</v>
      </c>
      <c r="AL785">
        <f t="shared" si="226"/>
        <v>5</v>
      </c>
      <c r="AM785" t="str">
        <f t="shared" si="227"/>
        <v>May</v>
      </c>
      <c r="AN785">
        <f t="shared" si="228"/>
        <v>2023</v>
      </c>
      <c r="AO785" t="str">
        <f t="shared" si="229"/>
        <v>&gt;3</v>
      </c>
      <c r="AP785" t="str">
        <f t="shared" si="230"/>
        <v>&gt;3</v>
      </c>
      <c r="AQ785" t="str">
        <f t="shared" si="231"/>
        <v>&gt;3</v>
      </c>
    </row>
    <row r="786" spans="1:43" x14ac:dyDescent="0.3">
      <c r="A786" t="s">
        <v>33</v>
      </c>
      <c r="B786" t="s">
        <v>513</v>
      </c>
      <c r="C786" t="s">
        <v>414</v>
      </c>
      <c r="D786">
        <v>2295</v>
      </c>
      <c r="E786">
        <v>23310157</v>
      </c>
      <c r="F786" t="s">
        <v>563</v>
      </c>
      <c r="G786" t="s">
        <v>515</v>
      </c>
      <c r="H786">
        <v>2500</v>
      </c>
      <c r="I786">
        <v>26</v>
      </c>
      <c r="J786">
        <v>65000</v>
      </c>
      <c r="K786" s="7" t="str">
        <f>IFERROR(IF(B786&lt;&gt;"", TEXT(VLOOKUP(B786, 'Expected Date'!A:B, 2, FALSE) + DATE(RIGHT(C786,2),MID(C786,4,2),LEFT(C786,2)), "dd/mm/yy"), ""), "")</f>
        <v>03/06/23</v>
      </c>
      <c r="L786" t="s">
        <v>38</v>
      </c>
      <c r="M786" t="s">
        <v>48</v>
      </c>
      <c r="N786" t="s">
        <v>342</v>
      </c>
      <c r="O786" t="s">
        <v>319</v>
      </c>
      <c r="P786">
        <v>23390262</v>
      </c>
      <c r="Q786" t="s">
        <v>563</v>
      </c>
      <c r="R786" t="s">
        <v>515</v>
      </c>
      <c r="S786">
        <v>1000</v>
      </c>
      <c r="T786">
        <v>26</v>
      </c>
      <c r="U786">
        <v>26000</v>
      </c>
      <c r="V786" t="str">
        <f t="shared" si="214"/>
        <v>Jhagadia</v>
      </c>
      <c r="W786" t="str">
        <f>VLOOKUP(B786, Currency!A:B, 2, FALSE)</f>
        <v>INR</v>
      </c>
      <c r="X786" t="str">
        <f t="shared" si="215"/>
        <v>Accepted</v>
      </c>
      <c r="Y786">
        <f>IFERROR(VLOOKUP(N786, Payment_Terms!A:B, 2, FALSE), "Payment term not found!")</f>
        <v>30</v>
      </c>
      <c r="Z786" t="str">
        <f>IFERROR(VLOOKUP(R786, Item_Category!A:B, 2, FALSE), "Uncategorized")</f>
        <v xml:space="preserve">Caustic Soda </v>
      </c>
      <c r="AA786" s="5">
        <f t="shared" si="219"/>
        <v>0</v>
      </c>
      <c r="AB786">
        <f t="shared" si="220"/>
        <v>5</v>
      </c>
      <c r="AC786" s="10">
        <f t="shared" si="221"/>
        <v>16</v>
      </c>
      <c r="AD786">
        <f t="shared" si="222"/>
        <v>1</v>
      </c>
      <c r="AE786" s="10">
        <f t="shared" si="223"/>
        <v>18</v>
      </c>
      <c r="AF786" s="5">
        <f t="shared" si="216"/>
        <v>1</v>
      </c>
      <c r="AG786" s="5">
        <f t="shared" si="217"/>
        <v>1</v>
      </c>
      <c r="AH786" s="5">
        <f t="shared" si="224"/>
        <v>0</v>
      </c>
      <c r="AI786">
        <f>IF(B786&lt;&gt;"", COUNTIFS($B$2:B786, B786), "")</f>
        <v>19</v>
      </c>
      <c r="AJ786">
        <f t="shared" si="225"/>
        <v>5</v>
      </c>
      <c r="AK786">
        <f t="shared" si="218"/>
        <v>4</v>
      </c>
      <c r="AL786">
        <f t="shared" si="226"/>
        <v>6</v>
      </c>
      <c r="AM786" t="str">
        <f t="shared" si="227"/>
        <v>June</v>
      </c>
      <c r="AN786">
        <f t="shared" si="228"/>
        <v>2023</v>
      </c>
      <c r="AO786" t="str">
        <f t="shared" si="229"/>
        <v>&gt;3</v>
      </c>
      <c r="AP786" t="str">
        <f t="shared" si="230"/>
        <v>&gt;3</v>
      </c>
      <c r="AQ786" t="str">
        <f t="shared" si="231"/>
        <v>&lt;=3</v>
      </c>
    </row>
    <row r="787" spans="1:43" x14ac:dyDescent="0.3">
      <c r="A787" t="s">
        <v>33</v>
      </c>
      <c r="B787" t="s">
        <v>366</v>
      </c>
      <c r="C787" t="s">
        <v>203</v>
      </c>
      <c r="D787">
        <v>3212</v>
      </c>
      <c r="E787">
        <v>23310240</v>
      </c>
      <c r="F787" t="s">
        <v>569</v>
      </c>
      <c r="G787" t="s">
        <v>570</v>
      </c>
      <c r="H787">
        <v>100</v>
      </c>
      <c r="I787">
        <v>9800</v>
      </c>
      <c r="J787">
        <v>980000</v>
      </c>
      <c r="K787" s="7" t="str">
        <f>IFERROR(IF(B787&lt;&gt;"", TEXT(VLOOKUP(B787, 'Expected Date'!A:B, 2, FALSE) + DATE(RIGHT(C787,2),MID(C787,4,2),LEFT(C787,2)), "dd/mm/yy"), ""), "")</f>
        <v>18/07/23</v>
      </c>
      <c r="L787" t="s">
        <v>38</v>
      </c>
      <c r="M787" t="s">
        <v>48</v>
      </c>
      <c r="N787" t="s">
        <v>574</v>
      </c>
      <c r="O787" t="s">
        <v>478</v>
      </c>
      <c r="P787">
        <v>23390344</v>
      </c>
      <c r="Q787" t="s">
        <v>569</v>
      </c>
      <c r="R787" t="s">
        <v>570</v>
      </c>
      <c r="S787">
        <v>30.76</v>
      </c>
      <c r="T787">
        <v>9800</v>
      </c>
      <c r="U787">
        <v>301448</v>
      </c>
      <c r="V787" t="str">
        <f t="shared" si="214"/>
        <v>Jhagadia</v>
      </c>
      <c r="W787" t="str">
        <f>VLOOKUP(B787, Currency!A:B, 2, FALSE)</f>
        <v>INR</v>
      </c>
      <c r="X787" t="str">
        <f t="shared" si="215"/>
        <v>Accepted</v>
      </c>
      <c r="Y787">
        <f>IFERROR(VLOOKUP(N787, Payment_Terms!A:B, 2, FALSE), "Payment term not found!")</f>
        <v>0</v>
      </c>
      <c r="Z787" t="str">
        <f>IFERROR(VLOOKUP(R787, Item_Category!A:B, 2, FALSE), "Uncategorized")</f>
        <v>Coal materials</v>
      </c>
      <c r="AA787" s="5">
        <f t="shared" si="219"/>
        <v>0</v>
      </c>
      <c r="AB787">
        <f t="shared" si="220"/>
        <v>5</v>
      </c>
      <c r="AC787" s="10">
        <f t="shared" si="221"/>
        <v>3</v>
      </c>
      <c r="AD787">
        <f t="shared" si="222"/>
        <v>4</v>
      </c>
      <c r="AE787" s="10">
        <f t="shared" si="223"/>
        <v>5</v>
      </c>
      <c r="AF787" s="5">
        <f t="shared" si="216"/>
        <v>1</v>
      </c>
      <c r="AG787" s="5">
        <f t="shared" si="217"/>
        <v>1</v>
      </c>
      <c r="AH787" s="5">
        <f t="shared" si="224"/>
        <v>0</v>
      </c>
      <c r="AI787">
        <f>IF(B787&lt;&gt;"", COUNTIFS($B$2:B787, B787), "")</f>
        <v>98</v>
      </c>
      <c r="AJ787">
        <f t="shared" si="225"/>
        <v>5</v>
      </c>
      <c r="AK787">
        <f t="shared" si="218"/>
        <v>5</v>
      </c>
      <c r="AL787">
        <f t="shared" si="226"/>
        <v>7</v>
      </c>
      <c r="AM787" t="str">
        <f t="shared" si="227"/>
        <v>July</v>
      </c>
      <c r="AN787">
        <f t="shared" si="228"/>
        <v>2023</v>
      </c>
      <c r="AO787" t="str">
        <f t="shared" si="229"/>
        <v>&gt;3</v>
      </c>
      <c r="AP787" t="str">
        <f t="shared" si="230"/>
        <v>&gt;3</v>
      </c>
      <c r="AQ787" t="str">
        <f t="shared" si="231"/>
        <v>&gt;3</v>
      </c>
    </row>
    <row r="788" spans="1:43" x14ac:dyDescent="0.3">
      <c r="A788" t="s">
        <v>33</v>
      </c>
      <c r="B788" t="s">
        <v>386</v>
      </c>
      <c r="C788" t="s">
        <v>57</v>
      </c>
      <c r="D788">
        <v>3521</v>
      </c>
      <c r="E788">
        <v>23310273</v>
      </c>
      <c r="F788" t="s">
        <v>597</v>
      </c>
      <c r="G788" t="s">
        <v>598</v>
      </c>
      <c r="H788">
        <v>500</v>
      </c>
      <c r="I788">
        <v>19.5</v>
      </c>
      <c r="J788">
        <v>9750</v>
      </c>
      <c r="K788" s="7" t="str">
        <f>IFERROR(IF(B788&lt;&gt;"", TEXT(VLOOKUP(B788, 'Expected Date'!A:B, 2, FALSE) + DATE(RIGHT(C788,2),MID(C788,4,2),LEFT(C788,2)), "dd/mm/yy"), ""), "")</f>
        <v>08/08/23</v>
      </c>
      <c r="L788" t="s">
        <v>38</v>
      </c>
      <c r="M788" t="s">
        <v>39</v>
      </c>
      <c r="N788" t="s">
        <v>318</v>
      </c>
      <c r="O788" t="s">
        <v>163</v>
      </c>
      <c r="P788">
        <v>23390492</v>
      </c>
      <c r="Q788" t="s">
        <v>597</v>
      </c>
      <c r="R788" t="s">
        <v>598</v>
      </c>
      <c r="S788">
        <v>500</v>
      </c>
      <c r="T788">
        <v>19.5</v>
      </c>
      <c r="U788">
        <v>9750</v>
      </c>
      <c r="V788" t="str">
        <f t="shared" si="214"/>
        <v>Jhagadia</v>
      </c>
      <c r="W788" t="str">
        <f>VLOOKUP(B788, Currency!A:B, 2, FALSE)</f>
        <v>INR</v>
      </c>
      <c r="X788" t="str">
        <f t="shared" si="215"/>
        <v>Accepted</v>
      </c>
      <c r="Y788">
        <f>IFERROR(VLOOKUP(N788, Payment_Terms!A:B, 2, FALSE), "Payment term not found!")</f>
        <v>30</v>
      </c>
      <c r="Z788" t="str">
        <f>IFERROR(VLOOKUP(R788, Item_Category!A:B, 2, FALSE), "Uncategorized")</f>
        <v>HDPE plain bag</v>
      </c>
      <c r="AA788" s="5">
        <f t="shared" si="219"/>
        <v>0</v>
      </c>
      <c r="AB788">
        <f t="shared" si="220"/>
        <v>5</v>
      </c>
      <c r="AC788" s="10">
        <f t="shared" si="221"/>
        <v>22</v>
      </c>
      <c r="AD788">
        <f t="shared" si="222"/>
        <v>1</v>
      </c>
      <c r="AE788" s="10">
        <f t="shared" si="223"/>
        <v>27</v>
      </c>
      <c r="AF788" s="5">
        <f t="shared" si="216"/>
        <v>1</v>
      </c>
      <c r="AG788" s="5">
        <f t="shared" si="217"/>
        <v>1</v>
      </c>
      <c r="AH788" s="5">
        <f t="shared" si="224"/>
        <v>0</v>
      </c>
      <c r="AI788">
        <f>IF(B788&lt;&gt;"", COUNTIFS($B$2:B788, B788), "")</f>
        <v>47</v>
      </c>
      <c r="AJ788">
        <f t="shared" si="225"/>
        <v>5</v>
      </c>
      <c r="AK788">
        <f t="shared" si="218"/>
        <v>4</v>
      </c>
      <c r="AL788">
        <f t="shared" si="226"/>
        <v>8</v>
      </c>
      <c r="AM788" t="str">
        <f t="shared" si="227"/>
        <v>August</v>
      </c>
      <c r="AN788">
        <f t="shared" si="228"/>
        <v>2023</v>
      </c>
      <c r="AO788" t="str">
        <f t="shared" si="229"/>
        <v>&gt;3</v>
      </c>
      <c r="AP788" t="str">
        <f t="shared" si="230"/>
        <v>&gt;3</v>
      </c>
      <c r="AQ788" t="str">
        <f t="shared" si="231"/>
        <v>&lt;=3</v>
      </c>
    </row>
    <row r="789" spans="1:43" x14ac:dyDescent="0.3">
      <c r="A789" t="str">
        <f>A671</f>
        <v>Woodpulp</v>
      </c>
      <c r="B789" t="s">
        <v>96</v>
      </c>
      <c r="C789" t="s">
        <v>97</v>
      </c>
      <c r="D789">
        <v>1229</v>
      </c>
      <c r="E789">
        <v>23320004</v>
      </c>
      <c r="F789" t="s">
        <v>585</v>
      </c>
      <c r="G789" t="s">
        <v>99</v>
      </c>
      <c r="H789">
        <v>78</v>
      </c>
      <c r="I789">
        <v>820</v>
      </c>
      <c r="J789">
        <v>5187156</v>
      </c>
      <c r="K789" s="7" t="str">
        <f>IFERROR(IF(B789&lt;&gt;"", TEXT(VLOOKUP(B789, 'Expected Date'!A:B, 2, FALSE) + DATE(RIGHT(C789,2),MID(C789,4,2),LEFT(C789,2)), "dd/mm/yy"), ""), "")</f>
        <v>10/06/23</v>
      </c>
      <c r="L789" t="s">
        <v>38</v>
      </c>
      <c r="M789" t="str">
        <f>M730</f>
        <v>MT</v>
      </c>
      <c r="N789" t="s">
        <v>102</v>
      </c>
      <c r="O789" t="s">
        <v>286</v>
      </c>
      <c r="P789">
        <v>23390494</v>
      </c>
      <c r="Q789" t="s">
        <v>585</v>
      </c>
      <c r="R789" t="s">
        <v>99</v>
      </c>
      <c r="S789">
        <v>26.311</v>
      </c>
      <c r="T789">
        <v>820</v>
      </c>
      <c r="U789">
        <v>1773466.64</v>
      </c>
      <c r="V789" t="str">
        <f t="shared" si="214"/>
        <v>Jhagadia</v>
      </c>
      <c r="W789" t="str">
        <f>VLOOKUP(B789, Currency!A:B, 2, FALSE)</f>
        <v>USD</v>
      </c>
      <c r="X789" t="str">
        <f t="shared" si="215"/>
        <v>Accepted</v>
      </c>
      <c r="Y789">
        <f>IFERROR(VLOOKUP(N789, Payment_Terms!A:B, 2, FALSE), "Payment term not found!")</f>
        <v>60</v>
      </c>
      <c r="Z789" t="str">
        <f>IFERROR(VLOOKUP(R789, Item_Category!A:B, 2, FALSE), "Uncategorized")</f>
        <v>Wood pulp</v>
      </c>
      <c r="AA789" s="5">
        <f t="shared" si="219"/>
        <v>0</v>
      </c>
      <c r="AB789">
        <f t="shared" si="220"/>
        <v>5</v>
      </c>
      <c r="AC789" s="10">
        <f t="shared" si="221"/>
        <v>82</v>
      </c>
      <c r="AD789">
        <f t="shared" si="222"/>
        <v>1</v>
      </c>
      <c r="AE789" s="10">
        <f t="shared" si="223"/>
        <v>142</v>
      </c>
      <c r="AF789" s="5">
        <f t="shared" si="216"/>
        <v>1</v>
      </c>
      <c r="AG789" s="5">
        <f t="shared" si="217"/>
        <v>1</v>
      </c>
      <c r="AH789" s="5">
        <f t="shared" si="224"/>
        <v>0</v>
      </c>
      <c r="AI789">
        <f>IF(B789&lt;&gt;"", COUNTIFS($B$2:B789, B789), "")</f>
        <v>22</v>
      </c>
      <c r="AJ789">
        <f t="shared" si="225"/>
        <v>5</v>
      </c>
      <c r="AK789">
        <f t="shared" si="218"/>
        <v>4</v>
      </c>
      <c r="AL789">
        <f t="shared" si="226"/>
        <v>4</v>
      </c>
      <c r="AM789" t="str">
        <f t="shared" si="227"/>
        <v>April</v>
      </c>
      <c r="AN789">
        <f t="shared" si="228"/>
        <v>2023</v>
      </c>
      <c r="AO789" t="str">
        <f t="shared" si="229"/>
        <v>&gt;3</v>
      </c>
      <c r="AP789" t="str">
        <f t="shared" si="230"/>
        <v>&gt;3</v>
      </c>
      <c r="AQ789" t="str">
        <f t="shared" si="231"/>
        <v>&lt;=3</v>
      </c>
    </row>
    <row r="790" spans="1:43" x14ac:dyDescent="0.3">
      <c r="A790" t="s">
        <v>33</v>
      </c>
      <c r="B790" t="s">
        <v>557</v>
      </c>
      <c r="C790" t="s">
        <v>354</v>
      </c>
      <c r="D790">
        <v>2796</v>
      </c>
      <c r="E790">
        <v>23310215</v>
      </c>
      <c r="F790" t="s">
        <v>558</v>
      </c>
      <c r="G790" t="s">
        <v>384</v>
      </c>
      <c r="H790">
        <v>400</v>
      </c>
      <c r="I790">
        <v>99</v>
      </c>
      <c r="J790">
        <v>39600</v>
      </c>
      <c r="K790" s="7" t="str">
        <f>IFERROR(IF(B790&lt;&gt;"", TEXT(VLOOKUP(B790, 'Expected Date'!A:B, 2, FALSE) + DATE(RIGHT(C790,2),MID(C790,4,2),LEFT(C790,2)), "dd/mm/yy"), ""), "")</f>
        <v>13/07/23</v>
      </c>
      <c r="L790" t="s">
        <v>68</v>
      </c>
      <c r="M790" t="s">
        <v>48</v>
      </c>
      <c r="N790" t="s">
        <v>364</v>
      </c>
      <c r="O790" t="s">
        <v>599</v>
      </c>
      <c r="P790">
        <v>23390348</v>
      </c>
      <c r="Q790" t="s">
        <v>558</v>
      </c>
      <c r="R790" t="s">
        <v>384</v>
      </c>
      <c r="S790">
        <v>100</v>
      </c>
      <c r="T790">
        <v>99</v>
      </c>
      <c r="U790">
        <v>9900</v>
      </c>
      <c r="V790" t="str">
        <f t="shared" si="214"/>
        <v>Jhagadia</v>
      </c>
      <c r="W790" t="str">
        <f>VLOOKUP(B790, Currency!A:B, 2, FALSE)</f>
        <v>INR</v>
      </c>
      <c r="X790" t="str">
        <f t="shared" si="215"/>
        <v>Accepted</v>
      </c>
      <c r="Y790">
        <f>IFERROR(VLOOKUP(N790, Payment_Terms!A:B, 2, FALSE), "Payment term not found!")</f>
        <v>30</v>
      </c>
      <c r="Z790" t="str">
        <f>IFERROR(VLOOKUP(R790, Item_Category!A:B, 2, FALSE), "Uncategorized")</f>
        <v>Gas</v>
      </c>
      <c r="AA790" s="5">
        <f t="shared" si="219"/>
        <v>0.25</v>
      </c>
      <c r="AB790">
        <f t="shared" si="220"/>
        <v>1</v>
      </c>
      <c r="AC790" s="10">
        <f t="shared" si="221"/>
        <v>10</v>
      </c>
      <c r="AD790">
        <f t="shared" si="222"/>
        <v>2</v>
      </c>
      <c r="AE790" s="10">
        <f t="shared" si="223"/>
        <v>20</v>
      </c>
      <c r="AF790" s="5">
        <f t="shared" si="216"/>
        <v>1</v>
      </c>
      <c r="AG790" s="5">
        <f t="shared" si="217"/>
        <v>1</v>
      </c>
      <c r="AH790" s="5">
        <f t="shared" si="224"/>
        <v>0</v>
      </c>
      <c r="AI790">
        <f>IF(B790&lt;&gt;"", COUNTIFS($B$2:B790, B790), "")</f>
        <v>17</v>
      </c>
      <c r="AJ790">
        <f t="shared" si="225"/>
        <v>5</v>
      </c>
      <c r="AK790">
        <f t="shared" si="218"/>
        <v>3</v>
      </c>
      <c r="AL790">
        <f t="shared" si="226"/>
        <v>7</v>
      </c>
      <c r="AM790" t="str">
        <f t="shared" si="227"/>
        <v>July</v>
      </c>
      <c r="AN790">
        <f t="shared" si="228"/>
        <v>2023</v>
      </c>
      <c r="AO790" t="str">
        <f t="shared" si="229"/>
        <v>&gt;3</v>
      </c>
      <c r="AP790" t="str">
        <f t="shared" si="230"/>
        <v>&lt;=3</v>
      </c>
      <c r="AQ790" t="str">
        <f t="shared" si="231"/>
        <v>&lt;=3</v>
      </c>
    </row>
    <row r="791" spans="1:43" x14ac:dyDescent="0.3">
      <c r="A791" t="s">
        <v>33</v>
      </c>
      <c r="B791" t="s">
        <v>366</v>
      </c>
      <c r="C791" t="s">
        <v>203</v>
      </c>
      <c r="D791">
        <v>3212</v>
      </c>
      <c r="E791">
        <v>23310240</v>
      </c>
      <c r="F791" t="s">
        <v>569</v>
      </c>
      <c r="G791" t="s">
        <v>570</v>
      </c>
      <c r="H791">
        <v>100</v>
      </c>
      <c r="I791">
        <v>9800</v>
      </c>
      <c r="J791">
        <v>980000</v>
      </c>
      <c r="K791" s="7" t="str">
        <f>IFERROR(IF(B791&lt;&gt;"", TEXT(VLOOKUP(B791, 'Expected Date'!A:B, 2, FALSE) + DATE(RIGHT(C791,2),MID(C791,4,2),LEFT(C791,2)), "dd/mm/yy"), ""), "")</f>
        <v>18/07/23</v>
      </c>
      <c r="L791" t="s">
        <v>38</v>
      </c>
      <c r="M791" t="s">
        <v>48</v>
      </c>
      <c r="N791" t="s">
        <v>574</v>
      </c>
      <c r="O791" t="s">
        <v>131</v>
      </c>
      <c r="P791">
        <v>23390357</v>
      </c>
      <c r="Q791" t="s">
        <v>569</v>
      </c>
      <c r="R791" t="s">
        <v>570</v>
      </c>
      <c r="S791">
        <v>29.09</v>
      </c>
      <c r="T791">
        <v>9800</v>
      </c>
      <c r="U791">
        <v>285082</v>
      </c>
      <c r="V791" t="str">
        <f t="shared" si="214"/>
        <v>Jhagadia</v>
      </c>
      <c r="W791" t="str">
        <f>VLOOKUP(B791, Currency!A:B, 2, FALSE)</f>
        <v>INR</v>
      </c>
      <c r="X791" t="str">
        <f t="shared" si="215"/>
        <v>Accepted</v>
      </c>
      <c r="Y791">
        <f>IFERROR(VLOOKUP(N791, Payment_Terms!A:B, 2, FALSE), "Payment term not found!")</f>
        <v>0</v>
      </c>
      <c r="Z791" t="str">
        <f>IFERROR(VLOOKUP(R791, Item_Category!A:B, 2, FALSE), "Uncategorized")</f>
        <v>Coal materials</v>
      </c>
      <c r="AA791" s="5">
        <f t="shared" si="219"/>
        <v>0</v>
      </c>
      <c r="AB791">
        <f t="shared" si="220"/>
        <v>5</v>
      </c>
      <c r="AC791" s="10">
        <f t="shared" si="221"/>
        <v>6</v>
      </c>
      <c r="AD791">
        <f t="shared" si="222"/>
        <v>3</v>
      </c>
      <c r="AE791" s="10">
        <f t="shared" si="223"/>
        <v>8</v>
      </c>
      <c r="AF791" s="5">
        <f t="shared" si="216"/>
        <v>1</v>
      </c>
      <c r="AG791" s="5">
        <f t="shared" si="217"/>
        <v>1</v>
      </c>
      <c r="AH791" s="5">
        <f t="shared" si="224"/>
        <v>0</v>
      </c>
      <c r="AI791">
        <f>IF(B791&lt;&gt;"", COUNTIFS($B$2:B791, B791), "")</f>
        <v>99</v>
      </c>
      <c r="AJ791">
        <f t="shared" si="225"/>
        <v>5</v>
      </c>
      <c r="AK791">
        <f t="shared" si="218"/>
        <v>5</v>
      </c>
      <c r="AL791">
        <f t="shared" si="226"/>
        <v>7</v>
      </c>
      <c r="AM791" t="str">
        <f t="shared" si="227"/>
        <v>July</v>
      </c>
      <c r="AN791">
        <f t="shared" si="228"/>
        <v>2023</v>
      </c>
      <c r="AO791" t="str">
        <f t="shared" si="229"/>
        <v>&gt;3</v>
      </c>
      <c r="AP791" t="str">
        <f t="shared" si="230"/>
        <v>&gt;3</v>
      </c>
      <c r="AQ791" t="str">
        <f t="shared" si="231"/>
        <v>&lt;=3</v>
      </c>
    </row>
    <row r="792" spans="1:43" x14ac:dyDescent="0.3">
      <c r="A792" t="s">
        <v>33</v>
      </c>
      <c r="B792" t="s">
        <v>122</v>
      </c>
      <c r="C792" t="s">
        <v>352</v>
      </c>
      <c r="D792">
        <v>2379</v>
      </c>
      <c r="E792">
        <v>23310162</v>
      </c>
      <c r="F792" t="s">
        <v>565</v>
      </c>
      <c r="G792" t="s">
        <v>566</v>
      </c>
      <c r="H792">
        <v>200</v>
      </c>
      <c r="I792">
        <v>930</v>
      </c>
      <c r="J792">
        <v>186000</v>
      </c>
      <c r="K792" s="7" t="str">
        <f>IFERROR(IF(B792&lt;&gt;"", TEXT(VLOOKUP(B792, 'Expected Date'!A:B, 2, FALSE) + DATE(RIGHT(C792,2),MID(C792,4,2),LEFT(C792,2)), "dd/mm/yy"), ""), "")</f>
        <v>17/06/23</v>
      </c>
      <c r="L792" t="s">
        <v>38</v>
      </c>
      <c r="M792" t="s">
        <v>39</v>
      </c>
      <c r="N792" t="s">
        <v>318</v>
      </c>
      <c r="O792" t="s">
        <v>195</v>
      </c>
      <c r="P792">
        <v>23390246</v>
      </c>
      <c r="Q792" t="s">
        <v>565</v>
      </c>
      <c r="R792" t="s">
        <v>566</v>
      </c>
      <c r="S792">
        <v>100</v>
      </c>
      <c r="T792">
        <v>930</v>
      </c>
      <c r="U792">
        <v>93000</v>
      </c>
      <c r="V792" t="str">
        <f t="shared" si="214"/>
        <v>Jhagadia</v>
      </c>
      <c r="W792" t="str">
        <f>VLOOKUP(B792, Currency!A:B, 2, FALSE)</f>
        <v>INR</v>
      </c>
      <c r="X792" t="str">
        <f t="shared" si="215"/>
        <v>Accepted</v>
      </c>
      <c r="Y792">
        <f>IFERROR(VLOOKUP(N792, Payment_Terms!A:B, 2, FALSE), "Payment term not found!")</f>
        <v>30</v>
      </c>
      <c r="Z792" t="str">
        <f>IFERROR(VLOOKUP(R792, Item_Category!A:B, 2, FALSE), "Uncategorized")</f>
        <v>Pallets</v>
      </c>
      <c r="AA792" s="5">
        <f t="shared" si="219"/>
        <v>0</v>
      </c>
      <c r="AB792">
        <f t="shared" si="220"/>
        <v>5</v>
      </c>
      <c r="AC792" s="10">
        <f t="shared" si="221"/>
        <v>-2</v>
      </c>
      <c r="AD792">
        <f t="shared" si="222"/>
        <v>5</v>
      </c>
      <c r="AE792" s="10">
        <f t="shared" si="223"/>
        <v>13</v>
      </c>
      <c r="AF792" s="5">
        <f t="shared" si="216"/>
        <v>1</v>
      </c>
      <c r="AG792" s="5">
        <f t="shared" si="217"/>
        <v>1</v>
      </c>
      <c r="AH792" s="5">
        <f t="shared" si="224"/>
        <v>0</v>
      </c>
      <c r="AI792">
        <f>IF(B792&lt;&gt;"", COUNTIFS($B$2:B792, B792), "")</f>
        <v>45</v>
      </c>
      <c r="AJ792">
        <f t="shared" si="225"/>
        <v>5</v>
      </c>
      <c r="AK792">
        <f t="shared" si="218"/>
        <v>5</v>
      </c>
      <c r="AL792">
        <f t="shared" si="226"/>
        <v>6</v>
      </c>
      <c r="AM792" t="str">
        <f t="shared" si="227"/>
        <v>June</v>
      </c>
      <c r="AN792">
        <f t="shared" si="228"/>
        <v>2023</v>
      </c>
      <c r="AO792" t="str">
        <f t="shared" si="229"/>
        <v>&gt;3</v>
      </c>
      <c r="AP792" t="str">
        <f t="shared" si="230"/>
        <v>&gt;3</v>
      </c>
      <c r="AQ792" t="str">
        <f t="shared" si="231"/>
        <v>&gt;3</v>
      </c>
    </row>
    <row r="793" spans="1:43" x14ac:dyDescent="0.3">
      <c r="A793" t="s">
        <v>33</v>
      </c>
      <c r="B793" t="s">
        <v>366</v>
      </c>
      <c r="C793" t="s">
        <v>172</v>
      </c>
      <c r="D793">
        <v>1180</v>
      </c>
      <c r="E793">
        <v>23310003</v>
      </c>
      <c r="F793" t="s">
        <v>569</v>
      </c>
      <c r="G793" t="s">
        <v>570</v>
      </c>
      <c r="H793">
        <v>60</v>
      </c>
      <c r="I793">
        <v>10857.14</v>
      </c>
      <c r="J793">
        <v>651428.4</v>
      </c>
      <c r="K793" s="7" t="str">
        <f>IFERROR(IF(B793&lt;&gt;"", TEXT(VLOOKUP(B793, 'Expected Date'!A:B, 2, FALSE) + DATE(RIGHT(C793,2),MID(C793,4,2),LEFT(C793,2)), "dd/mm/yy"), ""), "")</f>
        <v>08/04/23</v>
      </c>
      <c r="L793" t="s">
        <v>68</v>
      </c>
      <c r="M793" t="s">
        <v>48</v>
      </c>
      <c r="N793" t="s">
        <v>574</v>
      </c>
      <c r="O793" t="s">
        <v>396</v>
      </c>
      <c r="P793">
        <v>23390010</v>
      </c>
      <c r="Q793" t="s">
        <v>569</v>
      </c>
      <c r="R793" t="s">
        <v>570</v>
      </c>
      <c r="S793">
        <v>27.7</v>
      </c>
      <c r="T793">
        <v>10857.14</v>
      </c>
      <c r="U793">
        <v>300742.78000000003</v>
      </c>
      <c r="V793" t="str">
        <f t="shared" si="214"/>
        <v>Jhagadia</v>
      </c>
      <c r="W793" t="str">
        <f>VLOOKUP(B793, Currency!A:B, 2, FALSE)</f>
        <v>INR</v>
      </c>
      <c r="X793" t="str">
        <f t="shared" si="215"/>
        <v>Accepted</v>
      </c>
      <c r="Y793">
        <f>IFERROR(VLOOKUP(N793, Payment_Terms!A:B, 2, FALSE), "Payment term not found!")</f>
        <v>0</v>
      </c>
      <c r="Z793" t="str">
        <f>IFERROR(VLOOKUP(R793, Item_Category!A:B, 2, FALSE), "Uncategorized")</f>
        <v>Coal materials</v>
      </c>
      <c r="AA793" s="5">
        <f t="shared" si="219"/>
        <v>0.16166666666666671</v>
      </c>
      <c r="AB793">
        <f t="shared" si="220"/>
        <v>1</v>
      </c>
      <c r="AC793" s="10">
        <f t="shared" si="221"/>
        <v>-1</v>
      </c>
      <c r="AD793">
        <f t="shared" si="222"/>
        <v>5</v>
      </c>
      <c r="AE793" s="10">
        <f t="shared" si="223"/>
        <v>1</v>
      </c>
      <c r="AF793" s="5">
        <f t="shared" si="216"/>
        <v>1</v>
      </c>
      <c r="AG793" s="5">
        <f t="shared" si="217"/>
        <v>1</v>
      </c>
      <c r="AH793" s="5">
        <f t="shared" si="224"/>
        <v>0</v>
      </c>
      <c r="AI793">
        <f>IF(B793&lt;&gt;"", COUNTIFS($B$2:B793, B793), "")</f>
        <v>100</v>
      </c>
      <c r="AJ793">
        <f t="shared" si="225"/>
        <v>5</v>
      </c>
      <c r="AK793">
        <f t="shared" si="218"/>
        <v>4</v>
      </c>
      <c r="AL793">
        <f t="shared" si="226"/>
        <v>4</v>
      </c>
      <c r="AM793" t="str">
        <f t="shared" si="227"/>
        <v>April</v>
      </c>
      <c r="AN793">
        <f t="shared" si="228"/>
        <v>2023</v>
      </c>
      <c r="AO793" t="str">
        <f t="shared" si="229"/>
        <v>&gt;3</v>
      </c>
      <c r="AP793" t="str">
        <f t="shared" si="230"/>
        <v>&lt;=3</v>
      </c>
      <c r="AQ793" t="str">
        <f t="shared" si="231"/>
        <v>&gt;3</v>
      </c>
    </row>
    <row r="794" spans="1:43" x14ac:dyDescent="0.3">
      <c r="A794" t="s">
        <v>33</v>
      </c>
      <c r="B794" t="s">
        <v>366</v>
      </c>
      <c r="C794" t="s">
        <v>178</v>
      </c>
      <c r="D794">
        <v>4155</v>
      </c>
      <c r="E794">
        <v>23310339</v>
      </c>
      <c r="F794" t="s">
        <v>569</v>
      </c>
      <c r="G794" t="s">
        <v>570</v>
      </c>
      <c r="H794">
        <v>150</v>
      </c>
      <c r="I794">
        <v>9800</v>
      </c>
      <c r="J794">
        <v>1470000</v>
      </c>
      <c r="K794" s="7" t="str">
        <f>IFERROR(IF(B794&lt;&gt;"", TEXT(VLOOKUP(B794, 'Expected Date'!A:B, 2, FALSE) + DATE(RIGHT(C794,2),MID(C794,4,2),LEFT(C794,2)), "dd/mm/yy"), ""), "")</f>
        <v>03/09/23</v>
      </c>
      <c r="L794" t="s">
        <v>38</v>
      </c>
      <c r="M794" t="s">
        <v>48</v>
      </c>
      <c r="N794" t="s">
        <v>532</v>
      </c>
      <c r="O794" t="s">
        <v>496</v>
      </c>
      <c r="P794">
        <v>23390500</v>
      </c>
      <c r="Q794" t="s">
        <v>569</v>
      </c>
      <c r="R794" t="s">
        <v>570</v>
      </c>
      <c r="S794">
        <v>29.38</v>
      </c>
      <c r="T794">
        <v>9800</v>
      </c>
      <c r="U794">
        <v>287924</v>
      </c>
      <c r="V794" t="str">
        <f t="shared" si="214"/>
        <v>Jhagadia</v>
      </c>
      <c r="W794" t="str">
        <f>VLOOKUP(B794, Currency!A:B, 2, FALSE)</f>
        <v>INR</v>
      </c>
      <c r="X794" t="str">
        <f t="shared" si="215"/>
        <v>Accepted</v>
      </c>
      <c r="Y794">
        <f>IFERROR(VLOOKUP(N794, Payment_Terms!A:B, 2, FALSE), "Payment term not found!")</f>
        <v>15</v>
      </c>
      <c r="Z794" t="str">
        <f>IFERROR(VLOOKUP(R794, Item_Category!A:B, 2, FALSE), "Uncategorized")</f>
        <v>Coal materials</v>
      </c>
      <c r="AA794" s="5">
        <f t="shared" si="219"/>
        <v>0</v>
      </c>
      <c r="AB794">
        <f t="shared" si="220"/>
        <v>5</v>
      </c>
      <c r="AC794" s="10">
        <f t="shared" si="221"/>
        <v>-1</v>
      </c>
      <c r="AD794">
        <f t="shared" si="222"/>
        <v>5</v>
      </c>
      <c r="AE794" s="10">
        <f t="shared" si="223"/>
        <v>1</v>
      </c>
      <c r="AF794" s="5">
        <f t="shared" si="216"/>
        <v>1</v>
      </c>
      <c r="AG794" s="5">
        <f t="shared" si="217"/>
        <v>1</v>
      </c>
      <c r="AH794" s="5">
        <f t="shared" si="224"/>
        <v>0</v>
      </c>
      <c r="AI794">
        <f>IF(B794&lt;&gt;"", COUNTIFS($B$2:B794, B794), "")</f>
        <v>101</v>
      </c>
      <c r="AJ794">
        <f t="shared" si="225"/>
        <v>5</v>
      </c>
      <c r="AK794">
        <f t="shared" si="218"/>
        <v>5</v>
      </c>
      <c r="AL794">
        <f t="shared" si="226"/>
        <v>9</v>
      </c>
      <c r="AM794" t="str">
        <f t="shared" si="227"/>
        <v>September</v>
      </c>
      <c r="AN794">
        <f t="shared" si="228"/>
        <v>2023</v>
      </c>
      <c r="AO794" t="str">
        <f t="shared" si="229"/>
        <v>&gt;3</v>
      </c>
      <c r="AP794" t="str">
        <f t="shared" si="230"/>
        <v>&gt;3</v>
      </c>
      <c r="AQ794" t="str">
        <f t="shared" si="231"/>
        <v>&gt;3</v>
      </c>
    </row>
    <row r="795" spans="1:43" x14ac:dyDescent="0.3">
      <c r="A795" t="s">
        <v>33</v>
      </c>
      <c r="B795" t="s">
        <v>366</v>
      </c>
      <c r="C795" t="s">
        <v>178</v>
      </c>
      <c r="D795">
        <v>4155</v>
      </c>
      <c r="E795">
        <v>23310339</v>
      </c>
      <c r="F795" t="s">
        <v>569</v>
      </c>
      <c r="G795" t="s">
        <v>570</v>
      </c>
      <c r="H795">
        <v>150</v>
      </c>
      <c r="I795">
        <v>9800</v>
      </c>
      <c r="J795">
        <v>1470000</v>
      </c>
      <c r="K795" s="7" t="str">
        <f>IFERROR(IF(B795&lt;&gt;"", TEXT(VLOOKUP(B795, 'Expected Date'!A:B, 2, FALSE) + DATE(RIGHT(C795,2),MID(C795,4,2),LEFT(C795,2)), "dd/mm/yy"), ""), "")</f>
        <v>03/09/23</v>
      </c>
      <c r="L795" t="s">
        <v>38</v>
      </c>
      <c r="M795" t="s">
        <v>48</v>
      </c>
      <c r="N795" t="s">
        <v>532</v>
      </c>
      <c r="O795" t="s">
        <v>281</v>
      </c>
      <c r="P795">
        <v>23390505</v>
      </c>
      <c r="Q795" t="s">
        <v>569</v>
      </c>
      <c r="R795" t="s">
        <v>570</v>
      </c>
      <c r="S795">
        <v>29.51</v>
      </c>
      <c r="T795">
        <v>9800</v>
      </c>
      <c r="U795">
        <v>289198</v>
      </c>
      <c r="V795" t="str">
        <f t="shared" si="214"/>
        <v>Jhagadia</v>
      </c>
      <c r="W795" t="str">
        <f>VLOOKUP(B795, Currency!A:B, 2, FALSE)</f>
        <v>INR</v>
      </c>
      <c r="X795" t="str">
        <f t="shared" si="215"/>
        <v>Accepted</v>
      </c>
      <c r="Y795">
        <f>IFERROR(VLOOKUP(N795, Payment_Terms!A:B, 2, FALSE), "Payment term not found!")</f>
        <v>15</v>
      </c>
      <c r="Z795" t="str">
        <f>IFERROR(VLOOKUP(R795, Item_Category!A:B, 2, FALSE), "Uncategorized")</f>
        <v>Coal materials</v>
      </c>
      <c r="AA795" s="5">
        <f t="shared" si="219"/>
        <v>0</v>
      </c>
      <c r="AB795">
        <f t="shared" si="220"/>
        <v>5</v>
      </c>
      <c r="AC795" s="10">
        <f t="shared" si="221"/>
        <v>2</v>
      </c>
      <c r="AD795">
        <f t="shared" si="222"/>
        <v>5</v>
      </c>
      <c r="AE795" s="10">
        <f t="shared" si="223"/>
        <v>4</v>
      </c>
      <c r="AF795" s="5">
        <f t="shared" si="216"/>
        <v>1</v>
      </c>
      <c r="AG795" s="5">
        <f t="shared" si="217"/>
        <v>1</v>
      </c>
      <c r="AH795" s="5">
        <f t="shared" si="224"/>
        <v>0</v>
      </c>
      <c r="AI795">
        <f>IF(B795&lt;&gt;"", COUNTIFS($B$2:B795, B795), "")</f>
        <v>102</v>
      </c>
      <c r="AJ795">
        <f t="shared" si="225"/>
        <v>5</v>
      </c>
      <c r="AK795">
        <f t="shared" si="218"/>
        <v>5</v>
      </c>
      <c r="AL795">
        <f t="shared" si="226"/>
        <v>9</v>
      </c>
      <c r="AM795" t="str">
        <f t="shared" si="227"/>
        <v>September</v>
      </c>
      <c r="AN795">
        <f t="shared" si="228"/>
        <v>2023</v>
      </c>
      <c r="AO795" t="str">
        <f t="shared" si="229"/>
        <v>&gt;3</v>
      </c>
      <c r="AP795" t="str">
        <f t="shared" si="230"/>
        <v>&gt;3</v>
      </c>
      <c r="AQ795" t="str">
        <f t="shared" si="231"/>
        <v>&gt;3</v>
      </c>
    </row>
    <row r="796" spans="1:43" x14ac:dyDescent="0.3">
      <c r="A796" t="s">
        <v>33</v>
      </c>
      <c r="B796" t="s">
        <v>366</v>
      </c>
      <c r="C796" t="s">
        <v>58</v>
      </c>
      <c r="D796">
        <v>3581</v>
      </c>
      <c r="E796">
        <v>23310287</v>
      </c>
      <c r="F796" t="s">
        <v>569</v>
      </c>
      <c r="G796" t="s">
        <v>570</v>
      </c>
      <c r="H796">
        <v>100</v>
      </c>
      <c r="I796">
        <v>9800</v>
      </c>
      <c r="J796">
        <v>980000</v>
      </c>
      <c r="K796" s="7" t="str">
        <f>IFERROR(IF(B796&lt;&gt;"", TEXT(VLOOKUP(B796, 'Expected Date'!A:B, 2, FALSE) + DATE(RIGHT(C796,2),MID(C796,4,2),LEFT(C796,2)), "dd/mm/yy"), ""), "")</f>
        <v>03/08/23</v>
      </c>
      <c r="L796" t="s">
        <v>38</v>
      </c>
      <c r="M796" t="s">
        <v>48</v>
      </c>
      <c r="N796" t="s">
        <v>532</v>
      </c>
      <c r="O796" t="s">
        <v>208</v>
      </c>
      <c r="P796">
        <v>23390417</v>
      </c>
      <c r="Q796" t="s">
        <v>569</v>
      </c>
      <c r="R796" t="s">
        <v>570</v>
      </c>
      <c r="S796">
        <v>28.85</v>
      </c>
      <c r="T796">
        <v>9800</v>
      </c>
      <c r="U796">
        <v>282730</v>
      </c>
      <c r="V796" t="str">
        <f t="shared" si="214"/>
        <v>Jhagadia</v>
      </c>
      <c r="W796" t="str">
        <f>VLOOKUP(B796, Currency!A:B, 2, FALSE)</f>
        <v>INR</v>
      </c>
      <c r="X796" t="str">
        <f t="shared" si="215"/>
        <v>Accepted</v>
      </c>
      <c r="Y796">
        <f>IFERROR(VLOOKUP(N796, Payment_Terms!A:B, 2, FALSE), "Payment term not found!")</f>
        <v>15</v>
      </c>
      <c r="Z796" t="str">
        <f>IFERROR(VLOOKUP(R796, Item_Category!A:B, 2, FALSE), "Uncategorized")</f>
        <v>Coal materials</v>
      </c>
      <c r="AA796" s="5">
        <f t="shared" si="219"/>
        <v>0</v>
      </c>
      <c r="AB796">
        <f t="shared" si="220"/>
        <v>5</v>
      </c>
      <c r="AC796" s="10">
        <f t="shared" si="221"/>
        <v>9</v>
      </c>
      <c r="AD796">
        <f t="shared" si="222"/>
        <v>2</v>
      </c>
      <c r="AE796" s="10">
        <f t="shared" si="223"/>
        <v>11</v>
      </c>
      <c r="AF796" s="5">
        <f t="shared" si="216"/>
        <v>1</v>
      </c>
      <c r="AG796" s="5">
        <f t="shared" si="217"/>
        <v>1</v>
      </c>
      <c r="AH796" s="5">
        <f t="shared" si="224"/>
        <v>0</v>
      </c>
      <c r="AI796">
        <f>IF(B796&lt;&gt;"", COUNTIFS($B$2:B796, B796), "")</f>
        <v>103</v>
      </c>
      <c r="AJ796">
        <f t="shared" si="225"/>
        <v>5</v>
      </c>
      <c r="AK796">
        <f t="shared" si="218"/>
        <v>5</v>
      </c>
      <c r="AL796">
        <f t="shared" si="226"/>
        <v>8</v>
      </c>
      <c r="AM796" t="str">
        <f t="shared" si="227"/>
        <v>August</v>
      </c>
      <c r="AN796">
        <f t="shared" si="228"/>
        <v>2023</v>
      </c>
      <c r="AO796" t="str">
        <f t="shared" si="229"/>
        <v>&gt;3</v>
      </c>
      <c r="AP796" t="str">
        <f t="shared" si="230"/>
        <v>&gt;3</v>
      </c>
      <c r="AQ796" t="str">
        <f t="shared" si="231"/>
        <v>&lt;=3</v>
      </c>
    </row>
    <row r="797" spans="1:43" x14ac:dyDescent="0.3">
      <c r="A797" t="s">
        <v>33</v>
      </c>
      <c r="B797" t="s">
        <v>386</v>
      </c>
      <c r="C797" t="s">
        <v>496</v>
      </c>
      <c r="D797">
        <v>4201</v>
      </c>
      <c r="E797">
        <v>23310343</v>
      </c>
      <c r="F797" t="s">
        <v>554</v>
      </c>
      <c r="G797" t="s">
        <v>555</v>
      </c>
      <c r="H797">
        <v>8000</v>
      </c>
      <c r="I797">
        <v>19.5</v>
      </c>
      <c r="J797">
        <v>156000</v>
      </c>
      <c r="K797" s="7" t="str">
        <f>IFERROR(IF(B797&lt;&gt;"", TEXT(VLOOKUP(B797, 'Expected Date'!A:B, 2, FALSE) + DATE(RIGHT(C797,2),MID(C797,4,2),LEFT(C797,2)), "dd/mm/yy"), ""), "")</f>
        <v>07/09/23</v>
      </c>
      <c r="L797" t="s">
        <v>38</v>
      </c>
      <c r="M797" t="s">
        <v>39</v>
      </c>
      <c r="N797" t="s">
        <v>318</v>
      </c>
      <c r="O797" t="s">
        <v>284</v>
      </c>
      <c r="P797">
        <v>23390504</v>
      </c>
      <c r="Q797" t="s">
        <v>554</v>
      </c>
      <c r="R797" t="s">
        <v>555</v>
      </c>
      <c r="S797">
        <v>4700</v>
      </c>
      <c r="T797">
        <v>19.5</v>
      </c>
      <c r="U797">
        <v>91650</v>
      </c>
      <c r="V797" t="str">
        <f t="shared" si="214"/>
        <v>Jhagadia</v>
      </c>
      <c r="W797" t="str">
        <f>VLOOKUP(B797, Currency!A:B, 2, FALSE)</f>
        <v>INR</v>
      </c>
      <c r="X797" t="str">
        <f t="shared" si="215"/>
        <v>Accepted</v>
      </c>
      <c r="Y797">
        <f>IFERROR(VLOOKUP(N797, Payment_Terms!A:B, 2, FALSE), "Payment term not found!")</f>
        <v>30</v>
      </c>
      <c r="Z797" t="str">
        <f>IFERROR(VLOOKUP(R797, Item_Category!A:B, 2, FALSE), "Uncategorized")</f>
        <v>HDPE bag acecel</v>
      </c>
      <c r="AA797" s="5">
        <f t="shared" si="219"/>
        <v>0</v>
      </c>
      <c r="AB797">
        <f t="shared" si="220"/>
        <v>5</v>
      </c>
      <c r="AC797" s="10">
        <f t="shared" si="221"/>
        <v>-3</v>
      </c>
      <c r="AD797">
        <f t="shared" si="222"/>
        <v>5</v>
      </c>
      <c r="AE797" s="10">
        <f t="shared" si="223"/>
        <v>2</v>
      </c>
      <c r="AF797" s="5">
        <f t="shared" si="216"/>
        <v>1</v>
      </c>
      <c r="AG797" s="5">
        <f t="shared" si="217"/>
        <v>1</v>
      </c>
      <c r="AH797" s="5">
        <f t="shared" si="224"/>
        <v>0</v>
      </c>
      <c r="AI797">
        <f>IF(B797&lt;&gt;"", COUNTIFS($B$2:B797, B797), "")</f>
        <v>48</v>
      </c>
      <c r="AJ797">
        <f t="shared" si="225"/>
        <v>5</v>
      </c>
      <c r="AK797">
        <f t="shared" si="218"/>
        <v>5</v>
      </c>
      <c r="AL797">
        <f t="shared" si="226"/>
        <v>9</v>
      </c>
      <c r="AM797" t="str">
        <f t="shared" si="227"/>
        <v>September</v>
      </c>
      <c r="AN797">
        <f t="shared" si="228"/>
        <v>2023</v>
      </c>
      <c r="AO797" t="str">
        <f t="shared" si="229"/>
        <v>&gt;3</v>
      </c>
      <c r="AP797" t="str">
        <f t="shared" si="230"/>
        <v>&gt;3</v>
      </c>
      <c r="AQ797" t="str">
        <f t="shared" si="231"/>
        <v>&gt;3</v>
      </c>
    </row>
    <row r="798" spans="1:43" x14ac:dyDescent="0.3">
      <c r="A798" t="s">
        <v>33</v>
      </c>
      <c r="B798" t="s">
        <v>386</v>
      </c>
      <c r="C798" t="s">
        <v>57</v>
      </c>
      <c r="D798">
        <v>3521</v>
      </c>
      <c r="E798">
        <v>23310273</v>
      </c>
      <c r="F798" t="s">
        <v>567</v>
      </c>
      <c r="G798" t="s">
        <v>568</v>
      </c>
      <c r="H798">
        <v>500</v>
      </c>
      <c r="I798">
        <v>133</v>
      </c>
      <c r="J798">
        <v>66500</v>
      </c>
      <c r="K798" s="7" t="str">
        <f>IFERROR(IF(B798&lt;&gt;"", TEXT(VLOOKUP(B798, 'Expected Date'!A:B, 2, FALSE) + DATE(RIGHT(C798,2),MID(C798,4,2),LEFT(C798,2)), "dd/mm/yy"), ""), "")</f>
        <v>08/08/23</v>
      </c>
      <c r="L798" t="s">
        <v>38</v>
      </c>
      <c r="M798" t="s">
        <v>39</v>
      </c>
      <c r="N798" t="s">
        <v>318</v>
      </c>
      <c r="O798" t="s">
        <v>121</v>
      </c>
      <c r="P798">
        <v>23390416</v>
      </c>
      <c r="Q798" t="s">
        <v>567</v>
      </c>
      <c r="R798" t="s">
        <v>568</v>
      </c>
      <c r="S798">
        <v>815.6</v>
      </c>
      <c r="T798">
        <v>133</v>
      </c>
      <c r="U798">
        <v>108474.8</v>
      </c>
      <c r="V798" t="str">
        <f t="shared" si="214"/>
        <v>Jhagadia</v>
      </c>
      <c r="W798" t="str">
        <f>VLOOKUP(B798, Currency!A:B, 2, FALSE)</f>
        <v>INR</v>
      </c>
      <c r="X798" t="str">
        <f t="shared" si="215"/>
        <v>Accepted</v>
      </c>
      <c r="Y798">
        <f>IFERROR(VLOOKUP(N798, Payment_Terms!A:B, 2, FALSE), "Payment term not found!")</f>
        <v>30</v>
      </c>
      <c r="Z798" t="str">
        <f>IFERROR(VLOOKUP(R798, Item_Category!A:B, 2, FALSE), "Uncategorized")</f>
        <v>Liner</v>
      </c>
      <c r="AA798" s="5">
        <f t="shared" si="219"/>
        <v>0</v>
      </c>
      <c r="AB798">
        <f t="shared" si="220"/>
        <v>5</v>
      </c>
      <c r="AC798" s="10">
        <f t="shared" si="221"/>
        <v>2</v>
      </c>
      <c r="AD798">
        <f t="shared" si="222"/>
        <v>5</v>
      </c>
      <c r="AE798" s="10">
        <f t="shared" si="223"/>
        <v>7</v>
      </c>
      <c r="AF798" s="5">
        <f t="shared" si="216"/>
        <v>1</v>
      </c>
      <c r="AG798" s="5">
        <f t="shared" si="217"/>
        <v>1</v>
      </c>
      <c r="AH798" s="5">
        <f t="shared" si="224"/>
        <v>0</v>
      </c>
      <c r="AI798">
        <f>IF(B798&lt;&gt;"", COUNTIFS($B$2:B798, B798), "")</f>
        <v>49</v>
      </c>
      <c r="AJ798">
        <f t="shared" si="225"/>
        <v>5</v>
      </c>
      <c r="AK798">
        <f t="shared" si="218"/>
        <v>5</v>
      </c>
      <c r="AL798">
        <f t="shared" si="226"/>
        <v>8</v>
      </c>
      <c r="AM798" t="str">
        <f t="shared" si="227"/>
        <v>August</v>
      </c>
      <c r="AN798">
        <f t="shared" si="228"/>
        <v>2023</v>
      </c>
      <c r="AO798" t="str">
        <f t="shared" si="229"/>
        <v>&gt;3</v>
      </c>
      <c r="AP798" t="str">
        <f t="shared" si="230"/>
        <v>&gt;3</v>
      </c>
      <c r="AQ798" t="str">
        <f t="shared" si="231"/>
        <v>&gt;3</v>
      </c>
    </row>
    <row r="799" spans="1:43" x14ac:dyDescent="0.3">
      <c r="A799" t="s">
        <v>33</v>
      </c>
      <c r="B799" t="s">
        <v>366</v>
      </c>
      <c r="C799" t="s">
        <v>269</v>
      </c>
      <c r="D799">
        <v>2005</v>
      </c>
      <c r="E799">
        <v>23310109</v>
      </c>
      <c r="F799" t="s">
        <v>569</v>
      </c>
      <c r="G799" t="s">
        <v>570</v>
      </c>
      <c r="H799">
        <v>100</v>
      </c>
      <c r="I799">
        <v>10857.14</v>
      </c>
      <c r="J799">
        <v>1085714</v>
      </c>
      <c r="K799" s="7" t="str">
        <f>IFERROR(IF(B799&lt;&gt;"", TEXT(VLOOKUP(B799, 'Expected Date'!A:B, 2, FALSE) + DATE(RIGHT(C799,2),MID(C799,4,2),LEFT(C799,2)), "dd/mm/yy"), ""), "")</f>
        <v>17/05/23</v>
      </c>
      <c r="L799" t="s">
        <v>68</v>
      </c>
      <c r="M799" t="s">
        <v>48</v>
      </c>
      <c r="N799" t="s">
        <v>574</v>
      </c>
      <c r="O799" t="s">
        <v>416</v>
      </c>
      <c r="P799">
        <v>23390171</v>
      </c>
      <c r="Q799" t="s">
        <v>569</v>
      </c>
      <c r="R799" t="s">
        <v>570</v>
      </c>
      <c r="S799">
        <v>27.91</v>
      </c>
      <c r="T799">
        <v>10857.14</v>
      </c>
      <c r="U799">
        <v>303022.78000000003</v>
      </c>
      <c r="V799" t="str">
        <f t="shared" si="214"/>
        <v>Jhagadia</v>
      </c>
      <c r="W799" t="str">
        <f>VLOOKUP(B799, Currency!A:B, 2, FALSE)</f>
        <v>INR</v>
      </c>
      <c r="X799" t="str">
        <f t="shared" si="215"/>
        <v>Accepted</v>
      </c>
      <c r="Y799">
        <f>IFERROR(VLOOKUP(N799, Payment_Terms!A:B, 2, FALSE), "Payment term not found!")</f>
        <v>0</v>
      </c>
      <c r="Z799" t="str">
        <f>IFERROR(VLOOKUP(R799, Item_Category!A:B, 2, FALSE), "Uncategorized")</f>
        <v>Coal materials</v>
      </c>
      <c r="AA799" s="5">
        <f t="shared" si="219"/>
        <v>0.41389999999999999</v>
      </c>
      <c r="AB799">
        <f t="shared" si="220"/>
        <v>1</v>
      </c>
      <c r="AC799" s="10">
        <f t="shared" si="221"/>
        <v>3</v>
      </c>
      <c r="AD799">
        <f t="shared" si="222"/>
        <v>4</v>
      </c>
      <c r="AE799" s="10">
        <f t="shared" si="223"/>
        <v>5</v>
      </c>
      <c r="AF799" s="5">
        <f t="shared" si="216"/>
        <v>1</v>
      </c>
      <c r="AG799" s="5">
        <f t="shared" si="217"/>
        <v>1</v>
      </c>
      <c r="AH799" s="5">
        <f t="shared" si="224"/>
        <v>0</v>
      </c>
      <c r="AI799">
        <f>IF(B799&lt;&gt;"", COUNTIFS($B$2:B799, B799), "")</f>
        <v>104</v>
      </c>
      <c r="AJ799">
        <f t="shared" si="225"/>
        <v>5</v>
      </c>
      <c r="AK799">
        <f t="shared" si="218"/>
        <v>4</v>
      </c>
      <c r="AL799">
        <f t="shared" si="226"/>
        <v>5</v>
      </c>
      <c r="AM799" t="str">
        <f t="shared" si="227"/>
        <v>May</v>
      </c>
      <c r="AN799">
        <f t="shared" si="228"/>
        <v>2023</v>
      </c>
      <c r="AO799" t="str">
        <f t="shared" si="229"/>
        <v>&gt;3</v>
      </c>
      <c r="AP799" t="str">
        <f t="shared" si="230"/>
        <v>&lt;=3</v>
      </c>
      <c r="AQ799" t="str">
        <f t="shared" si="231"/>
        <v>&gt;3</v>
      </c>
    </row>
    <row r="800" spans="1:43" x14ac:dyDescent="0.3">
      <c r="A800" t="s">
        <v>33</v>
      </c>
      <c r="B800" t="s">
        <v>386</v>
      </c>
      <c r="C800" t="s">
        <v>165</v>
      </c>
      <c r="D800">
        <v>2309</v>
      </c>
      <c r="E800">
        <v>23310159</v>
      </c>
      <c r="F800" t="s">
        <v>567</v>
      </c>
      <c r="G800" t="s">
        <v>568</v>
      </c>
      <c r="H800">
        <v>800</v>
      </c>
      <c r="I800">
        <v>133</v>
      </c>
      <c r="J800">
        <v>106400</v>
      </c>
      <c r="K800" s="7" t="str">
        <f>IFERROR(IF(B800&lt;&gt;"", TEXT(VLOOKUP(B800, 'Expected Date'!A:B, 2, FALSE) + DATE(RIGHT(C800,2),MID(C800,4,2),LEFT(C800,2)), "dd/mm/yy"), ""), "")</f>
        <v>12/06/23</v>
      </c>
      <c r="L800" t="s">
        <v>38</v>
      </c>
      <c r="M800" t="s">
        <v>39</v>
      </c>
      <c r="N800" t="s">
        <v>318</v>
      </c>
      <c r="O800" t="s">
        <v>71</v>
      </c>
      <c r="P800">
        <v>23390267</v>
      </c>
      <c r="Q800" t="s">
        <v>567</v>
      </c>
      <c r="R800" t="s">
        <v>568</v>
      </c>
      <c r="S800">
        <v>806</v>
      </c>
      <c r="T800">
        <v>133</v>
      </c>
      <c r="U800">
        <v>107198</v>
      </c>
      <c r="V800" t="str">
        <f t="shared" si="214"/>
        <v>Jhagadia</v>
      </c>
      <c r="W800" t="str">
        <f>VLOOKUP(B800, Currency!A:B, 2, FALSE)</f>
        <v>INR</v>
      </c>
      <c r="X800" t="str">
        <f t="shared" si="215"/>
        <v>Accepted</v>
      </c>
      <c r="Y800">
        <f>IFERROR(VLOOKUP(N800, Payment_Terms!A:B, 2, FALSE), "Payment term not found!")</f>
        <v>30</v>
      </c>
      <c r="Z800" t="str">
        <f>IFERROR(VLOOKUP(R800, Item_Category!A:B, 2, FALSE), "Uncategorized")</f>
        <v>Liner</v>
      </c>
      <c r="AA800" s="5">
        <f t="shared" si="219"/>
        <v>0</v>
      </c>
      <c r="AB800">
        <f t="shared" si="220"/>
        <v>5</v>
      </c>
      <c r="AC800" s="10">
        <f t="shared" si="221"/>
        <v>10</v>
      </c>
      <c r="AD800">
        <f t="shared" si="222"/>
        <v>2</v>
      </c>
      <c r="AE800" s="10">
        <f t="shared" si="223"/>
        <v>15</v>
      </c>
      <c r="AF800" s="5">
        <f t="shared" si="216"/>
        <v>1</v>
      </c>
      <c r="AG800" s="5">
        <f t="shared" si="217"/>
        <v>1</v>
      </c>
      <c r="AH800" s="5">
        <f t="shared" si="224"/>
        <v>0</v>
      </c>
      <c r="AI800">
        <f>IF(B800&lt;&gt;"", COUNTIFS($B$2:B800, B800), "")</f>
        <v>50</v>
      </c>
      <c r="AJ800">
        <f t="shared" si="225"/>
        <v>5</v>
      </c>
      <c r="AK800">
        <f t="shared" si="218"/>
        <v>5</v>
      </c>
      <c r="AL800">
        <f t="shared" si="226"/>
        <v>6</v>
      </c>
      <c r="AM800" t="str">
        <f t="shared" si="227"/>
        <v>June</v>
      </c>
      <c r="AN800">
        <f t="shared" si="228"/>
        <v>2023</v>
      </c>
      <c r="AO800" t="str">
        <f t="shared" si="229"/>
        <v>&gt;3</v>
      </c>
      <c r="AP800" t="str">
        <f t="shared" si="230"/>
        <v>&gt;3</v>
      </c>
      <c r="AQ800" t="str">
        <f t="shared" si="231"/>
        <v>&lt;=3</v>
      </c>
    </row>
    <row r="801" spans="1:43" x14ac:dyDescent="0.3">
      <c r="A801" t="s">
        <v>33</v>
      </c>
      <c r="B801" t="s">
        <v>386</v>
      </c>
      <c r="C801" t="s">
        <v>428</v>
      </c>
      <c r="D801">
        <v>1184</v>
      </c>
      <c r="E801">
        <v>23310006</v>
      </c>
      <c r="F801" t="s">
        <v>554</v>
      </c>
      <c r="G801" t="s">
        <v>555</v>
      </c>
      <c r="H801">
        <v>8000</v>
      </c>
      <c r="I801">
        <v>19.5</v>
      </c>
      <c r="J801">
        <v>156000</v>
      </c>
      <c r="K801" s="7" t="str">
        <f>IFERROR(IF(B801&lt;&gt;"", TEXT(VLOOKUP(B801, 'Expected Date'!A:B, 2, FALSE) + DATE(RIGHT(C801,2),MID(C801,4,2),LEFT(C801,2)), "dd/mm/yy"), ""), "")</f>
        <v>08/04/23</v>
      </c>
      <c r="L801" t="s">
        <v>68</v>
      </c>
      <c r="M801" t="s">
        <v>39</v>
      </c>
      <c r="N801" t="s">
        <v>556</v>
      </c>
      <c r="O801" t="s">
        <v>397</v>
      </c>
      <c r="P801">
        <v>23390007</v>
      </c>
      <c r="Q801" t="s">
        <v>554</v>
      </c>
      <c r="R801" t="s">
        <v>555</v>
      </c>
      <c r="S801">
        <v>5806</v>
      </c>
      <c r="T801">
        <v>19.5</v>
      </c>
      <c r="U801">
        <v>113217</v>
      </c>
      <c r="V801" t="str">
        <f t="shared" si="214"/>
        <v>Jhagadia</v>
      </c>
      <c r="W801" t="str">
        <f>VLOOKUP(B801, Currency!A:B, 2, FALSE)</f>
        <v>INR</v>
      </c>
      <c r="X801" t="str">
        <f t="shared" si="215"/>
        <v>Accepted</v>
      </c>
      <c r="Y801">
        <f>IFERROR(VLOOKUP(N801, Payment_Terms!A:B, 2, FALSE), "Payment term not found!")</f>
        <v>30</v>
      </c>
      <c r="Z801" t="str">
        <f>IFERROR(VLOOKUP(R801, Item_Category!A:B, 2, FALSE), "Uncategorized")</f>
        <v>HDPE bag acecel</v>
      </c>
      <c r="AA801" s="5">
        <f t="shared" si="219"/>
        <v>6.0000000000000001E-3</v>
      </c>
      <c r="AB801">
        <f t="shared" si="220"/>
        <v>4</v>
      </c>
      <c r="AC801" s="10">
        <f t="shared" si="221"/>
        <v>-3</v>
      </c>
      <c r="AD801">
        <f t="shared" si="222"/>
        <v>5</v>
      </c>
      <c r="AE801" s="10">
        <f t="shared" si="223"/>
        <v>2</v>
      </c>
      <c r="AF801" s="5">
        <f t="shared" si="216"/>
        <v>1</v>
      </c>
      <c r="AG801" s="5">
        <f t="shared" si="217"/>
        <v>1</v>
      </c>
      <c r="AH801" s="5">
        <f t="shared" si="224"/>
        <v>0</v>
      </c>
      <c r="AI801">
        <f>IF(B801&lt;&gt;"", COUNTIFS($B$2:B801, B801), "")</f>
        <v>51</v>
      </c>
      <c r="AJ801">
        <f t="shared" si="225"/>
        <v>5</v>
      </c>
      <c r="AK801">
        <f t="shared" si="218"/>
        <v>5</v>
      </c>
      <c r="AL801">
        <f t="shared" si="226"/>
        <v>4</v>
      </c>
      <c r="AM801" t="str">
        <f t="shared" si="227"/>
        <v>April</v>
      </c>
      <c r="AN801">
        <f t="shared" si="228"/>
        <v>2023</v>
      </c>
      <c r="AO801" t="str">
        <f t="shared" si="229"/>
        <v>&gt;3</v>
      </c>
      <c r="AP801" t="str">
        <f t="shared" si="230"/>
        <v>&gt;3</v>
      </c>
      <c r="AQ801" t="str">
        <f t="shared" si="231"/>
        <v>&gt;3</v>
      </c>
    </row>
    <row r="802" spans="1:43" x14ac:dyDescent="0.3">
      <c r="A802" t="s">
        <v>33</v>
      </c>
      <c r="B802" t="s">
        <v>366</v>
      </c>
      <c r="C802" t="s">
        <v>398</v>
      </c>
      <c r="D802">
        <v>1699</v>
      </c>
      <c r="E802">
        <v>23310072</v>
      </c>
      <c r="F802" t="s">
        <v>569</v>
      </c>
      <c r="G802" t="s">
        <v>570</v>
      </c>
      <c r="H802">
        <v>70</v>
      </c>
      <c r="I802">
        <v>10857.14</v>
      </c>
      <c r="J802">
        <v>759999.8</v>
      </c>
      <c r="K802" s="7" t="str">
        <f>IFERROR(IF(B802&lt;&gt;"", TEXT(VLOOKUP(B802, 'Expected Date'!A:B, 2, FALSE) + DATE(RIGHT(C802,2),MID(C802,4,2),LEFT(C802,2)), "dd/mm/yy"), ""), "")</f>
        <v>03/05/23</v>
      </c>
      <c r="L802" t="s">
        <v>38</v>
      </c>
      <c r="M802" t="s">
        <v>48</v>
      </c>
      <c r="N802" t="s">
        <v>574</v>
      </c>
      <c r="O802" t="s">
        <v>238</v>
      </c>
      <c r="P802">
        <v>23390097</v>
      </c>
      <c r="Q802" t="s">
        <v>569</v>
      </c>
      <c r="R802" t="s">
        <v>570</v>
      </c>
      <c r="S802">
        <v>29.54</v>
      </c>
      <c r="T802">
        <v>10857.14</v>
      </c>
      <c r="U802">
        <v>320719.92</v>
      </c>
      <c r="V802" t="str">
        <f t="shared" si="214"/>
        <v>Jhagadia</v>
      </c>
      <c r="W802" t="str">
        <f>VLOOKUP(B802, Currency!A:B, 2, FALSE)</f>
        <v>INR</v>
      </c>
      <c r="X802" t="str">
        <f t="shared" si="215"/>
        <v>Accepted</v>
      </c>
      <c r="Y802">
        <f>IFERROR(VLOOKUP(N802, Payment_Terms!A:B, 2, FALSE), "Payment term not found!")</f>
        <v>0</v>
      </c>
      <c r="Z802" t="str">
        <f>IFERROR(VLOOKUP(R802, Item_Category!A:B, 2, FALSE), "Uncategorized")</f>
        <v>Coal materials</v>
      </c>
      <c r="AA802" s="5">
        <f t="shared" si="219"/>
        <v>0</v>
      </c>
      <c r="AB802">
        <f t="shared" si="220"/>
        <v>5</v>
      </c>
      <c r="AC802" s="10">
        <f t="shared" si="221"/>
        <v>1</v>
      </c>
      <c r="AD802">
        <f t="shared" si="222"/>
        <v>5</v>
      </c>
      <c r="AE802" s="10">
        <f t="shared" si="223"/>
        <v>3</v>
      </c>
      <c r="AF802" s="5">
        <f t="shared" si="216"/>
        <v>1</v>
      </c>
      <c r="AG802" s="5">
        <f t="shared" si="217"/>
        <v>1</v>
      </c>
      <c r="AH802" s="5">
        <f t="shared" si="224"/>
        <v>0</v>
      </c>
      <c r="AI802">
        <f>IF(B802&lt;&gt;"", COUNTIFS($B$2:B802, B802), "")</f>
        <v>105</v>
      </c>
      <c r="AJ802">
        <f t="shared" si="225"/>
        <v>5</v>
      </c>
      <c r="AK802">
        <f t="shared" si="218"/>
        <v>5</v>
      </c>
      <c r="AL802">
        <f t="shared" si="226"/>
        <v>5</v>
      </c>
      <c r="AM802" t="str">
        <f t="shared" si="227"/>
        <v>May</v>
      </c>
      <c r="AN802">
        <f t="shared" si="228"/>
        <v>2023</v>
      </c>
      <c r="AO802" t="str">
        <f t="shared" si="229"/>
        <v>&gt;3</v>
      </c>
      <c r="AP802" t="str">
        <f t="shared" si="230"/>
        <v>&gt;3</v>
      </c>
      <c r="AQ802" t="str">
        <f t="shared" si="231"/>
        <v>&gt;3</v>
      </c>
    </row>
    <row r="803" spans="1:43" x14ac:dyDescent="0.3">
      <c r="A803" t="s">
        <v>33</v>
      </c>
      <c r="B803" t="s">
        <v>513</v>
      </c>
      <c r="C803" t="s">
        <v>354</v>
      </c>
      <c r="D803">
        <v>2797</v>
      </c>
      <c r="E803">
        <v>23310216</v>
      </c>
      <c r="F803" t="s">
        <v>563</v>
      </c>
      <c r="G803" t="s">
        <v>515</v>
      </c>
      <c r="H803">
        <v>2500</v>
      </c>
      <c r="I803">
        <v>26</v>
      </c>
      <c r="J803">
        <v>65000</v>
      </c>
      <c r="K803" s="7" t="str">
        <f>IFERROR(IF(B803&lt;&gt;"", TEXT(VLOOKUP(B803, 'Expected Date'!A:B, 2, FALSE) + DATE(RIGHT(C803,2),MID(C803,4,2),LEFT(C803,2)), "dd/mm/yy"), ""), "")</f>
        <v>05/07/23</v>
      </c>
      <c r="L803" t="s">
        <v>38</v>
      </c>
      <c r="M803" t="s">
        <v>48</v>
      </c>
      <c r="N803" t="s">
        <v>342</v>
      </c>
      <c r="O803" t="s">
        <v>203</v>
      </c>
      <c r="P803">
        <v>23390331</v>
      </c>
      <c r="Q803" t="s">
        <v>563</v>
      </c>
      <c r="R803" t="s">
        <v>515</v>
      </c>
      <c r="S803">
        <v>1000</v>
      </c>
      <c r="T803">
        <v>26</v>
      </c>
      <c r="U803">
        <v>26000</v>
      </c>
      <c r="V803" t="str">
        <f t="shared" si="214"/>
        <v>Jhagadia</v>
      </c>
      <c r="W803" t="str">
        <f>VLOOKUP(B803, Currency!A:B, 2, FALSE)</f>
        <v>INR</v>
      </c>
      <c r="X803" t="str">
        <f t="shared" si="215"/>
        <v>Accepted</v>
      </c>
      <c r="Y803">
        <f>IFERROR(VLOOKUP(N803, Payment_Terms!A:B, 2, FALSE), "Payment term not found!")</f>
        <v>30</v>
      </c>
      <c r="Z803" t="str">
        <f>IFERROR(VLOOKUP(R803, Item_Category!A:B, 2, FALSE), "Uncategorized")</f>
        <v xml:space="preserve">Caustic Soda </v>
      </c>
      <c r="AA803" s="5">
        <f t="shared" si="219"/>
        <v>0</v>
      </c>
      <c r="AB803">
        <f t="shared" si="220"/>
        <v>5</v>
      </c>
      <c r="AC803" s="10">
        <f t="shared" si="221"/>
        <v>11</v>
      </c>
      <c r="AD803">
        <f t="shared" si="222"/>
        <v>1</v>
      </c>
      <c r="AE803" s="10">
        <f t="shared" si="223"/>
        <v>13</v>
      </c>
      <c r="AF803" s="5">
        <f t="shared" si="216"/>
        <v>1</v>
      </c>
      <c r="AG803" s="5">
        <f t="shared" si="217"/>
        <v>1</v>
      </c>
      <c r="AH803" s="5">
        <f t="shared" si="224"/>
        <v>0</v>
      </c>
      <c r="AI803">
        <f>IF(B803&lt;&gt;"", COUNTIFS($B$2:B803, B803), "")</f>
        <v>20</v>
      </c>
      <c r="AJ803">
        <f t="shared" si="225"/>
        <v>5</v>
      </c>
      <c r="AK803">
        <f t="shared" si="218"/>
        <v>4</v>
      </c>
      <c r="AL803">
        <f t="shared" si="226"/>
        <v>7</v>
      </c>
      <c r="AM803" t="str">
        <f t="shared" si="227"/>
        <v>July</v>
      </c>
      <c r="AN803">
        <f t="shared" si="228"/>
        <v>2023</v>
      </c>
      <c r="AO803" t="str">
        <f t="shared" si="229"/>
        <v>&gt;3</v>
      </c>
      <c r="AP803" t="str">
        <f t="shared" si="230"/>
        <v>&gt;3</v>
      </c>
      <c r="AQ803" t="str">
        <f t="shared" si="231"/>
        <v>&lt;=3</v>
      </c>
    </row>
    <row r="804" spans="1:43" x14ac:dyDescent="0.3">
      <c r="A804" t="s">
        <v>33</v>
      </c>
      <c r="B804" t="s">
        <v>386</v>
      </c>
      <c r="C804" t="s">
        <v>57</v>
      </c>
      <c r="D804">
        <v>3521</v>
      </c>
      <c r="E804">
        <v>23310273</v>
      </c>
      <c r="F804" t="s">
        <v>554</v>
      </c>
      <c r="G804" t="s">
        <v>555</v>
      </c>
      <c r="H804">
        <v>8000</v>
      </c>
      <c r="I804">
        <v>19.5</v>
      </c>
      <c r="J804">
        <v>156000</v>
      </c>
      <c r="K804" s="7" t="str">
        <f>IFERROR(IF(B804&lt;&gt;"", TEXT(VLOOKUP(B804, 'Expected Date'!A:B, 2, FALSE) + DATE(RIGHT(C804,2),MID(C804,4,2),LEFT(C804,2)), "dd/mm/yy"), ""), "")</f>
        <v>08/08/23</v>
      </c>
      <c r="L804" t="s">
        <v>38</v>
      </c>
      <c r="M804" t="s">
        <v>39</v>
      </c>
      <c r="N804" t="s">
        <v>318</v>
      </c>
      <c r="O804" t="s">
        <v>163</v>
      </c>
      <c r="P804">
        <v>23390492</v>
      </c>
      <c r="Q804" t="s">
        <v>554</v>
      </c>
      <c r="R804" t="s">
        <v>555</v>
      </c>
      <c r="S804">
        <v>1500</v>
      </c>
      <c r="T804">
        <v>19.5</v>
      </c>
      <c r="U804">
        <v>29250</v>
      </c>
      <c r="V804" t="str">
        <f t="shared" si="214"/>
        <v>Jhagadia</v>
      </c>
      <c r="W804" t="str">
        <f>VLOOKUP(B804, Currency!A:B, 2, FALSE)</f>
        <v>INR</v>
      </c>
      <c r="X804" t="str">
        <f t="shared" si="215"/>
        <v>Accepted</v>
      </c>
      <c r="Y804">
        <f>IFERROR(VLOOKUP(N804, Payment_Terms!A:B, 2, FALSE), "Payment term not found!")</f>
        <v>30</v>
      </c>
      <c r="Z804" t="str">
        <f>IFERROR(VLOOKUP(R804, Item_Category!A:B, 2, FALSE), "Uncategorized")</f>
        <v>HDPE bag acecel</v>
      </c>
      <c r="AA804" s="5">
        <f t="shared" si="219"/>
        <v>0</v>
      </c>
      <c r="AB804">
        <f t="shared" si="220"/>
        <v>5</v>
      </c>
      <c r="AC804" s="10">
        <f t="shared" si="221"/>
        <v>22</v>
      </c>
      <c r="AD804">
        <f t="shared" si="222"/>
        <v>1</v>
      </c>
      <c r="AE804" s="10">
        <f t="shared" si="223"/>
        <v>27</v>
      </c>
      <c r="AF804" s="5">
        <f t="shared" si="216"/>
        <v>1</v>
      </c>
      <c r="AG804" s="5">
        <f t="shared" si="217"/>
        <v>1</v>
      </c>
      <c r="AH804" s="5">
        <f t="shared" si="224"/>
        <v>0</v>
      </c>
      <c r="AI804">
        <f>IF(B804&lt;&gt;"", COUNTIFS($B$2:B804, B804), "")</f>
        <v>52</v>
      </c>
      <c r="AJ804">
        <f t="shared" si="225"/>
        <v>5</v>
      </c>
      <c r="AK804">
        <f t="shared" si="218"/>
        <v>4</v>
      </c>
      <c r="AL804">
        <f t="shared" si="226"/>
        <v>8</v>
      </c>
      <c r="AM804" t="str">
        <f t="shared" si="227"/>
        <v>August</v>
      </c>
      <c r="AN804">
        <f t="shared" si="228"/>
        <v>2023</v>
      </c>
      <c r="AO804" t="str">
        <f t="shared" si="229"/>
        <v>&gt;3</v>
      </c>
      <c r="AP804" t="str">
        <f t="shared" si="230"/>
        <v>&gt;3</v>
      </c>
      <c r="AQ804" t="str">
        <f t="shared" si="231"/>
        <v>&lt;=3</v>
      </c>
    </row>
    <row r="805" spans="1:43" x14ac:dyDescent="0.3">
      <c r="A805" t="s">
        <v>33</v>
      </c>
      <c r="B805" t="s">
        <v>513</v>
      </c>
      <c r="C805" t="s">
        <v>78</v>
      </c>
      <c r="D805">
        <v>3973</v>
      </c>
      <c r="E805">
        <v>23310321</v>
      </c>
      <c r="F805" t="s">
        <v>563</v>
      </c>
      <c r="G805" t="s">
        <v>515</v>
      </c>
      <c r="H805">
        <v>2500</v>
      </c>
      <c r="I805">
        <v>24</v>
      </c>
      <c r="J805">
        <v>60000</v>
      </c>
      <c r="K805" s="7" t="str">
        <f>IFERROR(IF(B805&lt;&gt;"", TEXT(VLOOKUP(B805, 'Expected Date'!A:B, 2, FALSE) + DATE(RIGHT(C805,2),MID(C805,4,2),LEFT(C805,2)), "dd/mm/yy"), ""), "")</f>
        <v>26/08/23</v>
      </c>
      <c r="L805" t="s">
        <v>68</v>
      </c>
      <c r="M805" t="s">
        <v>48</v>
      </c>
      <c r="N805" t="s">
        <v>342</v>
      </c>
      <c r="O805" t="s">
        <v>284</v>
      </c>
      <c r="P805">
        <v>23390503</v>
      </c>
      <c r="Q805" t="s">
        <v>563</v>
      </c>
      <c r="R805" t="s">
        <v>515</v>
      </c>
      <c r="S805">
        <v>1000</v>
      </c>
      <c r="T805">
        <v>24</v>
      </c>
      <c r="U805">
        <v>24000</v>
      </c>
      <c r="V805" t="str">
        <f t="shared" si="214"/>
        <v>Jhagadia</v>
      </c>
      <c r="W805" t="str">
        <f>VLOOKUP(B805, Currency!A:B, 2, FALSE)</f>
        <v>INR</v>
      </c>
      <c r="X805" t="str">
        <f t="shared" si="215"/>
        <v>Accepted</v>
      </c>
      <c r="Y805">
        <f>IFERROR(VLOOKUP(N805, Payment_Terms!A:B, 2, FALSE), "Payment term not found!")</f>
        <v>30</v>
      </c>
      <c r="Z805" t="str">
        <f>IFERROR(VLOOKUP(R805, Item_Category!A:B, 2, FALSE), "Uncategorized")</f>
        <v xml:space="preserve">Caustic Soda </v>
      </c>
      <c r="AA805" s="5">
        <f t="shared" si="219"/>
        <v>0.2</v>
      </c>
      <c r="AB805">
        <f t="shared" si="220"/>
        <v>1</v>
      </c>
      <c r="AC805" s="10">
        <f t="shared" si="221"/>
        <v>9</v>
      </c>
      <c r="AD805">
        <f t="shared" si="222"/>
        <v>2</v>
      </c>
      <c r="AE805" s="10">
        <f t="shared" si="223"/>
        <v>11</v>
      </c>
      <c r="AF805" s="5">
        <f t="shared" si="216"/>
        <v>1</v>
      </c>
      <c r="AG805" s="5">
        <f t="shared" si="217"/>
        <v>1</v>
      </c>
      <c r="AH805" s="5">
        <f t="shared" si="224"/>
        <v>0</v>
      </c>
      <c r="AI805">
        <f>IF(B805&lt;&gt;"", COUNTIFS($B$2:B805, B805), "")</f>
        <v>21</v>
      </c>
      <c r="AJ805">
        <f t="shared" si="225"/>
        <v>5</v>
      </c>
      <c r="AK805">
        <f t="shared" si="218"/>
        <v>3</v>
      </c>
      <c r="AL805">
        <f t="shared" si="226"/>
        <v>8</v>
      </c>
      <c r="AM805" t="str">
        <f t="shared" si="227"/>
        <v>August</v>
      </c>
      <c r="AN805">
        <f t="shared" si="228"/>
        <v>2023</v>
      </c>
      <c r="AO805" t="str">
        <f t="shared" si="229"/>
        <v>&gt;3</v>
      </c>
      <c r="AP805" t="str">
        <f t="shared" si="230"/>
        <v>&lt;=3</v>
      </c>
      <c r="AQ805" t="str">
        <f t="shared" si="231"/>
        <v>&lt;=3</v>
      </c>
    </row>
    <row r="806" spans="1:43" x14ac:dyDescent="0.3">
      <c r="A806" t="s">
        <v>33</v>
      </c>
      <c r="B806" t="s">
        <v>386</v>
      </c>
      <c r="C806" t="s">
        <v>194</v>
      </c>
      <c r="D806">
        <v>4693</v>
      </c>
      <c r="E806">
        <v>23310389</v>
      </c>
      <c r="F806" t="s">
        <v>600</v>
      </c>
      <c r="G806" t="s">
        <v>601</v>
      </c>
      <c r="H806">
        <v>50</v>
      </c>
      <c r="I806">
        <v>450</v>
      </c>
      <c r="J806">
        <v>22500</v>
      </c>
      <c r="K806" s="7" t="str">
        <f>IFERROR(IF(B806&lt;&gt;"", TEXT(VLOOKUP(B806, 'Expected Date'!A:B, 2, FALSE) + DATE(RIGHT(C806,2),MID(C806,4,2),LEFT(C806,2)), "dd/mm/yy"), ""), "")</f>
        <v>01/10/23</v>
      </c>
      <c r="L806" t="s">
        <v>38</v>
      </c>
      <c r="M806" t="s">
        <v>39</v>
      </c>
      <c r="N806" t="s">
        <v>318</v>
      </c>
      <c r="O806" t="s">
        <v>536</v>
      </c>
      <c r="P806">
        <v>23390627</v>
      </c>
      <c r="Q806" t="s">
        <v>600</v>
      </c>
      <c r="R806" t="s">
        <v>601</v>
      </c>
      <c r="S806">
        <v>50</v>
      </c>
      <c r="T806">
        <v>450</v>
      </c>
      <c r="U806">
        <v>22500</v>
      </c>
      <c r="V806" t="str">
        <f t="shared" si="214"/>
        <v>Jhagadia</v>
      </c>
      <c r="W806" t="str">
        <f>VLOOKUP(B806, Currency!A:B, 2, FALSE)</f>
        <v>INR</v>
      </c>
      <c r="X806" t="str">
        <f t="shared" si="215"/>
        <v>Accepted</v>
      </c>
      <c r="Y806">
        <f>IFERROR(VLOOKUP(N806, Payment_Terms!A:B, 2, FALSE), "Payment term not found!")</f>
        <v>30</v>
      </c>
      <c r="Z806" t="str">
        <f>IFERROR(VLOOKUP(R806, Item_Category!A:B, 2, FALSE), "Uncategorized")</f>
        <v>Plywood sheets</v>
      </c>
      <c r="AA806" s="5">
        <f t="shared" si="219"/>
        <v>0</v>
      </c>
      <c r="AB806">
        <f t="shared" si="220"/>
        <v>5</v>
      </c>
      <c r="AC806" s="10">
        <f t="shared" si="221"/>
        <v>-4</v>
      </c>
      <c r="AD806">
        <f t="shared" si="222"/>
        <v>5</v>
      </c>
      <c r="AE806" s="10">
        <f t="shared" si="223"/>
        <v>1</v>
      </c>
      <c r="AF806" s="5">
        <f t="shared" si="216"/>
        <v>1</v>
      </c>
      <c r="AG806" s="5">
        <f t="shared" si="217"/>
        <v>1</v>
      </c>
      <c r="AH806" s="5">
        <f t="shared" si="224"/>
        <v>0</v>
      </c>
      <c r="AI806">
        <f>IF(B806&lt;&gt;"", COUNTIFS($B$2:B806, B806), "")</f>
        <v>53</v>
      </c>
      <c r="AJ806">
        <f t="shared" si="225"/>
        <v>5</v>
      </c>
      <c r="AK806">
        <f t="shared" si="218"/>
        <v>5</v>
      </c>
      <c r="AL806">
        <f t="shared" si="226"/>
        <v>9</v>
      </c>
      <c r="AM806" t="str">
        <f t="shared" si="227"/>
        <v>September</v>
      </c>
      <c r="AN806">
        <f t="shared" si="228"/>
        <v>2023</v>
      </c>
      <c r="AO806" t="str">
        <f t="shared" si="229"/>
        <v>&gt;3</v>
      </c>
      <c r="AP806" t="str">
        <f t="shared" si="230"/>
        <v>&gt;3</v>
      </c>
      <c r="AQ806" t="str">
        <f t="shared" si="231"/>
        <v>&gt;3</v>
      </c>
    </row>
    <row r="807" spans="1:43" x14ac:dyDescent="0.3">
      <c r="A807" t="s">
        <v>33</v>
      </c>
      <c r="B807" t="s">
        <v>429</v>
      </c>
      <c r="C807" t="s">
        <v>58</v>
      </c>
      <c r="D807">
        <v>3492</v>
      </c>
      <c r="E807">
        <v>23310270</v>
      </c>
      <c r="F807" t="s">
        <v>581</v>
      </c>
      <c r="G807" t="s">
        <v>582</v>
      </c>
      <c r="H807">
        <v>4000</v>
      </c>
      <c r="I807">
        <v>8</v>
      </c>
      <c r="J807">
        <v>32000</v>
      </c>
      <c r="K807" s="7" t="str">
        <f>IFERROR(IF(B807&lt;&gt;"", TEXT(VLOOKUP(B807, 'Expected Date'!A:B, 2, FALSE) + DATE(RIGHT(C807,2),MID(C807,4,2),LEFT(C807,2)), "dd/mm/yy"), ""), "")</f>
        <v>06/08/23</v>
      </c>
      <c r="L807" t="s">
        <v>38</v>
      </c>
      <c r="M807" t="s">
        <v>48</v>
      </c>
      <c r="N807" t="s">
        <v>318</v>
      </c>
      <c r="O807" t="s">
        <v>394</v>
      </c>
      <c r="P807">
        <v>23390448</v>
      </c>
      <c r="Q807" t="s">
        <v>581</v>
      </c>
      <c r="R807" t="s">
        <v>582</v>
      </c>
      <c r="S807">
        <v>2870</v>
      </c>
      <c r="T807">
        <v>8</v>
      </c>
      <c r="U807">
        <v>22960</v>
      </c>
      <c r="V807" t="str">
        <f t="shared" si="214"/>
        <v>Jhagadia</v>
      </c>
      <c r="W807" t="str">
        <f>VLOOKUP(B807, Currency!A:B, 2, FALSE)</f>
        <v>INR</v>
      </c>
      <c r="X807" t="str">
        <f t="shared" si="215"/>
        <v>Accepted</v>
      </c>
      <c r="Y807">
        <f>IFERROR(VLOOKUP(N807, Payment_Terms!A:B, 2, FALSE), "Payment term not found!")</f>
        <v>30</v>
      </c>
      <c r="Z807" t="str">
        <f>IFERROR(VLOOKUP(R807, Item_Category!A:B, 2, FALSE), "Uncategorized")</f>
        <v>Lime</v>
      </c>
      <c r="AA807" s="5">
        <f t="shared" si="219"/>
        <v>0</v>
      </c>
      <c r="AB807">
        <f t="shared" si="220"/>
        <v>5</v>
      </c>
      <c r="AC807" s="10">
        <f t="shared" si="221"/>
        <v>11</v>
      </c>
      <c r="AD807">
        <f t="shared" si="222"/>
        <v>1</v>
      </c>
      <c r="AE807" s="10">
        <f t="shared" si="223"/>
        <v>16</v>
      </c>
      <c r="AF807" s="5">
        <f t="shared" si="216"/>
        <v>1</v>
      </c>
      <c r="AG807" s="5">
        <f t="shared" si="217"/>
        <v>1</v>
      </c>
      <c r="AH807" s="5">
        <f t="shared" si="224"/>
        <v>0</v>
      </c>
      <c r="AI807">
        <f>IF(B807&lt;&gt;"", COUNTIFS($B$2:B807, B807), "")</f>
        <v>14</v>
      </c>
      <c r="AJ807">
        <f t="shared" si="225"/>
        <v>5</v>
      </c>
      <c r="AK807">
        <f t="shared" si="218"/>
        <v>4</v>
      </c>
      <c r="AL807">
        <f t="shared" si="226"/>
        <v>8</v>
      </c>
      <c r="AM807" t="str">
        <f t="shared" si="227"/>
        <v>August</v>
      </c>
      <c r="AN807">
        <f t="shared" si="228"/>
        <v>2023</v>
      </c>
      <c r="AO807" t="str">
        <f t="shared" si="229"/>
        <v>&gt;3</v>
      </c>
      <c r="AP807" t="str">
        <f t="shared" si="230"/>
        <v>&gt;3</v>
      </c>
      <c r="AQ807" t="str">
        <f t="shared" si="231"/>
        <v>&lt;=3</v>
      </c>
    </row>
    <row r="808" spans="1:43" x14ac:dyDescent="0.3">
      <c r="A808" t="s">
        <v>33</v>
      </c>
      <c r="B808" t="s">
        <v>371</v>
      </c>
      <c r="C808" t="s">
        <v>229</v>
      </c>
      <c r="D808">
        <v>4747</v>
      </c>
      <c r="E808">
        <v>23310395</v>
      </c>
      <c r="F808" t="s">
        <v>552</v>
      </c>
      <c r="G808" t="s">
        <v>373</v>
      </c>
      <c r="H808">
        <v>20</v>
      </c>
      <c r="I808">
        <v>1700</v>
      </c>
      <c r="J808">
        <v>34000</v>
      </c>
      <c r="K808" s="7" t="str">
        <f>IFERROR(IF(B808&lt;&gt;"", TEXT(VLOOKUP(B808, 'Expected Date'!A:B, 2, FALSE) + DATE(RIGHT(C808,2),MID(C808,4,2),LEFT(C808,2)), "dd/mm/yy"), ""), "")</f>
        <v>05/10/23</v>
      </c>
      <c r="L808" t="s">
        <v>68</v>
      </c>
      <c r="M808" t="s">
        <v>48</v>
      </c>
      <c r="N808" t="s">
        <v>342</v>
      </c>
      <c r="O808" t="s">
        <v>229</v>
      </c>
      <c r="P808">
        <v>23390631</v>
      </c>
      <c r="Q808" t="s">
        <v>552</v>
      </c>
      <c r="R808" t="s">
        <v>373</v>
      </c>
      <c r="S808">
        <v>9.9499999999999993</v>
      </c>
      <c r="T808">
        <v>1700</v>
      </c>
      <c r="U808">
        <v>16915</v>
      </c>
      <c r="V808" t="str">
        <f t="shared" si="214"/>
        <v>Jhagadia</v>
      </c>
      <c r="W808" t="str">
        <f>VLOOKUP(B808, Currency!A:B, 2, FALSE)</f>
        <v>INR</v>
      </c>
      <c r="X808" t="str">
        <f t="shared" si="215"/>
        <v>Accepted</v>
      </c>
      <c r="Y808">
        <f>IFERROR(VLOOKUP(N808, Payment_Terms!A:B, 2, FALSE), "Payment term not found!")</f>
        <v>30</v>
      </c>
      <c r="Z808" t="str">
        <f>IFERROR(VLOOKUP(R808, Item_Category!A:B, 2, FALSE), "Uncategorized")</f>
        <v>HCL</v>
      </c>
      <c r="AA808" s="5">
        <f t="shared" si="219"/>
        <v>5.0000000000000712E-3</v>
      </c>
      <c r="AB808">
        <f t="shared" si="220"/>
        <v>4</v>
      </c>
      <c r="AC808" s="10">
        <f t="shared" si="221"/>
        <v>-5</v>
      </c>
      <c r="AD808">
        <f t="shared" si="222"/>
        <v>5</v>
      </c>
      <c r="AE808" s="10">
        <f t="shared" si="223"/>
        <v>0</v>
      </c>
      <c r="AF808" s="5">
        <f t="shared" si="216"/>
        <v>1</v>
      </c>
      <c r="AG808" s="5">
        <f t="shared" si="217"/>
        <v>1</v>
      </c>
      <c r="AH808" s="5">
        <f t="shared" si="224"/>
        <v>0</v>
      </c>
      <c r="AI808">
        <f>IF(B808&lt;&gt;"", COUNTIFS($B$2:B808, B808), "")</f>
        <v>23</v>
      </c>
      <c r="AJ808">
        <f t="shared" si="225"/>
        <v>5</v>
      </c>
      <c r="AK808">
        <f t="shared" si="218"/>
        <v>5</v>
      </c>
      <c r="AL808">
        <f t="shared" si="226"/>
        <v>9</v>
      </c>
      <c r="AM808" t="str">
        <f t="shared" si="227"/>
        <v>September</v>
      </c>
      <c r="AN808">
        <f t="shared" si="228"/>
        <v>2023</v>
      </c>
      <c r="AO808" t="str">
        <f t="shared" si="229"/>
        <v>&gt;3</v>
      </c>
      <c r="AP808" t="str">
        <f t="shared" si="230"/>
        <v>&gt;3</v>
      </c>
      <c r="AQ808" t="str">
        <f t="shared" si="231"/>
        <v>&gt;3</v>
      </c>
    </row>
    <row r="809" spans="1:43" x14ac:dyDescent="0.3">
      <c r="A809" t="s">
        <v>33</v>
      </c>
      <c r="B809" t="s">
        <v>557</v>
      </c>
      <c r="C809" t="s">
        <v>562</v>
      </c>
      <c r="D809">
        <v>1637</v>
      </c>
      <c r="E809">
        <v>23310059</v>
      </c>
      <c r="F809" t="s">
        <v>558</v>
      </c>
      <c r="G809" t="s">
        <v>384</v>
      </c>
      <c r="H809">
        <v>400</v>
      </c>
      <c r="I809">
        <v>99</v>
      </c>
      <c r="J809">
        <v>39600</v>
      </c>
      <c r="K809" s="7" t="str">
        <f>IFERROR(IF(B809&lt;&gt;"", TEXT(VLOOKUP(B809, 'Expected Date'!A:B, 2, FALSE) + DATE(RIGHT(C809,2),MID(C809,4,2),LEFT(C809,2)), "dd/mm/yy"), ""), "")</f>
        <v>10/05/23</v>
      </c>
      <c r="L809" t="s">
        <v>38</v>
      </c>
      <c r="M809" t="s">
        <v>48</v>
      </c>
      <c r="N809" t="s">
        <v>364</v>
      </c>
      <c r="O809" t="s">
        <v>238</v>
      </c>
      <c r="P809">
        <v>23390096</v>
      </c>
      <c r="Q809" t="s">
        <v>558</v>
      </c>
      <c r="R809" t="s">
        <v>384</v>
      </c>
      <c r="S809">
        <v>100</v>
      </c>
      <c r="T809">
        <v>99</v>
      </c>
      <c r="U809">
        <v>9900</v>
      </c>
      <c r="V809" t="str">
        <f t="shared" si="214"/>
        <v>Jhagadia</v>
      </c>
      <c r="W809" t="str">
        <f>VLOOKUP(B809, Currency!A:B, 2, FALSE)</f>
        <v>INR</v>
      </c>
      <c r="X809" t="str">
        <f t="shared" si="215"/>
        <v>Accepted</v>
      </c>
      <c r="Y809">
        <f>IFERROR(VLOOKUP(N809, Payment_Terms!A:B, 2, FALSE), "Payment term not found!")</f>
        <v>30</v>
      </c>
      <c r="Z809" t="str">
        <f>IFERROR(VLOOKUP(R809, Item_Category!A:B, 2, FALSE), "Uncategorized")</f>
        <v>Gas</v>
      </c>
      <c r="AA809" s="5">
        <f t="shared" si="219"/>
        <v>0</v>
      </c>
      <c r="AB809">
        <f t="shared" si="220"/>
        <v>5</v>
      </c>
      <c r="AC809" s="10">
        <f t="shared" si="221"/>
        <v>-6</v>
      </c>
      <c r="AD809">
        <f t="shared" si="222"/>
        <v>5</v>
      </c>
      <c r="AE809" s="10">
        <f t="shared" si="223"/>
        <v>4</v>
      </c>
      <c r="AF809" s="5">
        <f t="shared" si="216"/>
        <v>1</v>
      </c>
      <c r="AG809" s="5">
        <f t="shared" si="217"/>
        <v>1</v>
      </c>
      <c r="AH809" s="5">
        <f t="shared" si="224"/>
        <v>0</v>
      </c>
      <c r="AI809">
        <f>IF(B809&lt;&gt;"", COUNTIFS($B$2:B809, B809), "")</f>
        <v>18</v>
      </c>
      <c r="AJ809">
        <f t="shared" si="225"/>
        <v>5</v>
      </c>
      <c r="AK809">
        <f t="shared" si="218"/>
        <v>5</v>
      </c>
      <c r="AL809">
        <f t="shared" si="226"/>
        <v>4</v>
      </c>
      <c r="AM809" t="str">
        <f t="shared" si="227"/>
        <v>April</v>
      </c>
      <c r="AN809">
        <f t="shared" si="228"/>
        <v>2023</v>
      </c>
      <c r="AO809" t="str">
        <f t="shared" si="229"/>
        <v>&gt;3</v>
      </c>
      <c r="AP809" t="str">
        <f t="shared" si="230"/>
        <v>&gt;3</v>
      </c>
      <c r="AQ809" t="str">
        <f t="shared" si="231"/>
        <v>&gt;3</v>
      </c>
    </row>
    <row r="810" spans="1:43" x14ac:dyDescent="0.3">
      <c r="A810" t="s">
        <v>33</v>
      </c>
      <c r="B810" t="s">
        <v>386</v>
      </c>
      <c r="C810" t="s">
        <v>226</v>
      </c>
      <c r="D810">
        <v>4700</v>
      </c>
      <c r="E810">
        <v>23310391</v>
      </c>
      <c r="F810" t="s">
        <v>578</v>
      </c>
      <c r="G810" t="s">
        <v>579</v>
      </c>
      <c r="H810">
        <v>112.7</v>
      </c>
      <c r="I810">
        <v>129</v>
      </c>
      <c r="J810">
        <v>14538.3</v>
      </c>
      <c r="K810" s="7" t="str">
        <f>IFERROR(IF(B810&lt;&gt;"", TEXT(VLOOKUP(B810, 'Expected Date'!A:B, 2, FALSE) + DATE(RIGHT(C810,2),MID(C810,4,2),LEFT(C810,2)), "dd/mm/yy"), ""), "")</f>
        <v>16/09/23</v>
      </c>
      <c r="L810" t="s">
        <v>38</v>
      </c>
      <c r="M810" t="s">
        <v>48</v>
      </c>
      <c r="N810" t="s">
        <v>342</v>
      </c>
      <c r="O810" t="s">
        <v>272</v>
      </c>
      <c r="P810">
        <v>23390622</v>
      </c>
      <c r="Q810" t="s">
        <v>578</v>
      </c>
      <c r="R810" t="s">
        <v>579</v>
      </c>
      <c r="S810">
        <v>112.7</v>
      </c>
      <c r="T810">
        <v>129</v>
      </c>
      <c r="U810">
        <v>14538.3</v>
      </c>
      <c r="V810" t="str">
        <f t="shared" si="214"/>
        <v>Jhagadia</v>
      </c>
      <c r="W810" t="str">
        <f>VLOOKUP(B810, Currency!A:B, 2, FALSE)</f>
        <v>INR</v>
      </c>
      <c r="X810" t="str">
        <f t="shared" si="215"/>
        <v>Accepted</v>
      </c>
      <c r="Y810">
        <f>IFERROR(VLOOKUP(N810, Payment_Terms!A:B, 2, FALSE), "Payment term not found!")</f>
        <v>30</v>
      </c>
      <c r="Z810" t="str">
        <f>IFERROR(VLOOKUP(R810, Item_Category!A:B, 2, FALSE), "Uncategorized")</f>
        <v>Film</v>
      </c>
      <c r="AA810" s="5">
        <f t="shared" si="219"/>
        <v>0</v>
      </c>
      <c r="AB810">
        <f t="shared" si="220"/>
        <v>5</v>
      </c>
      <c r="AC810" s="10">
        <f t="shared" si="221"/>
        <v>9</v>
      </c>
      <c r="AD810">
        <f t="shared" si="222"/>
        <v>2</v>
      </c>
      <c r="AE810" s="10">
        <f t="shared" si="223"/>
        <v>14</v>
      </c>
      <c r="AF810" s="5">
        <f t="shared" si="216"/>
        <v>1</v>
      </c>
      <c r="AG810" s="5">
        <f t="shared" si="217"/>
        <v>1</v>
      </c>
      <c r="AH810" s="5">
        <f t="shared" si="224"/>
        <v>0</v>
      </c>
      <c r="AI810">
        <f>IF(B810&lt;&gt;"", COUNTIFS($B$2:B810, B810), "")</f>
        <v>54</v>
      </c>
      <c r="AJ810">
        <f t="shared" si="225"/>
        <v>5</v>
      </c>
      <c r="AK810">
        <f t="shared" si="218"/>
        <v>5</v>
      </c>
      <c r="AL810">
        <f t="shared" si="226"/>
        <v>9</v>
      </c>
      <c r="AM810" t="str">
        <f t="shared" si="227"/>
        <v>September</v>
      </c>
      <c r="AN810">
        <f t="shared" si="228"/>
        <v>2023</v>
      </c>
      <c r="AO810" t="str">
        <f t="shared" si="229"/>
        <v>&gt;3</v>
      </c>
      <c r="AP810" t="str">
        <f t="shared" si="230"/>
        <v>&gt;3</v>
      </c>
      <c r="AQ810" t="str">
        <f t="shared" si="231"/>
        <v>&lt;=3</v>
      </c>
    </row>
    <row r="811" spans="1:43" x14ac:dyDescent="0.3">
      <c r="A811" t="s">
        <v>33</v>
      </c>
      <c r="B811" t="s">
        <v>557</v>
      </c>
      <c r="C811" t="s">
        <v>536</v>
      </c>
      <c r="D811">
        <v>4694</v>
      </c>
      <c r="E811">
        <v>23310390</v>
      </c>
      <c r="F811" t="s">
        <v>558</v>
      </c>
      <c r="G811" t="s">
        <v>384</v>
      </c>
      <c r="H811">
        <v>100</v>
      </c>
      <c r="I811">
        <v>101</v>
      </c>
      <c r="J811">
        <v>10100</v>
      </c>
      <c r="K811" s="7" t="str">
        <f>IFERROR(IF(B811&lt;&gt;"", TEXT(VLOOKUP(B811, 'Expected Date'!A:B, 2, FALSE) + DATE(RIGHT(C811,2),MID(C811,4,2),LEFT(C811,2)), "dd/mm/yy"), ""), "")</f>
        <v>07/10/23</v>
      </c>
      <c r="L811" t="s">
        <v>38</v>
      </c>
      <c r="M811" t="s">
        <v>48</v>
      </c>
      <c r="N811" t="s">
        <v>318</v>
      </c>
      <c r="O811" t="s">
        <v>320</v>
      </c>
      <c r="P811">
        <v>23390629</v>
      </c>
      <c r="Q811" t="s">
        <v>558</v>
      </c>
      <c r="R811" t="s">
        <v>384</v>
      </c>
      <c r="S811">
        <v>100</v>
      </c>
      <c r="T811">
        <v>101</v>
      </c>
      <c r="U811">
        <v>10100</v>
      </c>
      <c r="V811" t="str">
        <f t="shared" si="214"/>
        <v>Jhagadia</v>
      </c>
      <c r="W811" t="str">
        <f>VLOOKUP(B811, Currency!A:B, 2, FALSE)</f>
        <v>INR</v>
      </c>
      <c r="X811" t="str">
        <f t="shared" si="215"/>
        <v>Accepted</v>
      </c>
      <c r="Y811">
        <f>IFERROR(VLOOKUP(N811, Payment_Terms!A:B, 2, FALSE), "Payment term not found!")</f>
        <v>30</v>
      </c>
      <c r="Z811" t="str">
        <f>IFERROR(VLOOKUP(R811, Item_Category!A:B, 2, FALSE), "Uncategorized")</f>
        <v>Gas</v>
      </c>
      <c r="AA811" s="5">
        <f t="shared" si="219"/>
        <v>0</v>
      </c>
      <c r="AB811">
        <f t="shared" si="220"/>
        <v>5</v>
      </c>
      <c r="AC811" s="10">
        <f t="shared" si="221"/>
        <v>-9</v>
      </c>
      <c r="AD811">
        <f t="shared" si="222"/>
        <v>5</v>
      </c>
      <c r="AE811" s="10">
        <f t="shared" si="223"/>
        <v>1</v>
      </c>
      <c r="AF811" s="5">
        <f t="shared" si="216"/>
        <v>1</v>
      </c>
      <c r="AG811" s="5">
        <f t="shared" si="217"/>
        <v>1</v>
      </c>
      <c r="AH811" s="5">
        <f t="shared" si="224"/>
        <v>0</v>
      </c>
      <c r="AI811">
        <f>IF(B811&lt;&gt;"", COUNTIFS($B$2:B811, B811), "")</f>
        <v>19</v>
      </c>
      <c r="AJ811">
        <f t="shared" si="225"/>
        <v>5</v>
      </c>
      <c r="AK811">
        <f t="shared" si="218"/>
        <v>5</v>
      </c>
      <c r="AL811">
        <f t="shared" si="226"/>
        <v>9</v>
      </c>
      <c r="AM811" t="str">
        <f t="shared" si="227"/>
        <v>September</v>
      </c>
      <c r="AN811">
        <f t="shared" si="228"/>
        <v>2023</v>
      </c>
      <c r="AO811" t="str">
        <f t="shared" si="229"/>
        <v>&gt;3</v>
      </c>
      <c r="AP811" t="str">
        <f t="shared" si="230"/>
        <v>&gt;3</v>
      </c>
      <c r="AQ811" t="str">
        <f t="shared" si="231"/>
        <v>&gt;3</v>
      </c>
    </row>
    <row r="812" spans="1:43" x14ac:dyDescent="0.3">
      <c r="A812" t="s">
        <v>33</v>
      </c>
      <c r="B812" t="s">
        <v>366</v>
      </c>
      <c r="C812" t="s">
        <v>272</v>
      </c>
      <c r="D812">
        <v>4656</v>
      </c>
      <c r="E812">
        <v>23310387</v>
      </c>
      <c r="F812" t="s">
        <v>569</v>
      </c>
      <c r="G812" t="s">
        <v>570</v>
      </c>
      <c r="H812">
        <v>100</v>
      </c>
      <c r="I812">
        <v>9800</v>
      </c>
      <c r="J812">
        <v>980000</v>
      </c>
      <c r="K812" s="7" t="str">
        <f>IFERROR(IF(B812&lt;&gt;"", TEXT(VLOOKUP(B812, 'Expected Date'!A:B, 2, FALSE) + DATE(RIGHT(C812,2),MID(C812,4,2),LEFT(C812,2)), "dd/mm/yy"), ""), "")</f>
        <v>27/09/23</v>
      </c>
      <c r="L812" t="s">
        <v>38</v>
      </c>
      <c r="M812" t="s">
        <v>48</v>
      </c>
      <c r="N812" t="s">
        <v>574</v>
      </c>
      <c r="O812" t="s">
        <v>229</v>
      </c>
      <c r="P812">
        <v>23390632</v>
      </c>
      <c r="Q812" t="s">
        <v>569</v>
      </c>
      <c r="R812" t="s">
        <v>570</v>
      </c>
      <c r="S812">
        <v>29.43</v>
      </c>
      <c r="T812">
        <v>9800</v>
      </c>
      <c r="U812">
        <v>288414</v>
      </c>
      <c r="V812" t="str">
        <f t="shared" si="214"/>
        <v>Jhagadia</v>
      </c>
      <c r="W812" t="str">
        <f>VLOOKUP(B812, Currency!A:B, 2, FALSE)</f>
        <v>INR</v>
      </c>
      <c r="X812" t="str">
        <f t="shared" si="215"/>
        <v>Accepted</v>
      </c>
      <c r="Y812">
        <f>IFERROR(VLOOKUP(N812, Payment_Terms!A:B, 2, FALSE), "Payment term not found!")</f>
        <v>0</v>
      </c>
      <c r="Z812" t="str">
        <f>IFERROR(VLOOKUP(R812, Item_Category!A:B, 2, FALSE), "Uncategorized")</f>
        <v>Coal materials</v>
      </c>
      <c r="AA812" s="5">
        <f t="shared" si="219"/>
        <v>0</v>
      </c>
      <c r="AB812">
        <f t="shared" si="220"/>
        <v>5</v>
      </c>
      <c r="AC812" s="10">
        <f t="shared" si="221"/>
        <v>3</v>
      </c>
      <c r="AD812">
        <f t="shared" si="222"/>
        <v>4</v>
      </c>
      <c r="AE812" s="10">
        <f t="shared" si="223"/>
        <v>5</v>
      </c>
      <c r="AF812" s="5">
        <f t="shared" si="216"/>
        <v>1</v>
      </c>
      <c r="AG812" s="5">
        <f t="shared" si="217"/>
        <v>1</v>
      </c>
      <c r="AH812" s="5">
        <f t="shared" si="224"/>
        <v>0</v>
      </c>
      <c r="AI812">
        <f>IF(B812&lt;&gt;"", COUNTIFS($B$2:B812, B812), "")</f>
        <v>106</v>
      </c>
      <c r="AJ812">
        <f t="shared" si="225"/>
        <v>5</v>
      </c>
      <c r="AK812">
        <f t="shared" si="218"/>
        <v>5</v>
      </c>
      <c r="AL812">
        <f t="shared" si="226"/>
        <v>9</v>
      </c>
      <c r="AM812" t="str">
        <f t="shared" si="227"/>
        <v>September</v>
      </c>
      <c r="AN812">
        <f t="shared" si="228"/>
        <v>2023</v>
      </c>
      <c r="AO812" t="str">
        <f t="shared" si="229"/>
        <v>&gt;3</v>
      </c>
      <c r="AP812" t="str">
        <f t="shared" si="230"/>
        <v>&gt;3</v>
      </c>
      <c r="AQ812" t="str">
        <f t="shared" si="231"/>
        <v>&gt;3</v>
      </c>
    </row>
    <row r="813" spans="1:43" x14ac:dyDescent="0.3">
      <c r="A813" t="s">
        <v>33</v>
      </c>
      <c r="B813" t="s">
        <v>386</v>
      </c>
      <c r="C813" t="s">
        <v>428</v>
      </c>
      <c r="D813">
        <v>1184</v>
      </c>
      <c r="E813">
        <v>23310006</v>
      </c>
      <c r="F813" t="s">
        <v>567</v>
      </c>
      <c r="G813" t="s">
        <v>568</v>
      </c>
      <c r="H813">
        <v>736</v>
      </c>
      <c r="I813">
        <v>134</v>
      </c>
      <c r="J813">
        <v>98624</v>
      </c>
      <c r="K813" s="7" t="str">
        <f>IFERROR(IF(B813&lt;&gt;"", TEXT(VLOOKUP(B813, 'Expected Date'!A:B, 2, FALSE) + DATE(RIGHT(C813,2),MID(C813,4,2),LEFT(C813,2)), "dd/mm/yy"), ""), "")</f>
        <v>08/04/23</v>
      </c>
      <c r="L813" t="s">
        <v>38</v>
      </c>
      <c r="M813" t="s">
        <v>39</v>
      </c>
      <c r="N813" t="s">
        <v>556</v>
      </c>
      <c r="O813" t="s">
        <v>428</v>
      </c>
      <c r="P813">
        <v>23390006</v>
      </c>
      <c r="Q813" t="s">
        <v>567</v>
      </c>
      <c r="R813" t="s">
        <v>568</v>
      </c>
      <c r="S813">
        <v>736</v>
      </c>
      <c r="T813">
        <v>134</v>
      </c>
      <c r="U813">
        <v>98624</v>
      </c>
      <c r="V813" t="str">
        <f t="shared" si="214"/>
        <v>Jhagadia</v>
      </c>
      <c r="W813" t="str">
        <f>VLOOKUP(B813, Currency!A:B, 2, FALSE)</f>
        <v>INR</v>
      </c>
      <c r="X813" t="str">
        <f t="shared" si="215"/>
        <v>Accepted</v>
      </c>
      <c r="Y813">
        <f>IFERROR(VLOOKUP(N813, Payment_Terms!A:B, 2, FALSE), "Payment term not found!")</f>
        <v>30</v>
      </c>
      <c r="Z813" t="str">
        <f>IFERROR(VLOOKUP(R813, Item_Category!A:B, 2, FALSE), "Uncategorized")</f>
        <v>Liner</v>
      </c>
      <c r="AA813" s="5">
        <f t="shared" si="219"/>
        <v>0</v>
      </c>
      <c r="AB813">
        <f t="shared" si="220"/>
        <v>5</v>
      </c>
      <c r="AC813" s="10">
        <f t="shared" si="221"/>
        <v>-5</v>
      </c>
      <c r="AD813">
        <f t="shared" si="222"/>
        <v>5</v>
      </c>
      <c r="AE813" s="10">
        <f t="shared" si="223"/>
        <v>0</v>
      </c>
      <c r="AF813" s="5">
        <f t="shared" si="216"/>
        <v>1</v>
      </c>
      <c r="AG813" s="5">
        <f t="shared" si="217"/>
        <v>1</v>
      </c>
      <c r="AH813" s="5">
        <f t="shared" si="224"/>
        <v>0</v>
      </c>
      <c r="AI813">
        <f>IF(B813&lt;&gt;"", COUNTIFS($B$2:B813, B813), "")</f>
        <v>55</v>
      </c>
      <c r="AJ813">
        <f t="shared" si="225"/>
        <v>5</v>
      </c>
      <c r="AK813">
        <f t="shared" si="218"/>
        <v>5</v>
      </c>
      <c r="AL813">
        <f t="shared" si="226"/>
        <v>4</v>
      </c>
      <c r="AM813" t="str">
        <f t="shared" si="227"/>
        <v>April</v>
      </c>
      <c r="AN813">
        <f t="shared" si="228"/>
        <v>2023</v>
      </c>
      <c r="AO813" t="str">
        <f t="shared" si="229"/>
        <v>&gt;3</v>
      </c>
      <c r="AP813" t="str">
        <f t="shared" si="230"/>
        <v>&gt;3</v>
      </c>
      <c r="AQ813" t="str">
        <f t="shared" si="231"/>
        <v>&gt;3</v>
      </c>
    </row>
    <row r="814" spans="1:43" x14ac:dyDescent="0.3">
      <c r="A814" t="s">
        <v>33</v>
      </c>
      <c r="B814" t="s">
        <v>122</v>
      </c>
      <c r="C814" t="s">
        <v>131</v>
      </c>
      <c r="D814">
        <v>3266</v>
      </c>
      <c r="E814">
        <v>23310256</v>
      </c>
      <c r="F814" t="s">
        <v>565</v>
      </c>
      <c r="G814" t="s">
        <v>566</v>
      </c>
      <c r="H814">
        <v>100</v>
      </c>
      <c r="I814">
        <v>930</v>
      </c>
      <c r="J814">
        <v>93000</v>
      </c>
      <c r="K814" s="7" t="str">
        <f>IFERROR(IF(B814&lt;&gt;"", TEXT(VLOOKUP(B814, 'Expected Date'!A:B, 2, FALSE) + DATE(RIGHT(C814,2),MID(C814,4,2),LEFT(C814,2)), "dd/mm/yy"), ""), "")</f>
        <v>08/08/23</v>
      </c>
      <c r="L814" t="s">
        <v>38</v>
      </c>
      <c r="M814" t="s">
        <v>39</v>
      </c>
      <c r="N814" t="s">
        <v>318</v>
      </c>
      <c r="O814" t="s">
        <v>394</v>
      </c>
      <c r="P814">
        <v>23390447</v>
      </c>
      <c r="Q814" t="s">
        <v>565</v>
      </c>
      <c r="R814" t="s">
        <v>566</v>
      </c>
      <c r="S814">
        <v>85</v>
      </c>
      <c r="T814">
        <v>930</v>
      </c>
      <c r="U814">
        <v>79050</v>
      </c>
      <c r="V814" t="str">
        <f t="shared" si="214"/>
        <v>Jhagadia</v>
      </c>
      <c r="W814" t="str">
        <f>VLOOKUP(B814, Currency!A:B, 2, FALSE)</f>
        <v>INR</v>
      </c>
      <c r="X814" t="str">
        <f t="shared" si="215"/>
        <v>Accepted</v>
      </c>
      <c r="Y814">
        <f>IFERROR(VLOOKUP(N814, Payment_Terms!A:B, 2, FALSE), "Payment term not found!")</f>
        <v>30</v>
      </c>
      <c r="Z814" t="str">
        <f>IFERROR(VLOOKUP(R814, Item_Category!A:B, 2, FALSE), "Uncategorized")</f>
        <v>Pallets</v>
      </c>
      <c r="AA814" s="5">
        <f t="shared" si="219"/>
        <v>0</v>
      </c>
      <c r="AB814">
        <f t="shared" si="220"/>
        <v>5</v>
      </c>
      <c r="AC814" s="10">
        <f t="shared" si="221"/>
        <v>9</v>
      </c>
      <c r="AD814">
        <f t="shared" si="222"/>
        <v>2</v>
      </c>
      <c r="AE814" s="10">
        <f t="shared" si="223"/>
        <v>24</v>
      </c>
      <c r="AF814" s="5">
        <f t="shared" si="216"/>
        <v>1</v>
      </c>
      <c r="AG814" s="5">
        <f t="shared" si="217"/>
        <v>1</v>
      </c>
      <c r="AH814" s="5">
        <f t="shared" si="224"/>
        <v>0</v>
      </c>
      <c r="AI814">
        <f>IF(B814&lt;&gt;"", COUNTIFS($B$2:B814, B814), "")</f>
        <v>46</v>
      </c>
      <c r="AJ814">
        <f t="shared" si="225"/>
        <v>5</v>
      </c>
      <c r="AK814">
        <f t="shared" si="218"/>
        <v>5</v>
      </c>
      <c r="AL814">
        <f t="shared" si="226"/>
        <v>7</v>
      </c>
      <c r="AM814" t="str">
        <f t="shared" si="227"/>
        <v>July</v>
      </c>
      <c r="AN814">
        <f t="shared" si="228"/>
        <v>2023</v>
      </c>
      <c r="AO814" t="str">
        <f t="shared" si="229"/>
        <v>&gt;3</v>
      </c>
      <c r="AP814" t="str">
        <f t="shared" si="230"/>
        <v>&gt;3</v>
      </c>
      <c r="AQ814" t="str">
        <f t="shared" si="231"/>
        <v>&lt;=3</v>
      </c>
    </row>
    <row r="815" spans="1:43" x14ac:dyDescent="0.3">
      <c r="A815" t="s">
        <v>33</v>
      </c>
      <c r="B815" t="s">
        <v>122</v>
      </c>
      <c r="C815" t="s">
        <v>103</v>
      </c>
      <c r="D815">
        <v>4202</v>
      </c>
      <c r="E815">
        <v>23310344</v>
      </c>
      <c r="F815" t="s">
        <v>565</v>
      </c>
      <c r="G815" t="s">
        <v>566</v>
      </c>
      <c r="H815">
        <v>140</v>
      </c>
      <c r="I815">
        <v>930</v>
      </c>
      <c r="J815">
        <v>130200</v>
      </c>
      <c r="K815" s="7" t="str">
        <f>IFERROR(IF(B815&lt;&gt;"", TEXT(VLOOKUP(B815, 'Expected Date'!A:B, 2, FALSE) + DATE(RIGHT(C815,2),MID(C815,4,2),LEFT(C815,2)), "dd/mm/yy"), ""), "")</f>
        <v>21/09/23</v>
      </c>
      <c r="L815" t="s">
        <v>68</v>
      </c>
      <c r="M815" t="s">
        <v>39</v>
      </c>
      <c r="N815" t="s">
        <v>318</v>
      </c>
      <c r="O815" t="s">
        <v>603</v>
      </c>
      <c r="P815">
        <v>23390700</v>
      </c>
      <c r="Q815" t="s">
        <v>565</v>
      </c>
      <c r="R815" t="s">
        <v>566</v>
      </c>
      <c r="S815">
        <v>50</v>
      </c>
      <c r="T815">
        <v>930</v>
      </c>
      <c r="U815">
        <v>46500</v>
      </c>
      <c r="V815" t="str">
        <f t="shared" si="214"/>
        <v>Jhagadia</v>
      </c>
      <c r="W815" t="str">
        <f>VLOOKUP(B815, Currency!A:B, 2, FALSE)</f>
        <v>INR</v>
      </c>
      <c r="X815" t="str">
        <f t="shared" si="215"/>
        <v>Accepted</v>
      </c>
      <c r="Y815">
        <f>IFERROR(VLOOKUP(N815, Payment_Terms!A:B, 2, FALSE), "Payment term not found!")</f>
        <v>30</v>
      </c>
      <c r="Z815" t="str">
        <f>IFERROR(VLOOKUP(R815, Item_Category!A:B, 2, FALSE), "Uncategorized")</f>
        <v>Pallets</v>
      </c>
      <c r="AA815" s="5">
        <f t="shared" si="219"/>
        <v>0.2857142857142857</v>
      </c>
      <c r="AB815">
        <f t="shared" si="220"/>
        <v>1</v>
      </c>
      <c r="AC815" s="10">
        <f t="shared" si="221"/>
        <v>27</v>
      </c>
      <c r="AD815">
        <f t="shared" si="222"/>
        <v>1</v>
      </c>
      <c r="AE815" s="10">
        <f t="shared" si="223"/>
        <v>42</v>
      </c>
      <c r="AF815" s="5">
        <f t="shared" si="216"/>
        <v>1</v>
      </c>
      <c r="AG815" s="5">
        <f t="shared" si="217"/>
        <v>1</v>
      </c>
      <c r="AH815" s="5">
        <f t="shared" si="224"/>
        <v>0</v>
      </c>
      <c r="AI815">
        <f>IF(B815&lt;&gt;"", COUNTIFS($B$2:B815, B815), "")</f>
        <v>47</v>
      </c>
      <c r="AJ815">
        <f t="shared" si="225"/>
        <v>5</v>
      </c>
      <c r="AK815">
        <f t="shared" si="218"/>
        <v>3</v>
      </c>
      <c r="AL815">
        <f t="shared" si="226"/>
        <v>9</v>
      </c>
      <c r="AM815" t="str">
        <f t="shared" si="227"/>
        <v>September</v>
      </c>
      <c r="AN815">
        <f t="shared" si="228"/>
        <v>2023</v>
      </c>
      <c r="AO815" t="str">
        <f t="shared" si="229"/>
        <v>&gt;3</v>
      </c>
      <c r="AP815" t="str">
        <f t="shared" si="230"/>
        <v>&lt;=3</v>
      </c>
      <c r="AQ815" t="str">
        <f t="shared" si="231"/>
        <v>&lt;=3</v>
      </c>
    </row>
    <row r="816" spans="1:43" x14ac:dyDescent="0.3">
      <c r="A816" t="str">
        <f>A671</f>
        <v>Woodpulp</v>
      </c>
      <c r="B816" t="s">
        <v>96</v>
      </c>
      <c r="C816" t="s">
        <v>71</v>
      </c>
      <c r="D816">
        <v>2711</v>
      </c>
      <c r="E816">
        <v>23320021</v>
      </c>
      <c r="F816" t="s">
        <v>585</v>
      </c>
      <c r="G816" t="s">
        <v>99</v>
      </c>
      <c r="H816">
        <v>78</v>
      </c>
      <c r="I816">
        <v>670</v>
      </c>
      <c r="J816">
        <v>4269642</v>
      </c>
      <c r="K816" s="7" t="str">
        <f>IFERROR(IF(B816&lt;&gt;"", TEXT(VLOOKUP(B816, 'Expected Date'!A:B, 2, FALSE) + DATE(RIGHT(C816,2),MID(C816,4,2),LEFT(C816,2)), "dd/mm/yy"), ""), "")</f>
        <v>21/08/23</v>
      </c>
      <c r="L816" t="s">
        <v>38</v>
      </c>
      <c r="M816" t="str">
        <f>M730</f>
        <v>MT</v>
      </c>
      <c r="N816" t="s">
        <v>596</v>
      </c>
      <c r="O816" t="s">
        <v>603</v>
      </c>
      <c r="P816">
        <v>23390702</v>
      </c>
      <c r="Q816" t="s">
        <v>585</v>
      </c>
      <c r="R816" t="s">
        <v>99</v>
      </c>
      <c r="S816">
        <v>78.284000000000006</v>
      </c>
      <c r="T816">
        <v>670</v>
      </c>
      <c r="U816">
        <v>4321903.07</v>
      </c>
      <c r="V816" t="str">
        <f t="shared" si="214"/>
        <v>Jhagadia</v>
      </c>
      <c r="W816" t="str">
        <f>VLOOKUP(B816, Currency!A:B, 2, FALSE)</f>
        <v>USD</v>
      </c>
      <c r="X816" t="str">
        <f t="shared" si="215"/>
        <v>Accepted</v>
      </c>
      <c r="Y816">
        <f>IFERROR(VLOOKUP(N816, Payment_Terms!A:B, 2, FALSE), "Payment term not found!")</f>
        <v>60</v>
      </c>
      <c r="Z816" t="str">
        <f>IFERROR(VLOOKUP(R816, Item_Category!A:B, 2, FALSE), "Uncategorized")</f>
        <v>Wood pulp</v>
      </c>
      <c r="AA816" s="5">
        <f t="shared" si="219"/>
        <v>0</v>
      </c>
      <c r="AB816">
        <f t="shared" si="220"/>
        <v>5</v>
      </c>
      <c r="AC816" s="10">
        <f t="shared" si="221"/>
        <v>58</v>
      </c>
      <c r="AD816">
        <f t="shared" si="222"/>
        <v>1</v>
      </c>
      <c r="AE816" s="10">
        <f t="shared" si="223"/>
        <v>118</v>
      </c>
      <c r="AF816" s="5">
        <f t="shared" si="216"/>
        <v>1</v>
      </c>
      <c r="AG816" s="5">
        <f t="shared" si="217"/>
        <v>1</v>
      </c>
      <c r="AH816" s="5">
        <f t="shared" si="224"/>
        <v>0</v>
      </c>
      <c r="AI816">
        <f>IF(B816&lt;&gt;"", COUNTIFS($B$2:B816, B816), "")</f>
        <v>23</v>
      </c>
      <c r="AJ816">
        <f t="shared" si="225"/>
        <v>5</v>
      </c>
      <c r="AK816">
        <f t="shared" si="218"/>
        <v>4</v>
      </c>
      <c r="AL816">
        <f t="shared" si="226"/>
        <v>6</v>
      </c>
      <c r="AM816" t="str">
        <f t="shared" si="227"/>
        <v>June</v>
      </c>
      <c r="AN816">
        <f t="shared" si="228"/>
        <v>2023</v>
      </c>
      <c r="AO816" t="str">
        <f t="shared" si="229"/>
        <v>&gt;3</v>
      </c>
      <c r="AP816" t="str">
        <f t="shared" si="230"/>
        <v>&gt;3</v>
      </c>
      <c r="AQ816" t="str">
        <f t="shared" si="231"/>
        <v>&lt;=3</v>
      </c>
    </row>
    <row r="817" spans="1:43" x14ac:dyDescent="0.3">
      <c r="A817" t="s">
        <v>33</v>
      </c>
      <c r="B817" t="s">
        <v>513</v>
      </c>
      <c r="C817" t="s">
        <v>562</v>
      </c>
      <c r="D817">
        <v>1635</v>
      </c>
      <c r="E817">
        <v>23310057</v>
      </c>
      <c r="F817" t="s">
        <v>563</v>
      </c>
      <c r="G817" t="s">
        <v>515</v>
      </c>
      <c r="H817">
        <v>2500</v>
      </c>
      <c r="I817">
        <v>26</v>
      </c>
      <c r="J817">
        <v>65000</v>
      </c>
      <c r="K817" s="7" t="str">
        <f>IFERROR(IF(B817&lt;&gt;"", TEXT(VLOOKUP(B817, 'Expected Date'!A:B, 2, FALSE) + DATE(RIGHT(C817,2),MID(C817,4,2),LEFT(C817,2)), "dd/mm/yy"), ""), "")</f>
        <v>02/05/23</v>
      </c>
      <c r="L817" t="s">
        <v>38</v>
      </c>
      <c r="M817" t="s">
        <v>48</v>
      </c>
      <c r="N817" t="s">
        <v>342</v>
      </c>
      <c r="O817" t="s">
        <v>415</v>
      </c>
      <c r="P817">
        <v>23390172</v>
      </c>
      <c r="Q817" t="s">
        <v>563</v>
      </c>
      <c r="R817" t="s">
        <v>515</v>
      </c>
      <c r="S817">
        <v>1000</v>
      </c>
      <c r="T817">
        <v>26</v>
      </c>
      <c r="U817">
        <v>26000</v>
      </c>
      <c r="V817" t="str">
        <f t="shared" si="214"/>
        <v>Jhagadia</v>
      </c>
      <c r="W817" t="str">
        <f>VLOOKUP(B817, Currency!A:B, 2, FALSE)</f>
        <v>INR</v>
      </c>
      <c r="X817" t="str">
        <f t="shared" si="215"/>
        <v>Accepted</v>
      </c>
      <c r="Y817">
        <f>IFERROR(VLOOKUP(N817, Payment_Terms!A:B, 2, FALSE), "Payment term not found!")</f>
        <v>30</v>
      </c>
      <c r="Z817" t="str">
        <f>IFERROR(VLOOKUP(R817, Item_Category!A:B, 2, FALSE), "Uncategorized")</f>
        <v xml:space="preserve">Caustic Soda </v>
      </c>
      <c r="AA817" s="5">
        <f t="shared" si="219"/>
        <v>0</v>
      </c>
      <c r="AB817">
        <f t="shared" si="220"/>
        <v>5</v>
      </c>
      <c r="AC817" s="10">
        <f t="shared" si="221"/>
        <v>19</v>
      </c>
      <c r="AD817">
        <f t="shared" si="222"/>
        <v>1</v>
      </c>
      <c r="AE817" s="10">
        <f t="shared" si="223"/>
        <v>21</v>
      </c>
      <c r="AF817" s="5">
        <f t="shared" si="216"/>
        <v>1</v>
      </c>
      <c r="AG817" s="5">
        <f t="shared" si="217"/>
        <v>1</v>
      </c>
      <c r="AH817" s="5">
        <f t="shared" si="224"/>
        <v>0</v>
      </c>
      <c r="AI817">
        <f>IF(B817&lt;&gt;"", COUNTIFS($B$2:B817, B817), "")</f>
        <v>22</v>
      </c>
      <c r="AJ817">
        <f t="shared" si="225"/>
        <v>5</v>
      </c>
      <c r="AK817">
        <f t="shared" si="218"/>
        <v>4</v>
      </c>
      <c r="AL817">
        <f t="shared" si="226"/>
        <v>4</v>
      </c>
      <c r="AM817" t="str">
        <f t="shared" si="227"/>
        <v>April</v>
      </c>
      <c r="AN817">
        <f t="shared" si="228"/>
        <v>2023</v>
      </c>
      <c r="AO817" t="str">
        <f t="shared" si="229"/>
        <v>&gt;3</v>
      </c>
      <c r="AP817" t="str">
        <f t="shared" si="230"/>
        <v>&gt;3</v>
      </c>
      <c r="AQ817" t="str">
        <f t="shared" si="231"/>
        <v>&lt;=3</v>
      </c>
    </row>
    <row r="818" spans="1:43" x14ac:dyDescent="0.3">
      <c r="A818" t="s">
        <v>33</v>
      </c>
      <c r="B818" t="s">
        <v>513</v>
      </c>
      <c r="C818" t="s">
        <v>562</v>
      </c>
      <c r="D818">
        <v>1635</v>
      </c>
      <c r="E818">
        <v>23310057</v>
      </c>
      <c r="F818" t="s">
        <v>563</v>
      </c>
      <c r="G818" t="s">
        <v>515</v>
      </c>
      <c r="H818">
        <v>2500</v>
      </c>
      <c r="I818">
        <v>26</v>
      </c>
      <c r="J818">
        <v>65000</v>
      </c>
      <c r="K818" s="7" t="str">
        <f>IFERROR(IF(B818&lt;&gt;"", TEXT(VLOOKUP(B818, 'Expected Date'!A:B, 2, FALSE) + DATE(RIGHT(C818,2),MID(C818,4,2),LEFT(C818,2)), "dd/mm/yy"), ""), "")</f>
        <v>02/05/23</v>
      </c>
      <c r="L818" t="s">
        <v>38</v>
      </c>
      <c r="M818" t="s">
        <v>48</v>
      </c>
      <c r="N818" t="s">
        <v>342</v>
      </c>
      <c r="O818" t="s">
        <v>238</v>
      </c>
      <c r="P818">
        <v>23390098</v>
      </c>
      <c r="Q818" t="s">
        <v>563</v>
      </c>
      <c r="R818" t="s">
        <v>515</v>
      </c>
      <c r="S818">
        <v>500</v>
      </c>
      <c r="T818">
        <v>26</v>
      </c>
      <c r="U818">
        <v>13000</v>
      </c>
      <c r="V818" t="str">
        <f t="shared" ref="V818:V846" si="232">V817</f>
        <v>Jhagadia</v>
      </c>
      <c r="W818" t="str">
        <f>VLOOKUP(B818, Currency!A:B, 2, FALSE)</f>
        <v>INR</v>
      </c>
      <c r="X818" t="str">
        <f t="shared" ref="X818:X846" si="233">X817</f>
        <v>Accepted</v>
      </c>
      <c r="Y818">
        <f>IFERROR(VLOOKUP(N818, Payment_Terms!A:B, 2, FALSE), "Payment term not found!")</f>
        <v>30</v>
      </c>
      <c r="Z818" t="str">
        <f>IFERROR(VLOOKUP(R818, Item_Category!A:B, 2, FALSE), "Uncategorized")</f>
        <v xml:space="preserve">Caustic Soda </v>
      </c>
      <c r="AA818" s="5">
        <f t="shared" si="219"/>
        <v>0</v>
      </c>
      <c r="AB818">
        <f t="shared" si="220"/>
        <v>5</v>
      </c>
      <c r="AC818" s="10">
        <f t="shared" si="221"/>
        <v>2</v>
      </c>
      <c r="AD818">
        <f t="shared" si="222"/>
        <v>5</v>
      </c>
      <c r="AE818" s="10">
        <f t="shared" si="223"/>
        <v>4</v>
      </c>
      <c r="AF818" s="5">
        <f t="shared" si="216"/>
        <v>1</v>
      </c>
      <c r="AG818" s="5">
        <f t="shared" si="217"/>
        <v>1</v>
      </c>
      <c r="AH818" s="5">
        <f t="shared" si="224"/>
        <v>0</v>
      </c>
      <c r="AI818">
        <f>IF(B818&lt;&gt;"", COUNTIFS($B$2:B818, B818), "")</f>
        <v>23</v>
      </c>
      <c r="AJ818">
        <f t="shared" si="225"/>
        <v>5</v>
      </c>
      <c r="AK818">
        <f t="shared" si="218"/>
        <v>5</v>
      </c>
      <c r="AL818">
        <f t="shared" si="226"/>
        <v>4</v>
      </c>
      <c r="AM818" t="str">
        <f t="shared" si="227"/>
        <v>April</v>
      </c>
      <c r="AN818">
        <f t="shared" si="228"/>
        <v>2023</v>
      </c>
      <c r="AO818" t="str">
        <f t="shared" si="229"/>
        <v>&gt;3</v>
      </c>
      <c r="AP818" t="str">
        <f t="shared" si="230"/>
        <v>&gt;3</v>
      </c>
      <c r="AQ818" t="str">
        <f t="shared" si="231"/>
        <v>&gt;3</v>
      </c>
    </row>
    <row r="819" spans="1:43" x14ac:dyDescent="0.3">
      <c r="A819" t="s">
        <v>33</v>
      </c>
      <c r="B819" t="s">
        <v>366</v>
      </c>
      <c r="C819" t="s">
        <v>172</v>
      </c>
      <c r="D819">
        <v>1180</v>
      </c>
      <c r="E819">
        <v>23310003</v>
      </c>
      <c r="F819" t="s">
        <v>569</v>
      </c>
      <c r="G819" t="s">
        <v>570</v>
      </c>
      <c r="H819">
        <v>60</v>
      </c>
      <c r="I819">
        <v>10857.14</v>
      </c>
      <c r="J819">
        <v>651428.4</v>
      </c>
      <c r="K819" s="7" t="str">
        <f>IFERROR(IF(B819&lt;&gt;"", TEXT(VLOOKUP(B819, 'Expected Date'!A:B, 2, FALSE) + DATE(RIGHT(C819,2),MID(C819,4,2),LEFT(C819,2)), "dd/mm/yy"), ""), "")</f>
        <v>08/04/23</v>
      </c>
      <c r="L819" t="s">
        <v>68</v>
      </c>
      <c r="M819" t="s">
        <v>48</v>
      </c>
      <c r="N819" t="s">
        <v>574</v>
      </c>
      <c r="O819" t="s">
        <v>604</v>
      </c>
      <c r="P819">
        <v>23390004</v>
      </c>
      <c r="Q819" t="s">
        <v>569</v>
      </c>
      <c r="R819" t="s">
        <v>570</v>
      </c>
      <c r="S819">
        <v>22.6</v>
      </c>
      <c r="T819">
        <v>10857.14</v>
      </c>
      <c r="U819">
        <v>245371.36</v>
      </c>
      <c r="V819" t="str">
        <f t="shared" si="232"/>
        <v>Jhagadia</v>
      </c>
      <c r="W819" t="str">
        <f>VLOOKUP(B819, Currency!A:B, 2, FALSE)</f>
        <v>INR</v>
      </c>
      <c r="X819" t="str">
        <f t="shared" si="233"/>
        <v>Accepted</v>
      </c>
      <c r="Y819">
        <f>IFERROR(VLOOKUP(N819, Payment_Terms!A:B, 2, FALSE), "Payment term not found!")</f>
        <v>0</v>
      </c>
      <c r="Z819" t="str">
        <f>IFERROR(VLOOKUP(R819, Item_Category!A:B, 2, FALSE), "Uncategorized")</f>
        <v>Coal materials</v>
      </c>
      <c r="AA819" s="5">
        <f t="shared" si="219"/>
        <v>0.16166666666666671</v>
      </c>
      <c r="AB819">
        <f t="shared" si="220"/>
        <v>1</v>
      </c>
      <c r="AC819" s="10">
        <f t="shared" si="221"/>
        <v>-6</v>
      </c>
      <c r="AD819">
        <f t="shared" si="222"/>
        <v>5</v>
      </c>
      <c r="AE819" s="10">
        <f t="shared" si="223"/>
        <v>4</v>
      </c>
      <c r="AF819" s="5">
        <f t="shared" si="216"/>
        <v>1</v>
      </c>
      <c r="AG819" s="5">
        <f t="shared" si="217"/>
        <v>1</v>
      </c>
      <c r="AH819" s="5">
        <f t="shared" si="224"/>
        <v>0</v>
      </c>
      <c r="AI819">
        <f>IF(B819&lt;&gt;"", COUNTIFS($B$2:B819, B819), "")</f>
        <v>107</v>
      </c>
      <c r="AJ819">
        <f t="shared" si="225"/>
        <v>5</v>
      </c>
      <c r="AK819">
        <f t="shared" si="218"/>
        <v>4</v>
      </c>
      <c r="AL819">
        <f t="shared" si="226"/>
        <v>4</v>
      </c>
      <c r="AM819" t="str">
        <f t="shared" si="227"/>
        <v>April</v>
      </c>
      <c r="AN819">
        <f t="shared" si="228"/>
        <v>2023</v>
      </c>
      <c r="AO819" t="str">
        <f t="shared" si="229"/>
        <v>&gt;3</v>
      </c>
      <c r="AP819" t="str">
        <f t="shared" si="230"/>
        <v>&lt;=3</v>
      </c>
      <c r="AQ819" t="str">
        <f t="shared" si="231"/>
        <v>&gt;3</v>
      </c>
    </row>
    <row r="820" spans="1:43" x14ac:dyDescent="0.3">
      <c r="A820" t="s">
        <v>33</v>
      </c>
      <c r="B820" t="s">
        <v>386</v>
      </c>
      <c r="C820" t="s">
        <v>432</v>
      </c>
      <c r="D820">
        <v>2200</v>
      </c>
      <c r="E820">
        <v>23310139</v>
      </c>
      <c r="F820" t="s">
        <v>567</v>
      </c>
      <c r="G820" t="s">
        <v>568</v>
      </c>
      <c r="H820">
        <v>887</v>
      </c>
      <c r="I820">
        <v>133</v>
      </c>
      <c r="J820">
        <v>117971</v>
      </c>
      <c r="K820" s="7" t="str">
        <f>IFERROR(IF(B820&lt;&gt;"", TEXT(VLOOKUP(B820, 'Expected Date'!A:B, 2, FALSE) + DATE(RIGHT(C820,2),MID(C820,4,2),LEFT(C820,2)), "dd/mm/yy"), ""), "")</f>
        <v>27/05/23</v>
      </c>
      <c r="L820" t="s">
        <v>38</v>
      </c>
      <c r="M820" t="s">
        <v>39</v>
      </c>
      <c r="N820" t="s">
        <v>318</v>
      </c>
      <c r="O820" t="s">
        <v>239</v>
      </c>
      <c r="P820">
        <v>23390200</v>
      </c>
      <c r="Q820" t="s">
        <v>567</v>
      </c>
      <c r="R820" t="s">
        <v>568</v>
      </c>
      <c r="S820">
        <v>887</v>
      </c>
      <c r="T820">
        <v>133</v>
      </c>
      <c r="U820">
        <v>117971</v>
      </c>
      <c r="V820" t="str">
        <f t="shared" si="232"/>
        <v>Jhagadia</v>
      </c>
      <c r="W820" t="str">
        <f>VLOOKUP(B820, Currency!A:B, 2, FALSE)</f>
        <v>INR</v>
      </c>
      <c r="X820" t="str">
        <f t="shared" si="233"/>
        <v>Accepted</v>
      </c>
      <c r="Y820">
        <f>IFERROR(VLOOKUP(N820, Payment_Terms!A:B, 2, FALSE), "Payment term not found!")</f>
        <v>30</v>
      </c>
      <c r="Z820" t="str">
        <f>IFERROR(VLOOKUP(R820, Item_Category!A:B, 2, FALSE), "Uncategorized")</f>
        <v>Liner</v>
      </c>
      <c r="AA820" s="5">
        <f t="shared" si="219"/>
        <v>0</v>
      </c>
      <c r="AB820">
        <f t="shared" si="220"/>
        <v>5</v>
      </c>
      <c r="AC820" s="10">
        <f t="shared" si="221"/>
        <v>-3</v>
      </c>
      <c r="AD820">
        <f t="shared" si="222"/>
        <v>5</v>
      </c>
      <c r="AE820" s="10">
        <f t="shared" si="223"/>
        <v>2</v>
      </c>
      <c r="AF820" s="5">
        <f t="shared" si="216"/>
        <v>1</v>
      </c>
      <c r="AG820" s="5">
        <f t="shared" si="217"/>
        <v>1</v>
      </c>
      <c r="AH820" s="5">
        <f t="shared" si="224"/>
        <v>0</v>
      </c>
      <c r="AI820">
        <f>IF(B820&lt;&gt;"", COUNTIFS($B$2:B820, B820), "")</f>
        <v>56</v>
      </c>
      <c r="AJ820">
        <f t="shared" si="225"/>
        <v>5</v>
      </c>
      <c r="AK820">
        <f t="shared" si="218"/>
        <v>5</v>
      </c>
      <c r="AL820">
        <f t="shared" si="226"/>
        <v>5</v>
      </c>
      <c r="AM820" t="str">
        <f t="shared" si="227"/>
        <v>May</v>
      </c>
      <c r="AN820">
        <f t="shared" si="228"/>
        <v>2023</v>
      </c>
      <c r="AO820" t="str">
        <f t="shared" si="229"/>
        <v>&gt;3</v>
      </c>
      <c r="AP820" t="str">
        <f t="shared" si="230"/>
        <v>&gt;3</v>
      </c>
      <c r="AQ820" t="str">
        <f t="shared" si="231"/>
        <v>&gt;3</v>
      </c>
    </row>
    <row r="821" spans="1:43" x14ac:dyDescent="0.3">
      <c r="A821" t="s">
        <v>33</v>
      </c>
      <c r="B821" t="s">
        <v>371</v>
      </c>
      <c r="C821" t="s">
        <v>58</v>
      </c>
      <c r="D821">
        <v>3582</v>
      </c>
      <c r="E821">
        <v>23310288</v>
      </c>
      <c r="F821" t="s">
        <v>552</v>
      </c>
      <c r="G821" t="s">
        <v>373</v>
      </c>
      <c r="H821">
        <v>20</v>
      </c>
      <c r="I821">
        <v>1700</v>
      </c>
      <c r="J821">
        <v>34000</v>
      </c>
      <c r="K821" s="7" t="str">
        <f>IFERROR(IF(B821&lt;&gt;"", TEXT(VLOOKUP(B821, 'Expected Date'!A:B, 2, FALSE) + DATE(RIGHT(C821,2),MID(C821,4,2),LEFT(C821,2)), "dd/mm/yy"), ""), "")</f>
        <v>06/08/23</v>
      </c>
      <c r="L821" t="s">
        <v>38</v>
      </c>
      <c r="M821" t="s">
        <v>48</v>
      </c>
      <c r="N821" t="s">
        <v>318</v>
      </c>
      <c r="O821" t="s">
        <v>52</v>
      </c>
      <c r="P821">
        <v>23390436</v>
      </c>
      <c r="Q821" t="s">
        <v>552</v>
      </c>
      <c r="R821" t="s">
        <v>373</v>
      </c>
      <c r="S821">
        <v>10.1</v>
      </c>
      <c r="T821">
        <v>1700</v>
      </c>
      <c r="U821">
        <v>17170</v>
      </c>
      <c r="V821" t="str">
        <f t="shared" si="232"/>
        <v>Jhagadia</v>
      </c>
      <c r="W821" t="str">
        <f>VLOOKUP(B821, Currency!A:B, 2, FALSE)</f>
        <v>INR</v>
      </c>
      <c r="X821" t="str">
        <f t="shared" si="233"/>
        <v>Accepted</v>
      </c>
      <c r="Y821">
        <f>IFERROR(VLOOKUP(N821, Payment_Terms!A:B, 2, FALSE), "Payment term not found!")</f>
        <v>30</v>
      </c>
      <c r="Z821" t="str">
        <f>IFERROR(VLOOKUP(R821, Item_Category!A:B, 2, FALSE), "Uncategorized")</f>
        <v>HCL</v>
      </c>
      <c r="AA821" s="5">
        <f t="shared" si="219"/>
        <v>0</v>
      </c>
      <c r="AB821">
        <f t="shared" si="220"/>
        <v>5</v>
      </c>
      <c r="AC821" s="10">
        <f t="shared" si="221"/>
        <v>10</v>
      </c>
      <c r="AD821">
        <f t="shared" si="222"/>
        <v>2</v>
      </c>
      <c r="AE821" s="10">
        <f t="shared" si="223"/>
        <v>15</v>
      </c>
      <c r="AF821" s="5">
        <f t="shared" si="216"/>
        <v>1</v>
      </c>
      <c r="AG821" s="5">
        <f t="shared" si="217"/>
        <v>1</v>
      </c>
      <c r="AH821" s="5">
        <f t="shared" si="224"/>
        <v>0</v>
      </c>
      <c r="AI821">
        <f>IF(B821&lt;&gt;"", COUNTIFS($B$2:B821, B821), "")</f>
        <v>24</v>
      </c>
      <c r="AJ821">
        <f t="shared" si="225"/>
        <v>5</v>
      </c>
      <c r="AK821">
        <f t="shared" si="218"/>
        <v>5</v>
      </c>
      <c r="AL821">
        <f t="shared" si="226"/>
        <v>8</v>
      </c>
      <c r="AM821" t="str">
        <f t="shared" si="227"/>
        <v>August</v>
      </c>
      <c r="AN821">
        <f t="shared" si="228"/>
        <v>2023</v>
      </c>
      <c r="AO821" t="str">
        <f t="shared" si="229"/>
        <v>&gt;3</v>
      </c>
      <c r="AP821" t="str">
        <f t="shared" si="230"/>
        <v>&gt;3</v>
      </c>
      <c r="AQ821" t="str">
        <f t="shared" si="231"/>
        <v>&lt;=3</v>
      </c>
    </row>
    <row r="822" spans="1:43" x14ac:dyDescent="0.3">
      <c r="A822" t="s">
        <v>33</v>
      </c>
      <c r="B822" t="s">
        <v>395</v>
      </c>
      <c r="C822" t="s">
        <v>416</v>
      </c>
      <c r="D822">
        <v>2024</v>
      </c>
      <c r="E822">
        <v>23310112</v>
      </c>
      <c r="F822" t="s">
        <v>569</v>
      </c>
      <c r="G822" t="s">
        <v>570</v>
      </c>
      <c r="H822">
        <v>100</v>
      </c>
      <c r="I822">
        <v>11523.81</v>
      </c>
      <c r="J822">
        <v>1152381</v>
      </c>
      <c r="K822" s="7" t="str">
        <f>IFERROR(IF(B822&lt;&gt;"", TEXT(VLOOKUP(B822, 'Expected Date'!A:B, 2, FALSE) + DATE(RIGHT(C822,2),MID(C822,4,2),LEFT(C822,2)), "dd/mm/yy"), ""), "")</f>
        <v>25/05/23</v>
      </c>
      <c r="L822" t="s">
        <v>38</v>
      </c>
      <c r="M822" t="s">
        <v>48</v>
      </c>
      <c r="N822" t="s">
        <v>342</v>
      </c>
      <c r="O822" t="s">
        <v>138</v>
      </c>
      <c r="P822">
        <v>23390191</v>
      </c>
      <c r="Q822" t="s">
        <v>569</v>
      </c>
      <c r="R822" t="s">
        <v>570</v>
      </c>
      <c r="S822">
        <v>23.27</v>
      </c>
      <c r="T822">
        <v>11523.81</v>
      </c>
      <c r="U822">
        <v>268159.06</v>
      </c>
      <c r="V822" t="str">
        <f t="shared" si="232"/>
        <v>Jhagadia</v>
      </c>
      <c r="W822" t="str">
        <f>VLOOKUP(B822, Currency!A:B, 2, FALSE)</f>
        <v>INR</v>
      </c>
      <c r="X822" t="str">
        <f t="shared" si="233"/>
        <v>Accepted</v>
      </c>
      <c r="Y822">
        <f>IFERROR(VLOOKUP(N822, Payment_Terms!A:B, 2, FALSE), "Payment term not found!")</f>
        <v>30</v>
      </c>
      <c r="Z822" t="str">
        <f>IFERROR(VLOOKUP(R822, Item_Category!A:B, 2, FALSE), "Uncategorized")</f>
        <v>Coal materials</v>
      </c>
      <c r="AA822" s="5">
        <f t="shared" si="219"/>
        <v>0</v>
      </c>
      <c r="AB822">
        <f t="shared" si="220"/>
        <v>5</v>
      </c>
      <c r="AC822" s="10">
        <f t="shared" si="221"/>
        <v>3</v>
      </c>
      <c r="AD822">
        <f t="shared" si="222"/>
        <v>4</v>
      </c>
      <c r="AE822" s="10">
        <f t="shared" si="223"/>
        <v>8</v>
      </c>
      <c r="AF822" s="5">
        <f t="shared" si="216"/>
        <v>1</v>
      </c>
      <c r="AG822" s="5">
        <f t="shared" si="217"/>
        <v>1</v>
      </c>
      <c r="AH822" s="5">
        <f t="shared" si="224"/>
        <v>0</v>
      </c>
      <c r="AI822">
        <f>IF(B822&lt;&gt;"", COUNTIFS($B$2:B822, B822), "")</f>
        <v>34</v>
      </c>
      <c r="AJ822">
        <f t="shared" si="225"/>
        <v>5</v>
      </c>
      <c r="AK822">
        <f t="shared" si="218"/>
        <v>5</v>
      </c>
      <c r="AL822">
        <f t="shared" si="226"/>
        <v>5</v>
      </c>
      <c r="AM822" t="str">
        <f t="shared" si="227"/>
        <v>May</v>
      </c>
      <c r="AN822">
        <f t="shared" si="228"/>
        <v>2023</v>
      </c>
      <c r="AO822" t="str">
        <f t="shared" si="229"/>
        <v>&gt;3</v>
      </c>
      <c r="AP822" t="str">
        <f t="shared" si="230"/>
        <v>&gt;3</v>
      </c>
      <c r="AQ822" t="str">
        <f t="shared" si="231"/>
        <v>&gt;3</v>
      </c>
    </row>
    <row r="823" spans="1:43" x14ac:dyDescent="0.3">
      <c r="A823" t="str">
        <f>A632</f>
        <v>Woodpulp</v>
      </c>
      <c r="B823" t="s">
        <v>289</v>
      </c>
      <c r="C823" t="s">
        <v>168</v>
      </c>
      <c r="D823">
        <v>1303</v>
      </c>
      <c r="E823">
        <v>23320007</v>
      </c>
      <c r="F823" t="s">
        <v>575</v>
      </c>
      <c r="G823" t="s">
        <v>291</v>
      </c>
      <c r="H823">
        <v>200000</v>
      </c>
      <c r="I823">
        <v>64.099999999999994</v>
      </c>
      <c r="J823">
        <v>12820000</v>
      </c>
      <c r="K823" s="7" t="str">
        <f>IFERROR(IF(B823&lt;&gt;"", TEXT(VLOOKUP(B823, 'Expected Date'!A:B, 2, FALSE) + DATE(RIGHT(C823,2),MID(C823,4,2),LEFT(C823,2)), "dd/mm/yy"), ""), "")</f>
        <v>17/05/23</v>
      </c>
      <c r="L823" t="s">
        <v>38</v>
      </c>
      <c r="M823" t="str">
        <f>M730</f>
        <v>MT</v>
      </c>
      <c r="N823" t="s">
        <v>292</v>
      </c>
      <c r="O823" t="s">
        <v>419</v>
      </c>
      <c r="P823">
        <v>23390060</v>
      </c>
      <c r="Q823" t="s">
        <v>575</v>
      </c>
      <c r="R823" t="s">
        <v>291</v>
      </c>
      <c r="S823">
        <v>28156</v>
      </c>
      <c r="T823">
        <v>64.099999999999994</v>
      </c>
      <c r="U823">
        <v>1804799.6</v>
      </c>
      <c r="V823" t="str">
        <f t="shared" si="232"/>
        <v>Jhagadia</v>
      </c>
      <c r="W823" t="str">
        <f>VLOOKUP(B823, Currency!A:B, 2, FALSE)</f>
        <v>INR</v>
      </c>
      <c r="X823" t="str">
        <f t="shared" si="233"/>
        <v>Accepted</v>
      </c>
      <c r="Y823">
        <f>IFERROR(VLOOKUP(N823, Payment_Terms!A:B, 2, FALSE), "Payment term not found!")</f>
        <v>0</v>
      </c>
      <c r="Z823" t="str">
        <f>IFERROR(VLOOKUP(R823, Item_Category!A:B, 2, FALSE), "Uncategorized")</f>
        <v>Wood pulp</v>
      </c>
      <c r="AA823" s="5">
        <f t="shared" si="219"/>
        <v>0</v>
      </c>
      <c r="AB823">
        <f t="shared" si="220"/>
        <v>5</v>
      </c>
      <c r="AC823" s="10">
        <f t="shared" si="221"/>
        <v>-25</v>
      </c>
      <c r="AD823">
        <f t="shared" si="222"/>
        <v>5</v>
      </c>
      <c r="AE823" s="10">
        <f t="shared" si="223"/>
        <v>5</v>
      </c>
      <c r="AF823" s="5">
        <f t="shared" si="216"/>
        <v>1</v>
      </c>
      <c r="AG823" s="5">
        <f t="shared" si="217"/>
        <v>1</v>
      </c>
      <c r="AH823" s="5">
        <f t="shared" si="224"/>
        <v>0</v>
      </c>
      <c r="AI823">
        <f>IF(B823&lt;&gt;"", COUNTIFS($B$2:B823, B823), "")</f>
        <v>32</v>
      </c>
      <c r="AJ823">
        <f t="shared" si="225"/>
        <v>5</v>
      </c>
      <c r="AK823">
        <f t="shared" si="218"/>
        <v>5</v>
      </c>
      <c r="AL823">
        <f t="shared" si="226"/>
        <v>4</v>
      </c>
      <c r="AM823" t="str">
        <f t="shared" si="227"/>
        <v>April</v>
      </c>
      <c r="AN823">
        <f t="shared" si="228"/>
        <v>2023</v>
      </c>
      <c r="AO823" t="str">
        <f t="shared" si="229"/>
        <v>&gt;3</v>
      </c>
      <c r="AP823" t="str">
        <f t="shared" si="230"/>
        <v>&gt;3</v>
      </c>
      <c r="AQ823" t="str">
        <f t="shared" si="231"/>
        <v>&gt;3</v>
      </c>
    </row>
    <row r="824" spans="1:43" x14ac:dyDescent="0.3">
      <c r="A824" t="s">
        <v>33</v>
      </c>
      <c r="B824" t="s">
        <v>122</v>
      </c>
      <c r="C824" t="s">
        <v>562</v>
      </c>
      <c r="D824">
        <v>1639</v>
      </c>
      <c r="E824">
        <v>23310061</v>
      </c>
      <c r="F824" t="s">
        <v>565</v>
      </c>
      <c r="G824" t="s">
        <v>566</v>
      </c>
      <c r="H824">
        <v>200</v>
      </c>
      <c r="I824">
        <v>930</v>
      </c>
      <c r="J824">
        <v>186000</v>
      </c>
      <c r="K824" s="7" t="str">
        <f>IFERROR(IF(B824&lt;&gt;"", TEXT(VLOOKUP(B824, 'Expected Date'!A:B, 2, FALSE) + DATE(RIGHT(C824,2),MID(C824,4,2),LEFT(C824,2)), "dd/mm/yy"), ""), "")</f>
        <v>15/05/23</v>
      </c>
      <c r="L824" t="s">
        <v>38</v>
      </c>
      <c r="M824" t="s">
        <v>39</v>
      </c>
      <c r="N824" t="s">
        <v>318</v>
      </c>
      <c r="O824" t="s">
        <v>134</v>
      </c>
      <c r="P824">
        <v>23390229</v>
      </c>
      <c r="Q824" t="s">
        <v>565</v>
      </c>
      <c r="R824" t="s">
        <v>566</v>
      </c>
      <c r="S824">
        <v>30</v>
      </c>
      <c r="T824">
        <v>930</v>
      </c>
      <c r="U824">
        <v>27900</v>
      </c>
      <c r="V824" t="str">
        <f t="shared" si="232"/>
        <v>Jhagadia</v>
      </c>
      <c r="W824" t="str">
        <f>VLOOKUP(B824, Currency!A:B, 2, FALSE)</f>
        <v>INR</v>
      </c>
      <c r="X824" t="str">
        <f t="shared" si="233"/>
        <v>Accepted</v>
      </c>
      <c r="Y824">
        <f>IFERROR(VLOOKUP(N824, Payment_Terms!A:B, 2, FALSE), "Payment term not found!")</f>
        <v>30</v>
      </c>
      <c r="Z824" t="str">
        <f>IFERROR(VLOOKUP(R824, Item_Category!A:B, 2, FALSE), "Uncategorized")</f>
        <v>Pallets</v>
      </c>
      <c r="AA824" s="5">
        <f t="shared" si="219"/>
        <v>0</v>
      </c>
      <c r="AB824">
        <f t="shared" si="220"/>
        <v>5</v>
      </c>
      <c r="AC824" s="10">
        <f t="shared" si="221"/>
        <v>24</v>
      </c>
      <c r="AD824">
        <f t="shared" si="222"/>
        <v>1</v>
      </c>
      <c r="AE824" s="10">
        <f t="shared" si="223"/>
        <v>39</v>
      </c>
      <c r="AF824" s="5">
        <f t="shared" si="216"/>
        <v>1</v>
      </c>
      <c r="AG824" s="5">
        <f t="shared" si="217"/>
        <v>1</v>
      </c>
      <c r="AH824" s="5">
        <f t="shared" si="224"/>
        <v>0</v>
      </c>
      <c r="AI824">
        <f>IF(B824&lt;&gt;"", COUNTIFS($B$2:B824, B824), "")</f>
        <v>48</v>
      </c>
      <c r="AJ824">
        <f t="shared" si="225"/>
        <v>5</v>
      </c>
      <c r="AK824">
        <f t="shared" si="218"/>
        <v>4</v>
      </c>
      <c r="AL824">
        <f t="shared" si="226"/>
        <v>4</v>
      </c>
      <c r="AM824" t="str">
        <f t="shared" si="227"/>
        <v>April</v>
      </c>
      <c r="AN824">
        <f t="shared" si="228"/>
        <v>2023</v>
      </c>
      <c r="AO824" t="str">
        <f t="shared" si="229"/>
        <v>&gt;3</v>
      </c>
      <c r="AP824" t="str">
        <f t="shared" si="230"/>
        <v>&gt;3</v>
      </c>
      <c r="AQ824" t="str">
        <f t="shared" si="231"/>
        <v>&lt;=3</v>
      </c>
    </row>
    <row r="825" spans="1:43" x14ac:dyDescent="0.3">
      <c r="A825" t="s">
        <v>33</v>
      </c>
      <c r="B825" t="s">
        <v>366</v>
      </c>
      <c r="C825" t="s">
        <v>89</v>
      </c>
      <c r="D825">
        <v>2849</v>
      </c>
      <c r="E825">
        <v>23310223</v>
      </c>
      <c r="F825" t="s">
        <v>569</v>
      </c>
      <c r="G825" t="s">
        <v>570</v>
      </c>
      <c r="H825">
        <v>100</v>
      </c>
      <c r="I825">
        <v>11333.33</v>
      </c>
      <c r="J825">
        <v>1133333</v>
      </c>
      <c r="K825" s="7" t="str">
        <f>IFERROR(IF(B825&lt;&gt;"", TEXT(VLOOKUP(B825, 'Expected Date'!A:B, 2, FALSE) + DATE(RIGHT(C825,2),MID(C825,4,2),LEFT(C825,2)), "dd/mm/yy"), ""), "")</f>
        <v>07/07/23</v>
      </c>
      <c r="L825" t="s">
        <v>68</v>
      </c>
      <c r="M825" t="s">
        <v>48</v>
      </c>
      <c r="N825" t="s">
        <v>574</v>
      </c>
      <c r="O825" t="s">
        <v>90</v>
      </c>
      <c r="P825">
        <v>23390294</v>
      </c>
      <c r="Q825" t="s">
        <v>569</v>
      </c>
      <c r="R825" t="s">
        <v>570</v>
      </c>
      <c r="S825">
        <v>31.64</v>
      </c>
      <c r="T825">
        <v>11333.33</v>
      </c>
      <c r="U825">
        <v>358586.56</v>
      </c>
      <c r="V825" t="str">
        <f t="shared" si="232"/>
        <v>Jhagadia</v>
      </c>
      <c r="W825" t="str">
        <f>VLOOKUP(B825, Currency!A:B, 2, FALSE)</f>
        <v>INR</v>
      </c>
      <c r="X825" t="str">
        <f t="shared" si="233"/>
        <v>Accepted</v>
      </c>
      <c r="Y825">
        <f>IFERROR(VLOOKUP(N825, Payment_Terms!A:B, 2, FALSE), "Payment term not found!")</f>
        <v>0</v>
      </c>
      <c r="Z825" t="str">
        <f>IFERROR(VLOOKUP(R825, Item_Category!A:B, 2, FALSE), "Uncategorized")</f>
        <v>Coal materials</v>
      </c>
      <c r="AA825" s="5">
        <f t="shared" si="219"/>
        <v>0.68359999999999999</v>
      </c>
      <c r="AB825">
        <f t="shared" si="220"/>
        <v>1</v>
      </c>
      <c r="AC825" s="10">
        <f t="shared" si="221"/>
        <v>-1</v>
      </c>
      <c r="AD825">
        <f t="shared" si="222"/>
        <v>5</v>
      </c>
      <c r="AE825" s="10">
        <f t="shared" si="223"/>
        <v>1</v>
      </c>
      <c r="AF825" s="5">
        <f t="shared" si="216"/>
        <v>1</v>
      </c>
      <c r="AG825" s="5">
        <f t="shared" si="217"/>
        <v>1</v>
      </c>
      <c r="AH825" s="5">
        <f t="shared" si="224"/>
        <v>0</v>
      </c>
      <c r="AI825">
        <f>IF(B825&lt;&gt;"", COUNTIFS($B$2:B825, B825), "")</f>
        <v>108</v>
      </c>
      <c r="AJ825">
        <f t="shared" si="225"/>
        <v>5</v>
      </c>
      <c r="AK825">
        <f t="shared" si="218"/>
        <v>4</v>
      </c>
      <c r="AL825">
        <f t="shared" si="226"/>
        <v>7</v>
      </c>
      <c r="AM825" t="str">
        <f t="shared" si="227"/>
        <v>July</v>
      </c>
      <c r="AN825">
        <f t="shared" si="228"/>
        <v>2023</v>
      </c>
      <c r="AO825" t="str">
        <f t="shared" si="229"/>
        <v>&gt;3</v>
      </c>
      <c r="AP825" t="str">
        <f t="shared" si="230"/>
        <v>&lt;=3</v>
      </c>
      <c r="AQ825" t="str">
        <f t="shared" si="231"/>
        <v>&gt;3</v>
      </c>
    </row>
    <row r="826" spans="1:43" x14ac:dyDescent="0.3">
      <c r="A826" t="s">
        <v>33</v>
      </c>
      <c r="B826" t="s">
        <v>366</v>
      </c>
      <c r="C826" t="s">
        <v>468</v>
      </c>
      <c r="D826">
        <v>2574</v>
      </c>
      <c r="E826">
        <v>23310194</v>
      </c>
      <c r="F826" t="s">
        <v>569</v>
      </c>
      <c r="G826" t="s">
        <v>570</v>
      </c>
      <c r="H826">
        <v>100</v>
      </c>
      <c r="I826">
        <v>11333.33</v>
      </c>
      <c r="J826">
        <v>1133333</v>
      </c>
      <c r="K826" s="7" t="str">
        <f>IFERROR(IF(B826&lt;&gt;"", TEXT(VLOOKUP(B826, 'Expected Date'!A:B, 2, FALSE) + DATE(RIGHT(C826,2),MID(C826,4,2),LEFT(C826,2)), "dd/mm/yy"), ""), "")</f>
        <v>20/06/23</v>
      </c>
      <c r="L826" t="s">
        <v>38</v>
      </c>
      <c r="M826" t="s">
        <v>48</v>
      </c>
      <c r="N826" t="s">
        <v>574</v>
      </c>
      <c r="O826" t="s">
        <v>60</v>
      </c>
      <c r="P826">
        <v>23390276</v>
      </c>
      <c r="Q826" t="s">
        <v>569</v>
      </c>
      <c r="R826" t="s">
        <v>570</v>
      </c>
      <c r="S826">
        <v>31.26</v>
      </c>
      <c r="T826">
        <v>11333.33</v>
      </c>
      <c r="U826">
        <v>354279.9</v>
      </c>
      <c r="V826" t="str">
        <f t="shared" si="232"/>
        <v>Jhagadia</v>
      </c>
      <c r="W826" t="str">
        <f>VLOOKUP(B826, Currency!A:B, 2, FALSE)</f>
        <v>INR</v>
      </c>
      <c r="X826" t="str">
        <f t="shared" si="233"/>
        <v>Accepted</v>
      </c>
      <c r="Y826">
        <f>IFERROR(VLOOKUP(N826, Payment_Terms!A:B, 2, FALSE), "Payment term not found!")</f>
        <v>0</v>
      </c>
      <c r="Z826" t="str">
        <f>IFERROR(VLOOKUP(R826, Item_Category!A:B, 2, FALSE), "Uncategorized")</f>
        <v>Coal materials</v>
      </c>
      <c r="AA826" s="5">
        <f t="shared" si="219"/>
        <v>0</v>
      </c>
      <c r="AB826">
        <f t="shared" si="220"/>
        <v>5</v>
      </c>
      <c r="AC826" s="10">
        <f t="shared" si="221"/>
        <v>6</v>
      </c>
      <c r="AD826">
        <f t="shared" si="222"/>
        <v>3</v>
      </c>
      <c r="AE826" s="10">
        <f t="shared" si="223"/>
        <v>8</v>
      </c>
      <c r="AF826" s="5">
        <f t="shared" si="216"/>
        <v>1</v>
      </c>
      <c r="AG826" s="5">
        <f t="shared" si="217"/>
        <v>1</v>
      </c>
      <c r="AH826" s="5">
        <f t="shared" si="224"/>
        <v>0</v>
      </c>
      <c r="AI826">
        <f>IF(B826&lt;&gt;"", COUNTIFS($B$2:B826, B826), "")</f>
        <v>109</v>
      </c>
      <c r="AJ826">
        <f t="shared" si="225"/>
        <v>5</v>
      </c>
      <c r="AK826">
        <f t="shared" si="218"/>
        <v>5</v>
      </c>
      <c r="AL826">
        <f t="shared" si="226"/>
        <v>6</v>
      </c>
      <c r="AM826" t="str">
        <f t="shared" si="227"/>
        <v>June</v>
      </c>
      <c r="AN826">
        <f t="shared" si="228"/>
        <v>2023</v>
      </c>
      <c r="AO826" t="str">
        <f t="shared" si="229"/>
        <v>&gt;3</v>
      </c>
      <c r="AP826" t="str">
        <f t="shared" si="230"/>
        <v>&gt;3</v>
      </c>
      <c r="AQ826" t="str">
        <f t="shared" si="231"/>
        <v>&lt;=3</v>
      </c>
    </row>
    <row r="827" spans="1:43" x14ac:dyDescent="0.3">
      <c r="A827" t="s">
        <v>33</v>
      </c>
      <c r="B827" t="s">
        <v>395</v>
      </c>
      <c r="C827" t="s">
        <v>117</v>
      </c>
      <c r="D827">
        <v>3137</v>
      </c>
      <c r="E827">
        <v>23310237</v>
      </c>
      <c r="F827" t="s">
        <v>569</v>
      </c>
      <c r="G827" t="s">
        <v>570</v>
      </c>
      <c r="H827">
        <v>100</v>
      </c>
      <c r="I827">
        <v>9809.52</v>
      </c>
      <c r="J827">
        <v>980952</v>
      </c>
      <c r="K827" s="7" t="str">
        <f>IFERROR(IF(B827&lt;&gt;"", TEXT(VLOOKUP(B827, 'Expected Date'!A:B, 2, FALSE) + DATE(RIGHT(C827,2),MID(C827,4,2),LEFT(C827,2)), "dd/mm/yy"), ""), "")</f>
        <v>12/07/23</v>
      </c>
      <c r="L827" t="s">
        <v>68</v>
      </c>
      <c r="M827" t="s">
        <v>48</v>
      </c>
      <c r="N827" t="s">
        <v>342</v>
      </c>
      <c r="O827" t="s">
        <v>469</v>
      </c>
      <c r="P827">
        <v>23390328</v>
      </c>
      <c r="Q827" t="s">
        <v>569</v>
      </c>
      <c r="R827" t="s">
        <v>570</v>
      </c>
      <c r="S827">
        <v>23.88</v>
      </c>
      <c r="T827">
        <v>9809.52</v>
      </c>
      <c r="U827">
        <v>234251.34</v>
      </c>
      <c r="V827" t="str">
        <f t="shared" si="232"/>
        <v>Jhagadia</v>
      </c>
      <c r="W827" t="str">
        <f>VLOOKUP(B827, Currency!A:B, 2, FALSE)</f>
        <v>INR</v>
      </c>
      <c r="X827" t="str">
        <f t="shared" si="233"/>
        <v>Accepted</v>
      </c>
      <c r="Y827">
        <f>IFERROR(VLOOKUP(N827, Payment_Terms!A:B, 2, FALSE), "Payment term not found!")</f>
        <v>30</v>
      </c>
      <c r="Z827" t="str">
        <f>IFERROR(VLOOKUP(R827, Item_Category!A:B, 2, FALSE), "Uncategorized")</f>
        <v>Coal materials</v>
      </c>
      <c r="AA827" s="5">
        <f t="shared" si="219"/>
        <v>0.47460000000000002</v>
      </c>
      <c r="AB827">
        <f t="shared" si="220"/>
        <v>1</v>
      </c>
      <c r="AC827" s="10">
        <f t="shared" si="221"/>
        <v>1</v>
      </c>
      <c r="AD827">
        <f t="shared" si="222"/>
        <v>5</v>
      </c>
      <c r="AE827" s="10">
        <f t="shared" si="223"/>
        <v>6</v>
      </c>
      <c r="AF827" s="5">
        <f t="shared" si="216"/>
        <v>1</v>
      </c>
      <c r="AG827" s="5">
        <f t="shared" si="217"/>
        <v>1</v>
      </c>
      <c r="AH827" s="5">
        <f t="shared" si="224"/>
        <v>0</v>
      </c>
      <c r="AI827">
        <f>IF(B827&lt;&gt;"", COUNTIFS($B$2:B827, B827), "")</f>
        <v>35</v>
      </c>
      <c r="AJ827">
        <f t="shared" si="225"/>
        <v>5</v>
      </c>
      <c r="AK827">
        <f t="shared" si="218"/>
        <v>4</v>
      </c>
      <c r="AL827">
        <f t="shared" si="226"/>
        <v>7</v>
      </c>
      <c r="AM827" t="str">
        <f t="shared" si="227"/>
        <v>July</v>
      </c>
      <c r="AN827">
        <f t="shared" si="228"/>
        <v>2023</v>
      </c>
      <c r="AO827" t="str">
        <f t="shared" si="229"/>
        <v>&gt;3</v>
      </c>
      <c r="AP827" t="str">
        <f t="shared" si="230"/>
        <v>&lt;=3</v>
      </c>
      <c r="AQ827" t="str">
        <f t="shared" si="231"/>
        <v>&gt;3</v>
      </c>
    </row>
    <row r="828" spans="1:43" x14ac:dyDescent="0.3">
      <c r="A828" t="s">
        <v>33</v>
      </c>
      <c r="B828" t="s">
        <v>513</v>
      </c>
      <c r="C828" t="s">
        <v>58</v>
      </c>
      <c r="D828">
        <v>3493</v>
      </c>
      <c r="E828">
        <v>23310271</v>
      </c>
      <c r="F828" t="s">
        <v>563</v>
      </c>
      <c r="G828" t="s">
        <v>515</v>
      </c>
      <c r="H828">
        <v>2500</v>
      </c>
      <c r="I828">
        <v>24</v>
      </c>
      <c r="J828">
        <v>60000</v>
      </c>
      <c r="K828" s="7" t="str">
        <f>IFERROR(IF(B828&lt;&gt;"", TEXT(VLOOKUP(B828, 'Expected Date'!A:B, 2, FALSE) + DATE(RIGHT(C828,2),MID(C828,4,2),LEFT(C828,2)), "dd/mm/yy"), ""), "")</f>
        <v>03/08/23</v>
      </c>
      <c r="L828" t="s">
        <v>38</v>
      </c>
      <c r="M828" t="s">
        <v>48</v>
      </c>
      <c r="N828" t="s">
        <v>342</v>
      </c>
      <c r="O828" t="s">
        <v>408</v>
      </c>
      <c r="P828">
        <v>23390403</v>
      </c>
      <c r="Q828" t="s">
        <v>563</v>
      </c>
      <c r="R828" t="s">
        <v>515</v>
      </c>
      <c r="S828">
        <v>1000</v>
      </c>
      <c r="T828">
        <v>24</v>
      </c>
      <c r="U828">
        <v>24000</v>
      </c>
      <c r="V828" t="str">
        <f t="shared" si="232"/>
        <v>Jhagadia</v>
      </c>
      <c r="W828" t="str">
        <f>VLOOKUP(B828, Currency!A:B, 2, FALSE)</f>
        <v>INR</v>
      </c>
      <c r="X828" t="str">
        <f t="shared" si="233"/>
        <v>Accepted</v>
      </c>
      <c r="Y828">
        <f>IFERROR(VLOOKUP(N828, Payment_Terms!A:B, 2, FALSE), "Payment term not found!")</f>
        <v>30</v>
      </c>
      <c r="Z828" t="str">
        <f>IFERROR(VLOOKUP(R828, Item_Category!A:B, 2, FALSE), "Uncategorized")</f>
        <v xml:space="preserve">Caustic Soda </v>
      </c>
      <c r="AA828" s="5">
        <f t="shared" si="219"/>
        <v>0</v>
      </c>
      <c r="AB828">
        <f t="shared" si="220"/>
        <v>5</v>
      </c>
      <c r="AC828" s="10">
        <f t="shared" si="221"/>
        <v>5</v>
      </c>
      <c r="AD828">
        <f t="shared" si="222"/>
        <v>3</v>
      </c>
      <c r="AE828" s="10">
        <f t="shared" si="223"/>
        <v>7</v>
      </c>
      <c r="AF828" s="5">
        <f t="shared" si="216"/>
        <v>1</v>
      </c>
      <c r="AG828" s="5">
        <f t="shared" si="217"/>
        <v>1</v>
      </c>
      <c r="AH828" s="5">
        <f t="shared" si="224"/>
        <v>0</v>
      </c>
      <c r="AI828">
        <f>IF(B828&lt;&gt;"", COUNTIFS($B$2:B828, B828), "")</f>
        <v>24</v>
      </c>
      <c r="AJ828">
        <f t="shared" si="225"/>
        <v>5</v>
      </c>
      <c r="AK828">
        <f t="shared" si="218"/>
        <v>5</v>
      </c>
      <c r="AL828">
        <f t="shared" si="226"/>
        <v>8</v>
      </c>
      <c r="AM828" t="str">
        <f t="shared" si="227"/>
        <v>August</v>
      </c>
      <c r="AN828">
        <f t="shared" si="228"/>
        <v>2023</v>
      </c>
      <c r="AO828" t="str">
        <f t="shared" si="229"/>
        <v>&gt;3</v>
      </c>
      <c r="AP828" t="str">
        <f t="shared" si="230"/>
        <v>&gt;3</v>
      </c>
      <c r="AQ828" t="str">
        <f t="shared" si="231"/>
        <v>&lt;=3</v>
      </c>
    </row>
    <row r="829" spans="1:43" x14ac:dyDescent="0.3">
      <c r="A829" t="s">
        <v>33</v>
      </c>
      <c r="B829" t="s">
        <v>122</v>
      </c>
      <c r="C829" t="s">
        <v>397</v>
      </c>
      <c r="D829">
        <v>1189</v>
      </c>
      <c r="E829">
        <v>23310011</v>
      </c>
      <c r="F829" t="s">
        <v>565</v>
      </c>
      <c r="G829" t="s">
        <v>566</v>
      </c>
      <c r="H829">
        <v>160</v>
      </c>
      <c r="I829">
        <v>930</v>
      </c>
      <c r="J829">
        <v>148800</v>
      </c>
      <c r="K829" s="7" t="str">
        <f>IFERROR(IF(B829&lt;&gt;"", TEXT(VLOOKUP(B829, 'Expected Date'!A:B, 2, FALSE) + DATE(RIGHT(C829,2),MID(C829,4,2),LEFT(C829,2)), "dd/mm/yy"), ""), "")</f>
        <v>20/04/23</v>
      </c>
      <c r="L829" t="s">
        <v>38</v>
      </c>
      <c r="M829" t="s">
        <v>39</v>
      </c>
      <c r="N829" t="s">
        <v>318</v>
      </c>
      <c r="O829" t="s">
        <v>605</v>
      </c>
      <c r="P829">
        <v>23390017</v>
      </c>
      <c r="Q829" t="s">
        <v>565</v>
      </c>
      <c r="R829" t="s">
        <v>566</v>
      </c>
      <c r="S829">
        <v>50</v>
      </c>
      <c r="T829">
        <v>930</v>
      </c>
      <c r="U829">
        <v>46500</v>
      </c>
      <c r="V829" t="str">
        <f t="shared" si="232"/>
        <v>Jhagadia</v>
      </c>
      <c r="W829" t="str">
        <f>VLOOKUP(B829, Currency!A:B, 2, FALSE)</f>
        <v>INR</v>
      </c>
      <c r="X829" t="str">
        <f t="shared" si="233"/>
        <v>Accepted</v>
      </c>
      <c r="Y829">
        <f>IFERROR(VLOOKUP(N829, Payment_Terms!A:B, 2, FALSE), "Payment term not found!")</f>
        <v>30</v>
      </c>
      <c r="Z829" t="str">
        <f>IFERROR(VLOOKUP(R829, Item_Category!A:B, 2, FALSE), "Uncategorized")</f>
        <v>Pallets</v>
      </c>
      <c r="AA829" s="5">
        <f t="shared" si="219"/>
        <v>0</v>
      </c>
      <c r="AB829">
        <f t="shared" si="220"/>
        <v>5</v>
      </c>
      <c r="AC829" s="10">
        <f t="shared" si="221"/>
        <v>-12</v>
      </c>
      <c r="AD829">
        <f t="shared" si="222"/>
        <v>5</v>
      </c>
      <c r="AE829" s="10">
        <f t="shared" si="223"/>
        <v>3</v>
      </c>
      <c r="AF829" s="5">
        <f t="shared" si="216"/>
        <v>1</v>
      </c>
      <c r="AG829" s="5">
        <f t="shared" si="217"/>
        <v>1</v>
      </c>
      <c r="AH829" s="5">
        <f t="shared" si="224"/>
        <v>0</v>
      </c>
      <c r="AI829">
        <f>IF(B829&lt;&gt;"", COUNTIFS($B$2:B829, B829), "")</f>
        <v>49</v>
      </c>
      <c r="AJ829">
        <f t="shared" si="225"/>
        <v>5</v>
      </c>
      <c r="AK829">
        <f t="shared" si="218"/>
        <v>5</v>
      </c>
      <c r="AL829">
        <f t="shared" si="226"/>
        <v>4</v>
      </c>
      <c r="AM829" t="str">
        <f t="shared" si="227"/>
        <v>April</v>
      </c>
      <c r="AN829">
        <f t="shared" si="228"/>
        <v>2023</v>
      </c>
      <c r="AO829" t="str">
        <f t="shared" si="229"/>
        <v>&gt;3</v>
      </c>
      <c r="AP829" t="str">
        <f t="shared" si="230"/>
        <v>&gt;3</v>
      </c>
      <c r="AQ829" t="str">
        <f t="shared" si="231"/>
        <v>&gt;3</v>
      </c>
    </row>
    <row r="830" spans="1:43" x14ac:dyDescent="0.3">
      <c r="A830" t="str">
        <f>A632</f>
        <v>Woodpulp</v>
      </c>
      <c r="B830" t="s">
        <v>289</v>
      </c>
      <c r="C830" t="s">
        <v>168</v>
      </c>
      <c r="D830">
        <v>1303</v>
      </c>
      <c r="E830">
        <v>23320007</v>
      </c>
      <c r="F830" t="s">
        <v>575</v>
      </c>
      <c r="G830" t="s">
        <v>291</v>
      </c>
      <c r="H830">
        <v>200000</v>
      </c>
      <c r="I830">
        <v>64.099999999999994</v>
      </c>
      <c r="J830">
        <v>12820000</v>
      </c>
      <c r="K830" s="7" t="str">
        <f>IFERROR(IF(B830&lt;&gt;"", TEXT(VLOOKUP(B830, 'Expected Date'!A:B, 2, FALSE) + DATE(RIGHT(C830,2),MID(C830,4,2),LEFT(C830,2)), "dd/mm/yy"), ""), "")</f>
        <v>17/05/23</v>
      </c>
      <c r="L830" t="s">
        <v>38</v>
      </c>
      <c r="M830" t="str">
        <f>M730</f>
        <v>MT</v>
      </c>
      <c r="N830" t="s">
        <v>292</v>
      </c>
      <c r="O830" t="s">
        <v>80</v>
      </c>
      <c r="P830">
        <v>23390028</v>
      </c>
      <c r="Q830" t="s">
        <v>575</v>
      </c>
      <c r="R830" t="s">
        <v>291</v>
      </c>
      <c r="S830">
        <v>30167</v>
      </c>
      <c r="T830">
        <v>64.099999999999994</v>
      </c>
      <c r="U830">
        <v>1933704.7</v>
      </c>
      <c r="V830" t="str">
        <f t="shared" si="232"/>
        <v>Jhagadia</v>
      </c>
      <c r="W830" t="str">
        <f>VLOOKUP(B830, Currency!A:B, 2, FALSE)</f>
        <v>INR</v>
      </c>
      <c r="X830" t="str">
        <f t="shared" si="233"/>
        <v>Accepted</v>
      </c>
      <c r="Y830">
        <f>IFERROR(VLOOKUP(N830, Payment_Terms!A:B, 2, FALSE), "Payment term not found!")</f>
        <v>0</v>
      </c>
      <c r="Z830" t="str">
        <f>IFERROR(VLOOKUP(R830, Item_Category!A:B, 2, FALSE), "Uncategorized")</f>
        <v>Wood pulp</v>
      </c>
      <c r="AA830" s="5">
        <f t="shared" si="219"/>
        <v>0</v>
      </c>
      <c r="AB830">
        <f t="shared" si="220"/>
        <v>5</v>
      </c>
      <c r="AC830" s="10">
        <f t="shared" si="221"/>
        <v>-33</v>
      </c>
      <c r="AD830">
        <f t="shared" si="222"/>
        <v>5</v>
      </c>
      <c r="AE830" s="10">
        <f t="shared" si="223"/>
        <v>3</v>
      </c>
      <c r="AF830" s="5">
        <f t="shared" si="216"/>
        <v>1</v>
      </c>
      <c r="AG830" s="5">
        <f t="shared" si="217"/>
        <v>1</v>
      </c>
      <c r="AH830" s="5">
        <f t="shared" si="224"/>
        <v>0</v>
      </c>
      <c r="AI830">
        <f>IF(B830&lt;&gt;"", COUNTIFS($B$2:B830, B830), "")</f>
        <v>33</v>
      </c>
      <c r="AJ830">
        <f t="shared" si="225"/>
        <v>5</v>
      </c>
      <c r="AK830">
        <f t="shared" si="218"/>
        <v>5</v>
      </c>
      <c r="AL830">
        <f t="shared" si="226"/>
        <v>4</v>
      </c>
      <c r="AM830" t="str">
        <f t="shared" si="227"/>
        <v>April</v>
      </c>
      <c r="AN830">
        <f t="shared" si="228"/>
        <v>2023</v>
      </c>
      <c r="AO830" t="str">
        <f t="shared" si="229"/>
        <v>&gt;3</v>
      </c>
      <c r="AP830" t="str">
        <f t="shared" si="230"/>
        <v>&gt;3</v>
      </c>
      <c r="AQ830" t="str">
        <f t="shared" si="231"/>
        <v>&gt;3</v>
      </c>
    </row>
    <row r="831" spans="1:43" x14ac:dyDescent="0.3">
      <c r="A831" t="str">
        <f>A632</f>
        <v>Woodpulp</v>
      </c>
      <c r="B831" t="s">
        <v>289</v>
      </c>
      <c r="C831" t="s">
        <v>168</v>
      </c>
      <c r="D831">
        <v>1303</v>
      </c>
      <c r="E831">
        <v>23320007</v>
      </c>
      <c r="F831" t="s">
        <v>575</v>
      </c>
      <c r="G831" t="s">
        <v>291</v>
      </c>
      <c r="H831">
        <v>200000</v>
      </c>
      <c r="I831">
        <v>64.099999999999994</v>
      </c>
      <c r="J831">
        <v>12820000</v>
      </c>
      <c r="K831" s="7" t="str">
        <f>IFERROR(IF(B831&lt;&gt;"", TEXT(VLOOKUP(B831, 'Expected Date'!A:B, 2, FALSE) + DATE(RIGHT(C831,2),MID(C831,4,2),LEFT(C831,2)), "dd/mm/yy"), ""), "")</f>
        <v>17/05/23</v>
      </c>
      <c r="L831" t="s">
        <v>38</v>
      </c>
      <c r="M831" t="str">
        <f>M730</f>
        <v>MT</v>
      </c>
      <c r="N831" t="s">
        <v>292</v>
      </c>
      <c r="O831" t="s">
        <v>378</v>
      </c>
      <c r="P831">
        <v>23390029</v>
      </c>
      <c r="Q831" t="s">
        <v>575</v>
      </c>
      <c r="R831" t="s">
        <v>291</v>
      </c>
      <c r="S831">
        <v>24134</v>
      </c>
      <c r="T831">
        <v>64.099999999999994</v>
      </c>
      <c r="U831">
        <v>1546989.4</v>
      </c>
      <c r="V831" t="str">
        <f t="shared" si="232"/>
        <v>Jhagadia</v>
      </c>
      <c r="W831" t="str">
        <f>VLOOKUP(B831, Currency!A:B, 2, FALSE)</f>
        <v>INR</v>
      </c>
      <c r="X831" t="str">
        <f t="shared" si="233"/>
        <v>Accepted</v>
      </c>
      <c r="Y831">
        <f>IFERROR(VLOOKUP(N831, Payment_Terms!A:B, 2, FALSE), "Payment term not found!")</f>
        <v>0</v>
      </c>
      <c r="Z831" t="str">
        <f>IFERROR(VLOOKUP(R831, Item_Category!A:B, 2, FALSE), "Uncategorized")</f>
        <v>Wood pulp</v>
      </c>
      <c r="AA831" s="5">
        <f t="shared" si="219"/>
        <v>0</v>
      </c>
      <c r="AB831">
        <f t="shared" si="220"/>
        <v>5</v>
      </c>
      <c r="AC831" s="10">
        <f t="shared" si="221"/>
        <v>-32</v>
      </c>
      <c r="AD831">
        <f t="shared" si="222"/>
        <v>5</v>
      </c>
      <c r="AE831" s="10">
        <f t="shared" si="223"/>
        <v>2</v>
      </c>
      <c r="AF831" s="5">
        <f t="shared" si="216"/>
        <v>1</v>
      </c>
      <c r="AG831" s="5">
        <f t="shared" si="217"/>
        <v>1</v>
      </c>
      <c r="AH831" s="5">
        <f t="shared" si="224"/>
        <v>0</v>
      </c>
      <c r="AI831">
        <f>IF(B831&lt;&gt;"", COUNTIFS($B$2:B831, B831), "")</f>
        <v>34</v>
      </c>
      <c r="AJ831">
        <f t="shared" si="225"/>
        <v>5</v>
      </c>
      <c r="AK831">
        <f t="shared" si="218"/>
        <v>5</v>
      </c>
      <c r="AL831">
        <f t="shared" si="226"/>
        <v>4</v>
      </c>
      <c r="AM831" t="str">
        <f t="shared" si="227"/>
        <v>April</v>
      </c>
      <c r="AN831">
        <f t="shared" si="228"/>
        <v>2023</v>
      </c>
      <c r="AO831" t="str">
        <f t="shared" si="229"/>
        <v>&gt;3</v>
      </c>
      <c r="AP831" t="str">
        <f t="shared" si="230"/>
        <v>&gt;3</v>
      </c>
      <c r="AQ831" t="str">
        <f t="shared" si="231"/>
        <v>&gt;3</v>
      </c>
    </row>
    <row r="832" spans="1:43" x14ac:dyDescent="0.3">
      <c r="A832" t="str">
        <f>A632</f>
        <v>Woodpulp</v>
      </c>
      <c r="B832" t="s">
        <v>289</v>
      </c>
      <c r="C832" t="s">
        <v>168</v>
      </c>
      <c r="D832">
        <v>1303</v>
      </c>
      <c r="E832">
        <v>23320007</v>
      </c>
      <c r="F832" t="s">
        <v>575</v>
      </c>
      <c r="G832" t="s">
        <v>291</v>
      </c>
      <c r="H832">
        <v>200000</v>
      </c>
      <c r="I832">
        <v>64.099999999999994</v>
      </c>
      <c r="J832">
        <v>12820000</v>
      </c>
      <c r="K832" s="7" t="str">
        <f>IFERROR(IF(B832&lt;&gt;"", TEXT(VLOOKUP(B832, 'Expected Date'!A:B, 2, FALSE) + DATE(RIGHT(C832,2),MID(C832,4,2),LEFT(C832,2)), "dd/mm/yy"), ""), "")</f>
        <v>17/05/23</v>
      </c>
      <c r="L832" t="s">
        <v>38</v>
      </c>
      <c r="M832" t="str">
        <f>M730</f>
        <v>MT</v>
      </c>
      <c r="N832" t="s">
        <v>292</v>
      </c>
      <c r="O832" t="s">
        <v>417</v>
      </c>
      <c r="P832">
        <v>23390030</v>
      </c>
      <c r="Q832" t="s">
        <v>575</v>
      </c>
      <c r="R832" t="s">
        <v>291</v>
      </c>
      <c r="S832">
        <v>24134</v>
      </c>
      <c r="T832">
        <v>64.099999999999994</v>
      </c>
      <c r="U832">
        <v>1546989.4</v>
      </c>
      <c r="V832" t="str">
        <f t="shared" si="232"/>
        <v>Jhagadia</v>
      </c>
      <c r="W832" t="str">
        <f>VLOOKUP(B832, Currency!A:B, 2, FALSE)</f>
        <v>INR</v>
      </c>
      <c r="X832" t="str">
        <f t="shared" si="233"/>
        <v>Accepted</v>
      </c>
      <c r="Y832">
        <f>IFERROR(VLOOKUP(N832, Payment_Terms!A:B, 2, FALSE), "Payment term not found!")</f>
        <v>0</v>
      </c>
      <c r="Z832" t="str">
        <f>IFERROR(VLOOKUP(R832, Item_Category!A:B, 2, FALSE), "Uncategorized")</f>
        <v>Wood pulp</v>
      </c>
      <c r="AA832" s="5">
        <f t="shared" si="219"/>
        <v>0</v>
      </c>
      <c r="AB832">
        <f t="shared" si="220"/>
        <v>5</v>
      </c>
      <c r="AC832" s="10">
        <f t="shared" si="221"/>
        <v>-31</v>
      </c>
      <c r="AD832">
        <f t="shared" si="222"/>
        <v>5</v>
      </c>
      <c r="AE832" s="10">
        <f t="shared" si="223"/>
        <v>1</v>
      </c>
      <c r="AF832" s="5">
        <f t="shared" si="216"/>
        <v>1</v>
      </c>
      <c r="AG832" s="5">
        <f t="shared" si="217"/>
        <v>1</v>
      </c>
      <c r="AH832" s="5">
        <f t="shared" si="224"/>
        <v>0</v>
      </c>
      <c r="AI832">
        <f>IF(B832&lt;&gt;"", COUNTIFS($B$2:B832, B832), "")</f>
        <v>35</v>
      </c>
      <c r="AJ832">
        <f t="shared" si="225"/>
        <v>5</v>
      </c>
      <c r="AK832">
        <f t="shared" si="218"/>
        <v>5</v>
      </c>
      <c r="AL832">
        <f t="shared" si="226"/>
        <v>4</v>
      </c>
      <c r="AM832" t="str">
        <f t="shared" si="227"/>
        <v>April</v>
      </c>
      <c r="AN832">
        <f t="shared" si="228"/>
        <v>2023</v>
      </c>
      <c r="AO832" t="str">
        <f t="shared" si="229"/>
        <v>&gt;3</v>
      </c>
      <c r="AP832" t="str">
        <f t="shared" si="230"/>
        <v>&gt;3</v>
      </c>
      <c r="AQ832" t="str">
        <f t="shared" si="231"/>
        <v>&gt;3</v>
      </c>
    </row>
    <row r="833" spans="1:43" x14ac:dyDescent="0.3">
      <c r="A833" t="str">
        <f>A632</f>
        <v>Woodpulp</v>
      </c>
      <c r="B833" t="s">
        <v>289</v>
      </c>
      <c r="C833" t="s">
        <v>168</v>
      </c>
      <c r="D833">
        <v>1303</v>
      </c>
      <c r="E833">
        <v>23320007</v>
      </c>
      <c r="F833" t="s">
        <v>575</v>
      </c>
      <c r="G833" t="s">
        <v>291</v>
      </c>
      <c r="H833">
        <v>200000</v>
      </c>
      <c r="I833">
        <v>64.099999999999994</v>
      </c>
      <c r="J833">
        <v>12820000</v>
      </c>
      <c r="K833" s="7" t="str">
        <f>IFERROR(IF(B833&lt;&gt;"", TEXT(VLOOKUP(B833, 'Expected Date'!A:B, 2, FALSE) + DATE(RIGHT(C833,2),MID(C833,4,2),LEFT(C833,2)), "dd/mm/yy"), ""), "")</f>
        <v>17/05/23</v>
      </c>
      <c r="L833" t="s">
        <v>38</v>
      </c>
      <c r="M833" t="str">
        <f>M730</f>
        <v>MT</v>
      </c>
      <c r="N833" t="s">
        <v>292</v>
      </c>
      <c r="O833" t="s">
        <v>417</v>
      </c>
      <c r="P833">
        <v>23390031</v>
      </c>
      <c r="Q833" t="s">
        <v>575</v>
      </c>
      <c r="R833" t="s">
        <v>291</v>
      </c>
      <c r="S833">
        <v>22123</v>
      </c>
      <c r="T833">
        <v>64.099999999999994</v>
      </c>
      <c r="U833">
        <v>1418084.3</v>
      </c>
      <c r="V833" t="str">
        <f t="shared" si="232"/>
        <v>Jhagadia</v>
      </c>
      <c r="W833" t="str">
        <f>VLOOKUP(B833, Currency!A:B, 2, FALSE)</f>
        <v>INR</v>
      </c>
      <c r="X833" t="str">
        <f t="shared" si="233"/>
        <v>Accepted</v>
      </c>
      <c r="Y833">
        <f>IFERROR(VLOOKUP(N833, Payment_Terms!A:B, 2, FALSE), "Payment term not found!")</f>
        <v>0</v>
      </c>
      <c r="Z833" t="str">
        <f>IFERROR(VLOOKUP(R833, Item_Category!A:B, 2, FALSE), "Uncategorized")</f>
        <v>Wood pulp</v>
      </c>
      <c r="AA833" s="5">
        <f t="shared" si="219"/>
        <v>0</v>
      </c>
      <c r="AB833">
        <f t="shared" si="220"/>
        <v>5</v>
      </c>
      <c r="AC833" s="10">
        <f t="shared" si="221"/>
        <v>-31</v>
      </c>
      <c r="AD833">
        <f t="shared" si="222"/>
        <v>5</v>
      </c>
      <c r="AE833" s="10">
        <f t="shared" si="223"/>
        <v>1</v>
      </c>
      <c r="AF833" s="5">
        <f t="shared" si="216"/>
        <v>1</v>
      </c>
      <c r="AG833" s="5">
        <f t="shared" si="217"/>
        <v>1</v>
      </c>
      <c r="AH833" s="5">
        <f t="shared" si="224"/>
        <v>0</v>
      </c>
      <c r="AI833">
        <f>IF(B833&lt;&gt;"", COUNTIFS($B$2:B833, B833), "")</f>
        <v>36</v>
      </c>
      <c r="AJ833">
        <f t="shared" si="225"/>
        <v>5</v>
      </c>
      <c r="AK833">
        <f t="shared" si="218"/>
        <v>5</v>
      </c>
      <c r="AL833">
        <f t="shared" si="226"/>
        <v>4</v>
      </c>
      <c r="AM833" t="str">
        <f t="shared" si="227"/>
        <v>April</v>
      </c>
      <c r="AN833">
        <f t="shared" si="228"/>
        <v>2023</v>
      </c>
      <c r="AO833" t="str">
        <f t="shared" si="229"/>
        <v>&gt;3</v>
      </c>
      <c r="AP833" t="str">
        <f t="shared" si="230"/>
        <v>&gt;3</v>
      </c>
      <c r="AQ833" t="str">
        <f t="shared" si="231"/>
        <v>&gt;3</v>
      </c>
    </row>
    <row r="834" spans="1:43" x14ac:dyDescent="0.3">
      <c r="A834" t="s">
        <v>33</v>
      </c>
      <c r="B834" t="s">
        <v>366</v>
      </c>
      <c r="C834" t="s">
        <v>468</v>
      </c>
      <c r="D834">
        <v>2574</v>
      </c>
      <c r="E834">
        <v>23310194</v>
      </c>
      <c r="F834" t="s">
        <v>569</v>
      </c>
      <c r="G834" t="s">
        <v>570</v>
      </c>
      <c r="H834">
        <v>100</v>
      </c>
      <c r="I834">
        <v>11333.33</v>
      </c>
      <c r="J834">
        <v>1133333</v>
      </c>
      <c r="K834" s="7" t="str">
        <f>IFERROR(IF(B834&lt;&gt;"", TEXT(VLOOKUP(B834, 'Expected Date'!A:B, 2, FALSE) + DATE(RIGHT(C834,2),MID(C834,4,2),LEFT(C834,2)), "dd/mm/yy"), ""), "")</f>
        <v>20/06/23</v>
      </c>
      <c r="L834" t="s">
        <v>38</v>
      </c>
      <c r="M834" t="s">
        <v>48</v>
      </c>
      <c r="N834" t="s">
        <v>574</v>
      </c>
      <c r="O834" t="s">
        <v>162</v>
      </c>
      <c r="P834">
        <v>23390284</v>
      </c>
      <c r="Q834" t="s">
        <v>569</v>
      </c>
      <c r="R834" t="s">
        <v>570</v>
      </c>
      <c r="S834">
        <v>31.67</v>
      </c>
      <c r="T834">
        <v>11333.33</v>
      </c>
      <c r="U834">
        <v>358926.56</v>
      </c>
      <c r="V834" t="str">
        <f t="shared" si="232"/>
        <v>Jhagadia</v>
      </c>
      <c r="W834" t="str">
        <f>VLOOKUP(B834, Currency!A:B, 2, FALSE)</f>
        <v>INR</v>
      </c>
      <c r="X834" t="str">
        <f t="shared" si="233"/>
        <v>Accepted</v>
      </c>
      <c r="Y834">
        <f>IFERROR(VLOOKUP(N834, Payment_Terms!A:B, 2, FALSE), "Payment term not found!")</f>
        <v>0</v>
      </c>
      <c r="Z834" t="str">
        <f>IFERROR(VLOOKUP(R834, Item_Category!A:B, 2, FALSE), "Uncategorized")</f>
        <v>Coal materials</v>
      </c>
      <c r="AA834" s="5">
        <f t="shared" si="219"/>
        <v>0</v>
      </c>
      <c r="AB834">
        <f t="shared" si="220"/>
        <v>5</v>
      </c>
      <c r="AC834" s="10">
        <f t="shared" si="221"/>
        <v>9</v>
      </c>
      <c r="AD834">
        <f t="shared" si="222"/>
        <v>2</v>
      </c>
      <c r="AE834" s="10">
        <f t="shared" si="223"/>
        <v>11</v>
      </c>
      <c r="AF834" s="5">
        <f t="shared" ref="AF834:AF846" si="234">IF(X834="Accepted",1,0)</f>
        <v>1</v>
      </c>
      <c r="AG834" s="5">
        <f t="shared" ref="AG834:AG846" si="235">ROUNDUP((SUMIFS(S:S, B:B, B834, X:X, "Accepted")/SUMIF(B:B,B834,S:S)),2)</f>
        <v>1</v>
      </c>
      <c r="AH834" s="5">
        <f t="shared" si="224"/>
        <v>0</v>
      </c>
      <c r="AI834">
        <f>IF(B834&lt;&gt;"", COUNTIFS($B$2:B834, B834), "")</f>
        <v>110</v>
      </c>
      <c r="AJ834">
        <f t="shared" si="225"/>
        <v>5</v>
      </c>
      <c r="AK834">
        <f t="shared" ref="AK834:AK846" si="236">_xlfn.CEILING.MATH(((0.4*AJ834)+(0.3*AD834)+(0.3*AB834)),1)</f>
        <v>5</v>
      </c>
      <c r="AL834">
        <f t="shared" si="226"/>
        <v>6</v>
      </c>
      <c r="AM834" t="str">
        <f t="shared" si="227"/>
        <v>June</v>
      </c>
      <c r="AN834">
        <f t="shared" si="228"/>
        <v>2023</v>
      </c>
      <c r="AO834" t="str">
        <f t="shared" si="229"/>
        <v>&gt;3</v>
      </c>
      <c r="AP834" t="str">
        <f t="shared" si="230"/>
        <v>&gt;3</v>
      </c>
      <c r="AQ834" t="str">
        <f t="shared" si="231"/>
        <v>&lt;=3</v>
      </c>
    </row>
    <row r="835" spans="1:43" x14ac:dyDescent="0.3">
      <c r="A835" t="s">
        <v>33</v>
      </c>
      <c r="B835" t="s">
        <v>386</v>
      </c>
      <c r="C835" t="s">
        <v>110</v>
      </c>
      <c r="D835">
        <v>2497</v>
      </c>
      <c r="E835">
        <v>23310177</v>
      </c>
      <c r="F835" t="s">
        <v>606</v>
      </c>
      <c r="G835" t="s">
        <v>607</v>
      </c>
      <c r="H835">
        <v>2</v>
      </c>
      <c r="I835">
        <v>1100</v>
      </c>
      <c r="J835">
        <v>2200</v>
      </c>
      <c r="K835" s="7" t="str">
        <f>IFERROR(IF(B835&lt;&gt;"", TEXT(VLOOKUP(B835, 'Expected Date'!A:B, 2, FALSE) + DATE(RIGHT(C835,2),MID(C835,4,2),LEFT(C835,2)), "dd/mm/yy"), ""), "")</f>
        <v>05/06/23</v>
      </c>
      <c r="L835" t="s">
        <v>38</v>
      </c>
      <c r="M835" t="s">
        <v>608</v>
      </c>
      <c r="N835" t="s">
        <v>342</v>
      </c>
      <c r="O835" t="s">
        <v>195</v>
      </c>
      <c r="P835">
        <v>23390259</v>
      </c>
      <c r="Q835" t="s">
        <v>606</v>
      </c>
      <c r="R835" t="s">
        <v>607</v>
      </c>
      <c r="S835">
        <v>2</v>
      </c>
      <c r="T835">
        <v>1100</v>
      </c>
      <c r="U835">
        <v>2200</v>
      </c>
      <c r="V835" t="str">
        <f t="shared" si="232"/>
        <v>Jhagadia</v>
      </c>
      <c r="W835" t="str">
        <f>VLOOKUP(B835, Currency!A:B, 2, FALSE)</f>
        <v>INR</v>
      </c>
      <c r="X835" t="str">
        <f t="shared" si="233"/>
        <v>Accepted</v>
      </c>
      <c r="Y835">
        <f>IFERROR(VLOOKUP(N835, Payment_Terms!A:B, 2, FALSE), "Payment term not found!")</f>
        <v>30</v>
      </c>
      <c r="Z835" t="str">
        <f>IFERROR(VLOOKUP(R835, Item_Category!A:B, 2, FALSE), "Uncategorized")</f>
        <v>General Items</v>
      </c>
      <c r="AA835" s="5">
        <f t="shared" ref="AA835:AA846" si="237">IFERROR(IF(AND(E835&lt;&gt;"", G835&lt;&gt;""), MAX(0, (H835-SUMIFS(S:S, E:E, E835, G:G, G835))/H835), ""), (H835-S835)/H835)</f>
        <v>0</v>
      </c>
      <c r="AB835">
        <f t="shared" ref="AB835:AB846" si="238">IF(AA835&lt;=0%,5,(IF(AND(AA835&gt;0%,AA835&lt;=2%),4,IF(AND(AA835&gt;2%,AA835&lt;=5%),3,IF(AND(AA835&gt;5%,AA835&lt;10%),2,1)))))</f>
        <v>5</v>
      </c>
      <c r="AC835" s="10">
        <f t="shared" ref="AC835:AC846" si="239">DATE(RIGHT(O835,2),MID(O835,4,2),LEFT(O835,2)) - DATE(RIGHT(K835,2),MID(K835,4,2),LEFT(K835,2))</f>
        <v>10</v>
      </c>
      <c r="AD835">
        <f t="shared" ref="AD835:AD846" si="240">IF(AC835 &lt;= 2, 5, IF(AC835 &lt;= 4, 4, IF(AC835 &lt;= 7, 3, IF(AC835&lt;=10,2,1))))</f>
        <v>2</v>
      </c>
      <c r="AE835" s="10">
        <f t="shared" ref="AE835:AE846" si="241">ABS(DATE(RIGHT(O835,2),MID(O835,4,2),LEFT(O835,2)) - DATE(RIGHT(C835,2),MID(C835,4,2),LEFT(C835,2)))</f>
        <v>15</v>
      </c>
      <c r="AF835" s="5">
        <f t="shared" si="234"/>
        <v>1</v>
      </c>
      <c r="AG835" s="5">
        <f t="shared" si="235"/>
        <v>1</v>
      </c>
      <c r="AH835" s="5">
        <f t="shared" ref="AH835:AH846" si="242">ROUNDUP(ABS(100%-AG835),2)</f>
        <v>0</v>
      </c>
      <c r="AI835">
        <f>IF(B835&lt;&gt;"", COUNTIFS($B$2:B835, B835), "")</f>
        <v>57</v>
      </c>
      <c r="AJ835">
        <f t="shared" ref="AJ835:AJ846" si="243">IF(AH835=0%,5,IF(AND(AH835&gt;0%,AH835&lt;=2%),4,IF(AND(AH835&gt;2%,AH835&lt;=5%),3,IF(AND(AH835&gt;5%,AH835&lt;10%),2,1))))</f>
        <v>5</v>
      </c>
      <c r="AK835">
        <f t="shared" si="236"/>
        <v>5</v>
      </c>
      <c r="AL835">
        <f t="shared" ref="AL835:AL846" si="244">MONTH(DATE(RIGHT(C835,2),MID(C835,4,2),LEFT(C835,2)))</f>
        <v>5</v>
      </c>
      <c r="AM835" t="str">
        <f t="shared" ref="AM835:AM846" si="245">TEXT(DATE(RIGHT(C835,2),MID(C835,4,2),LEFT(C835,2)),"mmmm")</f>
        <v>May</v>
      </c>
      <c r="AN835">
        <f t="shared" ref="AN835:AN846" si="246">YEAR(DATE(VALUE(MID(C835,7,2))+2000, MID(C835,4,2), MID(C835,1,2)))</f>
        <v>2023</v>
      </c>
      <c r="AO835" t="str">
        <f t="shared" ref="AO835:AO846" si="247">IF(AJ835&lt;=3,"&lt;=3","&gt;3")</f>
        <v>&gt;3</v>
      </c>
      <c r="AP835" t="str">
        <f t="shared" ref="AP835:AP846" si="248">IF(AB835&lt;=3,"&lt;=3","&gt;3")</f>
        <v>&gt;3</v>
      </c>
      <c r="AQ835" t="str">
        <f t="shared" ref="AQ835:AQ846" si="249">IF(AD835&lt;=3,"&lt;=3","&gt;3")</f>
        <v>&lt;=3</v>
      </c>
    </row>
    <row r="836" spans="1:43" x14ac:dyDescent="0.3">
      <c r="A836" t="s">
        <v>33</v>
      </c>
      <c r="B836" t="s">
        <v>395</v>
      </c>
      <c r="C836" t="s">
        <v>117</v>
      </c>
      <c r="D836">
        <v>3137</v>
      </c>
      <c r="E836">
        <v>23310237</v>
      </c>
      <c r="F836" t="s">
        <v>569</v>
      </c>
      <c r="G836" t="s">
        <v>570</v>
      </c>
      <c r="H836">
        <v>100</v>
      </c>
      <c r="I836">
        <v>9809.52</v>
      </c>
      <c r="J836">
        <v>980952</v>
      </c>
      <c r="K836" s="7" t="str">
        <f>IFERROR(IF(B836&lt;&gt;"", TEXT(VLOOKUP(B836, 'Expected Date'!A:B, 2, FALSE) + DATE(RIGHT(C836,2),MID(C836,4,2),LEFT(C836,2)), "dd/mm/yy"), ""), "")</f>
        <v>12/07/23</v>
      </c>
      <c r="L836" t="s">
        <v>68</v>
      </c>
      <c r="M836" t="s">
        <v>48</v>
      </c>
      <c r="N836" t="s">
        <v>342</v>
      </c>
      <c r="O836" t="s">
        <v>91</v>
      </c>
      <c r="P836">
        <v>23390326</v>
      </c>
      <c r="Q836" t="s">
        <v>569</v>
      </c>
      <c r="R836" t="s">
        <v>570</v>
      </c>
      <c r="S836">
        <v>28.66</v>
      </c>
      <c r="T836">
        <v>9809.52</v>
      </c>
      <c r="U836">
        <v>281140.84000000003</v>
      </c>
      <c r="V836" t="str">
        <f t="shared" si="232"/>
        <v>Jhagadia</v>
      </c>
      <c r="W836" t="str">
        <f>VLOOKUP(B836, Currency!A:B, 2, FALSE)</f>
        <v>INR</v>
      </c>
      <c r="X836" t="str">
        <f t="shared" si="233"/>
        <v>Accepted</v>
      </c>
      <c r="Y836">
        <f>IFERROR(VLOOKUP(N836, Payment_Terms!A:B, 2, FALSE), "Payment term not found!")</f>
        <v>30</v>
      </c>
      <c r="Z836" t="str">
        <f>IFERROR(VLOOKUP(R836, Item_Category!A:B, 2, FALSE), "Uncategorized")</f>
        <v>Coal materials</v>
      </c>
      <c r="AA836" s="5">
        <f t="shared" si="237"/>
        <v>0.47460000000000002</v>
      </c>
      <c r="AB836">
        <f t="shared" si="238"/>
        <v>1</v>
      </c>
      <c r="AC836" s="10">
        <f t="shared" si="239"/>
        <v>-3</v>
      </c>
      <c r="AD836">
        <f t="shared" si="240"/>
        <v>5</v>
      </c>
      <c r="AE836" s="10">
        <f t="shared" si="241"/>
        <v>2</v>
      </c>
      <c r="AF836" s="5">
        <f t="shared" si="234"/>
        <v>1</v>
      </c>
      <c r="AG836" s="5">
        <f t="shared" si="235"/>
        <v>1</v>
      </c>
      <c r="AH836" s="5">
        <f t="shared" si="242"/>
        <v>0</v>
      </c>
      <c r="AI836">
        <f>IF(B836&lt;&gt;"", COUNTIFS($B$2:B836, B836), "")</f>
        <v>36</v>
      </c>
      <c r="AJ836">
        <f t="shared" si="243"/>
        <v>5</v>
      </c>
      <c r="AK836">
        <f t="shared" si="236"/>
        <v>4</v>
      </c>
      <c r="AL836">
        <f t="shared" si="244"/>
        <v>7</v>
      </c>
      <c r="AM836" t="str">
        <f t="shared" si="245"/>
        <v>July</v>
      </c>
      <c r="AN836">
        <f t="shared" si="246"/>
        <v>2023</v>
      </c>
      <c r="AO836" t="str">
        <f t="shared" si="247"/>
        <v>&gt;3</v>
      </c>
      <c r="AP836" t="str">
        <f t="shared" si="248"/>
        <v>&lt;=3</v>
      </c>
      <c r="AQ836" t="str">
        <f t="shared" si="249"/>
        <v>&gt;3</v>
      </c>
    </row>
    <row r="837" spans="1:43" x14ac:dyDescent="0.3">
      <c r="A837" t="s">
        <v>33</v>
      </c>
      <c r="B837" t="s">
        <v>513</v>
      </c>
      <c r="C837" t="s">
        <v>58</v>
      </c>
      <c r="D837">
        <v>3493</v>
      </c>
      <c r="E837">
        <v>23310271</v>
      </c>
      <c r="F837" t="s">
        <v>563</v>
      </c>
      <c r="G837" t="s">
        <v>515</v>
      </c>
      <c r="H837">
        <v>2500</v>
      </c>
      <c r="I837">
        <v>24</v>
      </c>
      <c r="J837">
        <v>60000</v>
      </c>
      <c r="K837" s="7" t="str">
        <f>IFERROR(IF(B837&lt;&gt;"", TEXT(VLOOKUP(B837, 'Expected Date'!A:B, 2, FALSE) + DATE(RIGHT(C837,2),MID(C837,4,2),LEFT(C837,2)), "dd/mm/yy"), ""), "")</f>
        <v>03/08/23</v>
      </c>
      <c r="L837" t="s">
        <v>38</v>
      </c>
      <c r="M837" t="s">
        <v>48</v>
      </c>
      <c r="N837" t="s">
        <v>342</v>
      </c>
      <c r="O837" t="s">
        <v>127</v>
      </c>
      <c r="P837">
        <v>23390397</v>
      </c>
      <c r="Q837" t="s">
        <v>563</v>
      </c>
      <c r="R837" t="s">
        <v>515</v>
      </c>
      <c r="S837">
        <v>1000</v>
      </c>
      <c r="T837">
        <v>24</v>
      </c>
      <c r="U837">
        <v>24000</v>
      </c>
      <c r="V837" t="str">
        <f t="shared" si="232"/>
        <v>Jhagadia</v>
      </c>
      <c r="W837" t="str">
        <f>VLOOKUP(B837, Currency!A:B, 2, FALSE)</f>
        <v>INR</v>
      </c>
      <c r="X837" t="str">
        <f t="shared" si="233"/>
        <v>Accepted</v>
      </c>
      <c r="Y837">
        <f>IFERROR(VLOOKUP(N837, Payment_Terms!A:B, 2, FALSE), "Payment term not found!")</f>
        <v>30</v>
      </c>
      <c r="Z837" t="str">
        <f>IFERROR(VLOOKUP(R837, Item_Category!A:B, 2, FALSE), "Uncategorized")</f>
        <v xml:space="preserve">Caustic Soda </v>
      </c>
      <c r="AA837" s="5">
        <f t="shared" si="237"/>
        <v>0</v>
      </c>
      <c r="AB837">
        <f t="shared" si="238"/>
        <v>5</v>
      </c>
      <c r="AC837" s="10">
        <f t="shared" si="239"/>
        <v>-1</v>
      </c>
      <c r="AD837">
        <f t="shared" si="240"/>
        <v>5</v>
      </c>
      <c r="AE837" s="10">
        <f t="shared" si="241"/>
        <v>1</v>
      </c>
      <c r="AF837" s="5">
        <f t="shared" si="234"/>
        <v>1</v>
      </c>
      <c r="AG837" s="5">
        <f t="shared" si="235"/>
        <v>1</v>
      </c>
      <c r="AH837" s="5">
        <f t="shared" si="242"/>
        <v>0</v>
      </c>
      <c r="AI837">
        <f>IF(B837&lt;&gt;"", COUNTIFS($B$2:B837, B837), "")</f>
        <v>25</v>
      </c>
      <c r="AJ837">
        <f t="shared" si="243"/>
        <v>5</v>
      </c>
      <c r="AK837">
        <f t="shared" si="236"/>
        <v>5</v>
      </c>
      <c r="AL837">
        <f t="shared" si="244"/>
        <v>8</v>
      </c>
      <c r="AM837" t="str">
        <f t="shared" si="245"/>
        <v>August</v>
      </c>
      <c r="AN837">
        <f t="shared" si="246"/>
        <v>2023</v>
      </c>
      <c r="AO837" t="str">
        <f t="shared" si="247"/>
        <v>&gt;3</v>
      </c>
      <c r="AP837" t="str">
        <f t="shared" si="248"/>
        <v>&gt;3</v>
      </c>
      <c r="AQ837" t="str">
        <f t="shared" si="249"/>
        <v>&gt;3</v>
      </c>
    </row>
    <row r="838" spans="1:43" x14ac:dyDescent="0.3">
      <c r="A838" t="s">
        <v>33</v>
      </c>
      <c r="B838" t="s">
        <v>122</v>
      </c>
      <c r="C838" t="s">
        <v>562</v>
      </c>
      <c r="D838">
        <v>1639</v>
      </c>
      <c r="E838">
        <v>23310061</v>
      </c>
      <c r="F838" t="s">
        <v>565</v>
      </c>
      <c r="G838" t="s">
        <v>566</v>
      </c>
      <c r="H838">
        <v>200</v>
      </c>
      <c r="I838">
        <v>930</v>
      </c>
      <c r="J838">
        <v>186000</v>
      </c>
      <c r="K838" s="7" t="str">
        <f>IFERROR(IF(B838&lt;&gt;"", TEXT(VLOOKUP(B838, 'Expected Date'!A:B, 2, FALSE) + DATE(RIGHT(C838,2),MID(C838,4,2),LEFT(C838,2)), "dd/mm/yy"), ""), "")</f>
        <v>15/05/23</v>
      </c>
      <c r="L838" t="s">
        <v>38</v>
      </c>
      <c r="M838" t="s">
        <v>39</v>
      </c>
      <c r="N838" t="s">
        <v>318</v>
      </c>
      <c r="O838" t="s">
        <v>416</v>
      </c>
      <c r="P838">
        <v>23390170</v>
      </c>
      <c r="Q838" t="s">
        <v>565</v>
      </c>
      <c r="R838" t="s">
        <v>566</v>
      </c>
      <c r="S838">
        <v>50</v>
      </c>
      <c r="T838">
        <v>930</v>
      </c>
      <c r="U838">
        <v>46500</v>
      </c>
      <c r="V838" t="str">
        <f t="shared" si="232"/>
        <v>Jhagadia</v>
      </c>
      <c r="W838" t="str">
        <f>VLOOKUP(B838, Currency!A:B, 2, FALSE)</f>
        <v>INR</v>
      </c>
      <c r="X838" t="str">
        <f t="shared" si="233"/>
        <v>Accepted</v>
      </c>
      <c r="Y838">
        <f>IFERROR(VLOOKUP(N838, Payment_Terms!A:B, 2, FALSE), "Payment term not found!")</f>
        <v>30</v>
      </c>
      <c r="Z838" t="str">
        <f>IFERROR(VLOOKUP(R838, Item_Category!A:B, 2, FALSE), "Uncategorized")</f>
        <v>Pallets</v>
      </c>
      <c r="AA838" s="5">
        <f t="shared" si="237"/>
        <v>0</v>
      </c>
      <c r="AB838">
        <f t="shared" si="238"/>
        <v>5</v>
      </c>
      <c r="AC838" s="10">
        <f t="shared" si="239"/>
        <v>5</v>
      </c>
      <c r="AD838">
        <f t="shared" si="240"/>
        <v>3</v>
      </c>
      <c r="AE838" s="10">
        <f t="shared" si="241"/>
        <v>20</v>
      </c>
      <c r="AF838" s="5">
        <f t="shared" si="234"/>
        <v>1</v>
      </c>
      <c r="AG838" s="5">
        <f t="shared" si="235"/>
        <v>1</v>
      </c>
      <c r="AH838" s="5">
        <f t="shared" si="242"/>
        <v>0</v>
      </c>
      <c r="AI838">
        <f>IF(B838&lt;&gt;"", COUNTIFS($B$2:B838, B838), "")</f>
        <v>50</v>
      </c>
      <c r="AJ838">
        <f t="shared" si="243"/>
        <v>5</v>
      </c>
      <c r="AK838">
        <f t="shared" si="236"/>
        <v>5</v>
      </c>
      <c r="AL838">
        <f t="shared" si="244"/>
        <v>4</v>
      </c>
      <c r="AM838" t="str">
        <f t="shared" si="245"/>
        <v>April</v>
      </c>
      <c r="AN838">
        <f t="shared" si="246"/>
        <v>2023</v>
      </c>
      <c r="AO838" t="str">
        <f t="shared" si="247"/>
        <v>&gt;3</v>
      </c>
      <c r="AP838" t="str">
        <f t="shared" si="248"/>
        <v>&gt;3</v>
      </c>
      <c r="AQ838" t="str">
        <f t="shared" si="249"/>
        <v>&lt;=3</v>
      </c>
    </row>
    <row r="839" spans="1:43" x14ac:dyDescent="0.3">
      <c r="A839" t="s">
        <v>33</v>
      </c>
      <c r="B839" t="s">
        <v>436</v>
      </c>
      <c r="C839" t="s">
        <v>414</v>
      </c>
      <c r="D839">
        <v>2294</v>
      </c>
      <c r="E839">
        <v>23310156</v>
      </c>
      <c r="F839" t="s">
        <v>581</v>
      </c>
      <c r="G839" t="s">
        <v>582</v>
      </c>
      <c r="H839">
        <v>3000</v>
      </c>
      <c r="I839">
        <v>8</v>
      </c>
      <c r="J839">
        <v>24000</v>
      </c>
      <c r="K839" s="7" t="str">
        <f>IFERROR(IF(B839&lt;&gt;"", TEXT(VLOOKUP(B839, 'Expected Date'!A:B, 2, FALSE) + DATE(RIGHT(C839,2),MID(C839,4,2),LEFT(C839,2)), "dd/mm/yy"), ""), "")</f>
        <v>11/06/23</v>
      </c>
      <c r="L839" t="s">
        <v>68</v>
      </c>
      <c r="M839" t="s">
        <v>48</v>
      </c>
      <c r="N839" t="s">
        <v>318</v>
      </c>
      <c r="O839" t="s">
        <v>319</v>
      </c>
      <c r="P839">
        <v>23390261</v>
      </c>
      <c r="Q839" t="s">
        <v>581</v>
      </c>
      <c r="R839" t="s">
        <v>582</v>
      </c>
      <c r="S839">
        <v>2150</v>
      </c>
      <c r="T839">
        <v>8</v>
      </c>
      <c r="U839">
        <v>17200</v>
      </c>
      <c r="V839" t="str">
        <f t="shared" si="232"/>
        <v>Jhagadia</v>
      </c>
      <c r="W839" t="str">
        <f>VLOOKUP(B839, Currency!A:B, 2, FALSE)</f>
        <v>INR</v>
      </c>
      <c r="X839" t="str">
        <f t="shared" si="233"/>
        <v>Accepted</v>
      </c>
      <c r="Y839">
        <f>IFERROR(VLOOKUP(N839, Payment_Terms!A:B, 2, FALSE), "Payment term not found!")</f>
        <v>30</v>
      </c>
      <c r="Z839" t="str">
        <f>IFERROR(VLOOKUP(R839, Item_Category!A:B, 2, FALSE), "Uncategorized")</f>
        <v>Lime</v>
      </c>
      <c r="AA839" s="5">
        <f t="shared" si="237"/>
        <v>0.28333333333333333</v>
      </c>
      <c r="AB839">
        <f t="shared" si="238"/>
        <v>1</v>
      </c>
      <c r="AC839" s="10">
        <f t="shared" si="239"/>
        <v>8</v>
      </c>
      <c r="AD839">
        <f t="shared" si="240"/>
        <v>2</v>
      </c>
      <c r="AE839" s="10">
        <f t="shared" si="241"/>
        <v>18</v>
      </c>
      <c r="AF839" s="5">
        <f t="shared" si="234"/>
        <v>1</v>
      </c>
      <c r="AG839" s="5">
        <f t="shared" si="235"/>
        <v>1</v>
      </c>
      <c r="AH839" s="5">
        <f t="shared" si="242"/>
        <v>0</v>
      </c>
      <c r="AI839">
        <f>IF(B839&lt;&gt;"", COUNTIFS($B$2:B839, B839), "")</f>
        <v>9</v>
      </c>
      <c r="AJ839">
        <f t="shared" si="243"/>
        <v>5</v>
      </c>
      <c r="AK839">
        <f t="shared" si="236"/>
        <v>3</v>
      </c>
      <c r="AL839">
        <f t="shared" si="244"/>
        <v>6</v>
      </c>
      <c r="AM839" t="str">
        <f t="shared" si="245"/>
        <v>June</v>
      </c>
      <c r="AN839">
        <f t="shared" si="246"/>
        <v>2023</v>
      </c>
      <c r="AO839" t="str">
        <f t="shared" si="247"/>
        <v>&gt;3</v>
      </c>
      <c r="AP839" t="str">
        <f t="shared" si="248"/>
        <v>&lt;=3</v>
      </c>
      <c r="AQ839" t="str">
        <f t="shared" si="249"/>
        <v>&lt;=3</v>
      </c>
    </row>
    <row r="840" spans="1:43" x14ac:dyDescent="0.3">
      <c r="A840" t="s">
        <v>33</v>
      </c>
      <c r="B840" t="s">
        <v>366</v>
      </c>
      <c r="C840" t="s">
        <v>468</v>
      </c>
      <c r="D840">
        <v>2574</v>
      </c>
      <c r="E840">
        <v>23310194</v>
      </c>
      <c r="F840" t="s">
        <v>569</v>
      </c>
      <c r="G840" t="s">
        <v>570</v>
      </c>
      <c r="H840">
        <v>100</v>
      </c>
      <c r="I840">
        <v>11333.33</v>
      </c>
      <c r="J840">
        <v>1133333</v>
      </c>
      <c r="K840" s="7" t="str">
        <f>IFERROR(IF(B840&lt;&gt;"", TEXT(VLOOKUP(B840, 'Expected Date'!A:B, 2, FALSE) + DATE(RIGHT(C840,2),MID(C840,4,2),LEFT(C840,2)), "dd/mm/yy"), ""), "")</f>
        <v>20/06/23</v>
      </c>
      <c r="L840" t="s">
        <v>38</v>
      </c>
      <c r="M840" t="s">
        <v>48</v>
      </c>
      <c r="N840" t="s">
        <v>574</v>
      </c>
      <c r="O840" t="s">
        <v>468</v>
      </c>
      <c r="P840">
        <v>23390265</v>
      </c>
      <c r="Q840" t="s">
        <v>569</v>
      </c>
      <c r="R840" t="s">
        <v>570</v>
      </c>
      <c r="S840">
        <v>29.62</v>
      </c>
      <c r="T840">
        <v>11333.33</v>
      </c>
      <c r="U840">
        <v>335693.23</v>
      </c>
      <c r="V840" t="str">
        <f t="shared" si="232"/>
        <v>Jhagadia</v>
      </c>
      <c r="W840" t="str">
        <f>VLOOKUP(B840, Currency!A:B, 2, FALSE)</f>
        <v>INR</v>
      </c>
      <c r="X840" t="str">
        <f t="shared" si="233"/>
        <v>Accepted</v>
      </c>
      <c r="Y840">
        <f>IFERROR(VLOOKUP(N840, Payment_Terms!A:B, 2, FALSE), "Payment term not found!")</f>
        <v>0</v>
      </c>
      <c r="Z840" t="str">
        <f>IFERROR(VLOOKUP(R840, Item_Category!A:B, 2, FALSE), "Uncategorized")</f>
        <v>Coal materials</v>
      </c>
      <c r="AA840" s="5">
        <f t="shared" si="237"/>
        <v>0</v>
      </c>
      <c r="AB840">
        <f t="shared" si="238"/>
        <v>5</v>
      </c>
      <c r="AC840" s="10">
        <f t="shared" si="239"/>
        <v>-2</v>
      </c>
      <c r="AD840">
        <f t="shared" si="240"/>
        <v>5</v>
      </c>
      <c r="AE840" s="10">
        <f t="shared" si="241"/>
        <v>0</v>
      </c>
      <c r="AF840" s="5">
        <f t="shared" si="234"/>
        <v>1</v>
      </c>
      <c r="AG840" s="5">
        <f t="shared" si="235"/>
        <v>1</v>
      </c>
      <c r="AH840" s="5">
        <f t="shared" si="242"/>
        <v>0</v>
      </c>
      <c r="AI840">
        <f>IF(B840&lt;&gt;"", COUNTIFS($B$2:B840, B840), "")</f>
        <v>111</v>
      </c>
      <c r="AJ840">
        <f t="shared" si="243"/>
        <v>5</v>
      </c>
      <c r="AK840">
        <f t="shared" si="236"/>
        <v>5</v>
      </c>
      <c r="AL840">
        <f t="shared" si="244"/>
        <v>6</v>
      </c>
      <c r="AM840" t="str">
        <f t="shared" si="245"/>
        <v>June</v>
      </c>
      <c r="AN840">
        <f t="shared" si="246"/>
        <v>2023</v>
      </c>
      <c r="AO840" t="str">
        <f t="shared" si="247"/>
        <v>&gt;3</v>
      </c>
      <c r="AP840" t="str">
        <f t="shared" si="248"/>
        <v>&gt;3</v>
      </c>
      <c r="AQ840" t="str">
        <f t="shared" si="249"/>
        <v>&gt;3</v>
      </c>
    </row>
    <row r="841" spans="1:43" x14ac:dyDescent="0.3">
      <c r="A841" t="s">
        <v>33</v>
      </c>
      <c r="B841" t="s">
        <v>366</v>
      </c>
      <c r="C841" t="s">
        <v>468</v>
      </c>
      <c r="D841">
        <v>2574</v>
      </c>
      <c r="E841">
        <v>23310194</v>
      </c>
      <c r="F841" t="s">
        <v>569</v>
      </c>
      <c r="G841" t="s">
        <v>570</v>
      </c>
      <c r="H841">
        <v>100</v>
      </c>
      <c r="I841">
        <v>11333.33</v>
      </c>
      <c r="J841">
        <v>1133333</v>
      </c>
      <c r="K841" s="7" t="str">
        <f>IFERROR(IF(B841&lt;&gt;"", TEXT(VLOOKUP(B841, 'Expected Date'!A:B, 2, FALSE) + DATE(RIGHT(C841,2),MID(C841,4,2),LEFT(C841,2)), "dd/mm/yy"), ""), "")</f>
        <v>20/06/23</v>
      </c>
      <c r="L841" t="s">
        <v>38</v>
      </c>
      <c r="M841" t="s">
        <v>48</v>
      </c>
      <c r="N841" t="s">
        <v>574</v>
      </c>
      <c r="O841" t="s">
        <v>71</v>
      </c>
      <c r="P841">
        <v>23390266</v>
      </c>
      <c r="Q841" t="s">
        <v>569</v>
      </c>
      <c r="R841" t="s">
        <v>570</v>
      </c>
      <c r="S841">
        <v>28.45</v>
      </c>
      <c r="T841">
        <v>11333.33</v>
      </c>
      <c r="U841">
        <v>322433.24</v>
      </c>
      <c r="V841" t="str">
        <f t="shared" si="232"/>
        <v>Jhagadia</v>
      </c>
      <c r="W841" t="str">
        <f>VLOOKUP(B841, Currency!A:B, 2, FALSE)</f>
        <v>INR</v>
      </c>
      <c r="X841" t="str">
        <f t="shared" si="233"/>
        <v>Accepted</v>
      </c>
      <c r="Y841">
        <f>IFERROR(VLOOKUP(N841, Payment_Terms!A:B, 2, FALSE), "Payment term not found!")</f>
        <v>0</v>
      </c>
      <c r="Z841" t="str">
        <f>IFERROR(VLOOKUP(R841, Item_Category!A:B, 2, FALSE), "Uncategorized")</f>
        <v>Coal materials</v>
      </c>
      <c r="AA841" s="5">
        <f t="shared" si="237"/>
        <v>0</v>
      </c>
      <c r="AB841">
        <f t="shared" si="238"/>
        <v>5</v>
      </c>
      <c r="AC841" s="10">
        <f t="shared" si="239"/>
        <v>2</v>
      </c>
      <c r="AD841">
        <f t="shared" si="240"/>
        <v>5</v>
      </c>
      <c r="AE841" s="10">
        <f t="shared" si="241"/>
        <v>4</v>
      </c>
      <c r="AF841" s="5">
        <f t="shared" si="234"/>
        <v>1</v>
      </c>
      <c r="AG841" s="5">
        <f t="shared" si="235"/>
        <v>1</v>
      </c>
      <c r="AH841" s="5">
        <f t="shared" si="242"/>
        <v>0</v>
      </c>
      <c r="AI841">
        <f>IF(B841&lt;&gt;"", COUNTIFS($B$2:B841, B841), "")</f>
        <v>112</v>
      </c>
      <c r="AJ841">
        <f t="shared" si="243"/>
        <v>5</v>
      </c>
      <c r="AK841">
        <f t="shared" si="236"/>
        <v>5</v>
      </c>
      <c r="AL841">
        <f t="shared" si="244"/>
        <v>6</v>
      </c>
      <c r="AM841" t="str">
        <f t="shared" si="245"/>
        <v>June</v>
      </c>
      <c r="AN841">
        <f t="shared" si="246"/>
        <v>2023</v>
      </c>
      <c r="AO841" t="str">
        <f t="shared" si="247"/>
        <v>&gt;3</v>
      </c>
      <c r="AP841" t="str">
        <f t="shared" si="248"/>
        <v>&gt;3</v>
      </c>
      <c r="AQ841" t="str">
        <f t="shared" si="249"/>
        <v>&gt;3</v>
      </c>
    </row>
    <row r="842" spans="1:43" x14ac:dyDescent="0.3">
      <c r="A842" t="s">
        <v>33</v>
      </c>
      <c r="B842" t="s">
        <v>122</v>
      </c>
      <c r="C842" t="s">
        <v>397</v>
      </c>
      <c r="D842">
        <v>1189</v>
      </c>
      <c r="E842">
        <v>23310011</v>
      </c>
      <c r="F842" t="s">
        <v>565</v>
      </c>
      <c r="G842" t="s">
        <v>566</v>
      </c>
      <c r="H842">
        <v>160</v>
      </c>
      <c r="I842">
        <v>930</v>
      </c>
      <c r="J842">
        <v>148800</v>
      </c>
      <c r="K842" s="7" t="str">
        <f>IFERROR(IF(B842&lt;&gt;"", TEXT(VLOOKUP(B842, 'Expected Date'!A:B, 2, FALSE) + DATE(RIGHT(C842,2),MID(C842,4,2),LEFT(C842,2)), "dd/mm/yy"), ""), "")</f>
        <v>20/04/23</v>
      </c>
      <c r="L842" t="s">
        <v>38</v>
      </c>
      <c r="M842" t="s">
        <v>39</v>
      </c>
      <c r="N842" t="s">
        <v>318</v>
      </c>
      <c r="O842" t="s">
        <v>209</v>
      </c>
      <c r="P842">
        <v>23390099</v>
      </c>
      <c r="Q842" t="s">
        <v>565</v>
      </c>
      <c r="R842" t="s">
        <v>566</v>
      </c>
      <c r="S842">
        <v>60</v>
      </c>
      <c r="T842">
        <v>930</v>
      </c>
      <c r="U842">
        <v>55800</v>
      </c>
      <c r="V842" t="str">
        <f t="shared" si="232"/>
        <v>Jhagadia</v>
      </c>
      <c r="W842" t="str">
        <f>VLOOKUP(B842, Currency!A:B, 2, FALSE)</f>
        <v>INR</v>
      </c>
      <c r="X842" t="str">
        <f t="shared" si="233"/>
        <v>Accepted</v>
      </c>
      <c r="Y842">
        <f>IFERROR(VLOOKUP(N842, Payment_Terms!A:B, 2, FALSE), "Payment term not found!")</f>
        <v>30</v>
      </c>
      <c r="Z842" t="str">
        <f>IFERROR(VLOOKUP(R842, Item_Category!A:B, 2, FALSE), "Uncategorized")</f>
        <v>Pallets</v>
      </c>
      <c r="AA842" s="5">
        <f t="shared" si="237"/>
        <v>0</v>
      </c>
      <c r="AB842">
        <f t="shared" si="238"/>
        <v>5</v>
      </c>
      <c r="AC842" s="10">
        <f t="shared" si="239"/>
        <v>15</v>
      </c>
      <c r="AD842">
        <f t="shared" si="240"/>
        <v>1</v>
      </c>
      <c r="AE842" s="10">
        <f t="shared" si="241"/>
        <v>30</v>
      </c>
      <c r="AF842" s="5">
        <f t="shared" si="234"/>
        <v>1</v>
      </c>
      <c r="AG842" s="5">
        <f t="shared" si="235"/>
        <v>1</v>
      </c>
      <c r="AH842" s="5">
        <f t="shared" si="242"/>
        <v>0</v>
      </c>
      <c r="AI842">
        <f>IF(B842&lt;&gt;"", COUNTIFS($B$2:B842, B842), "")</f>
        <v>51</v>
      </c>
      <c r="AJ842">
        <f t="shared" si="243"/>
        <v>5</v>
      </c>
      <c r="AK842">
        <f t="shared" si="236"/>
        <v>4</v>
      </c>
      <c r="AL842">
        <f t="shared" si="244"/>
        <v>4</v>
      </c>
      <c r="AM842" t="str">
        <f t="shared" si="245"/>
        <v>April</v>
      </c>
      <c r="AN842">
        <f t="shared" si="246"/>
        <v>2023</v>
      </c>
      <c r="AO842" t="str">
        <f t="shared" si="247"/>
        <v>&gt;3</v>
      </c>
      <c r="AP842" t="str">
        <f t="shared" si="248"/>
        <v>&gt;3</v>
      </c>
      <c r="AQ842" t="str">
        <f t="shared" si="249"/>
        <v>&lt;=3</v>
      </c>
    </row>
    <row r="843" spans="1:43" x14ac:dyDescent="0.3">
      <c r="A843" t="s">
        <v>33</v>
      </c>
      <c r="B843" t="s">
        <v>122</v>
      </c>
      <c r="C843" t="s">
        <v>562</v>
      </c>
      <c r="D843">
        <v>1639</v>
      </c>
      <c r="E843">
        <v>23310061</v>
      </c>
      <c r="F843" t="s">
        <v>565</v>
      </c>
      <c r="G843" t="s">
        <v>566</v>
      </c>
      <c r="H843">
        <v>200</v>
      </c>
      <c r="I843">
        <v>930</v>
      </c>
      <c r="J843">
        <v>186000</v>
      </c>
      <c r="K843" s="7" t="str">
        <f>IFERROR(IF(B843&lt;&gt;"", TEXT(VLOOKUP(B843, 'Expected Date'!A:B, 2, FALSE) + DATE(RIGHT(C843,2),MID(C843,4,2),LEFT(C843,2)), "dd/mm/yy"), ""), "")</f>
        <v>15/05/23</v>
      </c>
      <c r="L843" t="s">
        <v>38</v>
      </c>
      <c r="M843" t="s">
        <v>39</v>
      </c>
      <c r="N843" t="s">
        <v>318</v>
      </c>
      <c r="O843" t="s">
        <v>209</v>
      </c>
      <c r="P843">
        <v>23390099</v>
      </c>
      <c r="Q843" t="s">
        <v>565</v>
      </c>
      <c r="R843" t="s">
        <v>566</v>
      </c>
      <c r="S843">
        <v>20</v>
      </c>
      <c r="T843">
        <v>930</v>
      </c>
      <c r="U843">
        <v>18600</v>
      </c>
      <c r="V843" t="str">
        <f t="shared" si="232"/>
        <v>Jhagadia</v>
      </c>
      <c r="W843" t="str">
        <f>VLOOKUP(B843, Currency!A:B, 2, FALSE)</f>
        <v>INR</v>
      </c>
      <c r="X843" t="str">
        <f t="shared" si="233"/>
        <v>Accepted</v>
      </c>
      <c r="Y843">
        <f>IFERROR(VLOOKUP(N843, Payment_Terms!A:B, 2, FALSE), "Payment term not found!")</f>
        <v>30</v>
      </c>
      <c r="Z843" t="str">
        <f>IFERROR(VLOOKUP(R843, Item_Category!A:B, 2, FALSE), "Uncategorized")</f>
        <v>Pallets</v>
      </c>
      <c r="AA843" s="5">
        <f t="shared" si="237"/>
        <v>0</v>
      </c>
      <c r="AB843">
        <f t="shared" si="238"/>
        <v>5</v>
      </c>
      <c r="AC843" s="10">
        <f t="shared" si="239"/>
        <v>-10</v>
      </c>
      <c r="AD843">
        <f t="shared" si="240"/>
        <v>5</v>
      </c>
      <c r="AE843" s="10">
        <f t="shared" si="241"/>
        <v>5</v>
      </c>
      <c r="AF843" s="5">
        <f t="shared" si="234"/>
        <v>1</v>
      </c>
      <c r="AG843" s="5">
        <f t="shared" si="235"/>
        <v>1</v>
      </c>
      <c r="AH843" s="5">
        <f t="shared" si="242"/>
        <v>0</v>
      </c>
      <c r="AI843">
        <f>IF(B843&lt;&gt;"", COUNTIFS($B$2:B843, B843), "")</f>
        <v>52</v>
      </c>
      <c r="AJ843">
        <f t="shared" si="243"/>
        <v>5</v>
      </c>
      <c r="AK843">
        <f t="shared" si="236"/>
        <v>5</v>
      </c>
      <c r="AL843">
        <f t="shared" si="244"/>
        <v>4</v>
      </c>
      <c r="AM843" t="str">
        <f t="shared" si="245"/>
        <v>April</v>
      </c>
      <c r="AN843">
        <f t="shared" si="246"/>
        <v>2023</v>
      </c>
      <c r="AO843" t="str">
        <f t="shared" si="247"/>
        <v>&gt;3</v>
      </c>
      <c r="AP843" t="str">
        <f t="shared" si="248"/>
        <v>&gt;3</v>
      </c>
      <c r="AQ843" t="str">
        <f t="shared" si="249"/>
        <v>&gt;3</v>
      </c>
    </row>
    <row r="844" spans="1:43" x14ac:dyDescent="0.3">
      <c r="A844" t="s">
        <v>33</v>
      </c>
      <c r="B844" t="s">
        <v>122</v>
      </c>
      <c r="C844" t="s">
        <v>562</v>
      </c>
      <c r="D844">
        <v>1639</v>
      </c>
      <c r="E844">
        <v>23310061</v>
      </c>
      <c r="F844" t="s">
        <v>565</v>
      </c>
      <c r="G844" t="s">
        <v>566</v>
      </c>
      <c r="H844">
        <v>200</v>
      </c>
      <c r="I844">
        <v>930</v>
      </c>
      <c r="J844">
        <v>186000</v>
      </c>
      <c r="K844" s="7" t="str">
        <f>IFERROR(IF(B844&lt;&gt;"", TEXT(VLOOKUP(B844, 'Expected Date'!A:B, 2, FALSE) + DATE(RIGHT(C844,2),MID(C844,4,2),LEFT(C844,2)), "dd/mm/yy"), ""), "")</f>
        <v>15/05/23</v>
      </c>
      <c r="L844" t="s">
        <v>38</v>
      </c>
      <c r="M844" t="s">
        <v>39</v>
      </c>
      <c r="N844" t="s">
        <v>318</v>
      </c>
      <c r="O844" t="s">
        <v>357</v>
      </c>
      <c r="P844">
        <v>23390199</v>
      </c>
      <c r="Q844" t="s">
        <v>565</v>
      </c>
      <c r="R844" t="s">
        <v>566</v>
      </c>
      <c r="S844">
        <v>50</v>
      </c>
      <c r="T844">
        <v>930</v>
      </c>
      <c r="U844">
        <v>46500</v>
      </c>
      <c r="V844" t="str">
        <f t="shared" si="232"/>
        <v>Jhagadia</v>
      </c>
      <c r="W844" t="str">
        <f>VLOOKUP(B844, Currency!A:B, 2, FALSE)</f>
        <v>INR</v>
      </c>
      <c r="X844" t="str">
        <f t="shared" si="233"/>
        <v>Accepted</v>
      </c>
      <c r="Y844">
        <f>IFERROR(VLOOKUP(N844, Payment_Terms!A:B, 2, FALSE), "Payment term not found!")</f>
        <v>30</v>
      </c>
      <c r="Z844" t="str">
        <f>IFERROR(VLOOKUP(R844, Item_Category!A:B, 2, FALSE), "Uncategorized")</f>
        <v>Pallets</v>
      </c>
      <c r="AA844" s="5">
        <f t="shared" si="237"/>
        <v>0</v>
      </c>
      <c r="AB844">
        <f t="shared" si="238"/>
        <v>5</v>
      </c>
      <c r="AC844" s="10">
        <f t="shared" si="239"/>
        <v>15</v>
      </c>
      <c r="AD844">
        <f t="shared" si="240"/>
        <v>1</v>
      </c>
      <c r="AE844" s="10">
        <f t="shared" si="241"/>
        <v>30</v>
      </c>
      <c r="AF844" s="5">
        <f t="shared" si="234"/>
        <v>1</v>
      </c>
      <c r="AG844" s="5">
        <f t="shared" si="235"/>
        <v>1</v>
      </c>
      <c r="AH844" s="5">
        <f t="shared" si="242"/>
        <v>0</v>
      </c>
      <c r="AI844">
        <f>IF(B844&lt;&gt;"", COUNTIFS($B$2:B844, B844), "")</f>
        <v>53</v>
      </c>
      <c r="AJ844">
        <f t="shared" si="243"/>
        <v>5</v>
      </c>
      <c r="AK844">
        <f t="shared" si="236"/>
        <v>4</v>
      </c>
      <c r="AL844">
        <f t="shared" si="244"/>
        <v>4</v>
      </c>
      <c r="AM844" t="str">
        <f t="shared" si="245"/>
        <v>April</v>
      </c>
      <c r="AN844">
        <f t="shared" si="246"/>
        <v>2023</v>
      </c>
      <c r="AO844" t="str">
        <f t="shared" si="247"/>
        <v>&gt;3</v>
      </c>
      <c r="AP844" t="str">
        <f t="shared" si="248"/>
        <v>&gt;3</v>
      </c>
      <c r="AQ844" t="str">
        <f t="shared" si="249"/>
        <v>&lt;=3</v>
      </c>
    </row>
    <row r="845" spans="1:43" x14ac:dyDescent="0.3">
      <c r="A845" t="s">
        <v>33</v>
      </c>
      <c r="B845" t="s">
        <v>513</v>
      </c>
      <c r="C845" t="s">
        <v>58</v>
      </c>
      <c r="D845">
        <v>3493</v>
      </c>
      <c r="E845">
        <v>23310271</v>
      </c>
      <c r="F845" t="s">
        <v>563</v>
      </c>
      <c r="G845" t="s">
        <v>515</v>
      </c>
      <c r="H845">
        <v>2500</v>
      </c>
      <c r="I845">
        <v>24</v>
      </c>
      <c r="J845">
        <v>60000</v>
      </c>
      <c r="K845" s="7" t="str">
        <f>IFERROR(IF(B845&lt;&gt;"", TEXT(VLOOKUP(B845, 'Expected Date'!A:B, 2, FALSE) + DATE(RIGHT(C845,2),MID(C845,4,2),LEFT(C845,2)), "dd/mm/yy"), ""), "")</f>
        <v>03/08/23</v>
      </c>
      <c r="L845" t="s">
        <v>38</v>
      </c>
      <c r="M845" t="s">
        <v>48</v>
      </c>
      <c r="N845" t="s">
        <v>342</v>
      </c>
      <c r="O845" t="s">
        <v>52</v>
      </c>
      <c r="P845">
        <v>23390441</v>
      </c>
      <c r="Q845" t="s">
        <v>563</v>
      </c>
      <c r="R845" t="s">
        <v>515</v>
      </c>
      <c r="S845">
        <v>1000</v>
      </c>
      <c r="T845">
        <v>24</v>
      </c>
      <c r="U845">
        <v>24000</v>
      </c>
      <c r="V845" t="str">
        <f t="shared" si="232"/>
        <v>Jhagadia</v>
      </c>
      <c r="W845" t="str">
        <f>VLOOKUP(B845, Currency!A:B, 2, FALSE)</f>
        <v>INR</v>
      </c>
      <c r="X845" t="str">
        <f t="shared" si="233"/>
        <v>Accepted</v>
      </c>
      <c r="Y845">
        <f>IFERROR(VLOOKUP(N845, Payment_Terms!A:B, 2, FALSE), "Payment term not found!")</f>
        <v>30</v>
      </c>
      <c r="Z845" t="str">
        <f>IFERROR(VLOOKUP(R845, Item_Category!A:B, 2, FALSE), "Uncategorized")</f>
        <v xml:space="preserve">Caustic Soda </v>
      </c>
      <c r="AA845" s="5">
        <f t="shared" si="237"/>
        <v>0</v>
      </c>
      <c r="AB845">
        <f t="shared" si="238"/>
        <v>5</v>
      </c>
      <c r="AC845" s="10">
        <f t="shared" si="239"/>
        <v>13</v>
      </c>
      <c r="AD845">
        <f t="shared" si="240"/>
        <v>1</v>
      </c>
      <c r="AE845" s="10">
        <f t="shared" si="241"/>
        <v>15</v>
      </c>
      <c r="AF845" s="5">
        <f t="shared" si="234"/>
        <v>1</v>
      </c>
      <c r="AG845" s="5">
        <f t="shared" si="235"/>
        <v>1</v>
      </c>
      <c r="AH845" s="5">
        <f t="shared" si="242"/>
        <v>0</v>
      </c>
      <c r="AI845">
        <f>IF(B845&lt;&gt;"", COUNTIFS($B$2:B845, B845), "")</f>
        <v>26</v>
      </c>
      <c r="AJ845">
        <f t="shared" si="243"/>
        <v>5</v>
      </c>
      <c r="AK845">
        <f t="shared" si="236"/>
        <v>4</v>
      </c>
      <c r="AL845">
        <f t="shared" si="244"/>
        <v>8</v>
      </c>
      <c r="AM845" t="str">
        <f t="shared" si="245"/>
        <v>August</v>
      </c>
      <c r="AN845">
        <f t="shared" si="246"/>
        <v>2023</v>
      </c>
      <c r="AO845" t="str">
        <f t="shared" si="247"/>
        <v>&gt;3</v>
      </c>
      <c r="AP845" t="str">
        <f t="shared" si="248"/>
        <v>&gt;3</v>
      </c>
      <c r="AQ845" t="str">
        <f t="shared" si="249"/>
        <v>&lt;=3</v>
      </c>
    </row>
    <row r="846" spans="1:43" x14ac:dyDescent="0.3">
      <c r="A846" t="s">
        <v>33</v>
      </c>
      <c r="B846" t="str">
        <f>B726</f>
        <v>Ami Enterprises</v>
      </c>
      <c r="C846" t="s">
        <v>194</v>
      </c>
      <c r="D846">
        <v>4745</v>
      </c>
      <c r="E846">
        <v>23310394</v>
      </c>
      <c r="F846" t="s">
        <v>572</v>
      </c>
      <c r="G846" t="s">
        <v>595</v>
      </c>
      <c r="H846">
        <v>2086</v>
      </c>
      <c r="I846">
        <v>33.5</v>
      </c>
      <c r="J846">
        <v>69881</v>
      </c>
      <c r="K846" s="7" t="str">
        <f>IFERROR(IF(B846&lt;&gt;"", TEXT(VLOOKUP(B846, 'Expected Date'!A:B, 2, FALSE) + DATE(RIGHT(C846,2),MID(C846,4,2),LEFT(C846,2)), "dd/mm/yy"), ""), "")</f>
        <v>06/10/23</v>
      </c>
      <c r="L846" t="s">
        <v>38</v>
      </c>
      <c r="M846" t="s">
        <v>39</v>
      </c>
      <c r="N846" t="s">
        <v>342</v>
      </c>
      <c r="O846" t="s">
        <v>536</v>
      </c>
      <c r="P846">
        <v>23390630</v>
      </c>
      <c r="Q846" t="s">
        <v>572</v>
      </c>
      <c r="R846" t="s">
        <v>595</v>
      </c>
      <c r="S846">
        <v>2086</v>
      </c>
      <c r="T846">
        <v>33.5</v>
      </c>
      <c r="U846">
        <v>69881</v>
      </c>
      <c r="V846" t="str">
        <f t="shared" si="232"/>
        <v>Jhagadia</v>
      </c>
      <c r="W846" t="str">
        <f>VLOOKUP(B846, Currency!A:B, 2, FALSE)</f>
        <v>INR</v>
      </c>
      <c r="X846" t="str">
        <f t="shared" si="233"/>
        <v>Accepted</v>
      </c>
      <c r="Y846">
        <f>IFERROR(VLOOKUP(N846, Payment_Terms!A:B, 2, FALSE), "Payment term not found!")</f>
        <v>30</v>
      </c>
      <c r="Z846" t="str">
        <f>IFERROR(VLOOKUP(R846, Item_Category!A:B, 2, FALSE), "Uncategorized")</f>
        <v>Bags</v>
      </c>
      <c r="AA846" s="5">
        <f t="shared" si="237"/>
        <v>0</v>
      </c>
      <c r="AB846">
        <f t="shared" si="238"/>
        <v>5</v>
      </c>
      <c r="AC846" s="10">
        <f t="shared" si="239"/>
        <v>-9</v>
      </c>
      <c r="AD846">
        <f t="shared" si="240"/>
        <v>5</v>
      </c>
      <c r="AE846" s="10">
        <f t="shared" si="241"/>
        <v>1</v>
      </c>
      <c r="AF846" s="5">
        <f t="shared" si="234"/>
        <v>1</v>
      </c>
      <c r="AG846" s="5">
        <f t="shared" si="235"/>
        <v>1</v>
      </c>
      <c r="AH846" s="5">
        <f t="shared" si="242"/>
        <v>0</v>
      </c>
      <c r="AI846">
        <f>IF(B846&lt;&gt;"", COUNTIFS($B$2:B846, B846), "")</f>
        <v>52</v>
      </c>
      <c r="AJ846">
        <f t="shared" si="243"/>
        <v>5</v>
      </c>
      <c r="AK846">
        <f t="shared" si="236"/>
        <v>5</v>
      </c>
      <c r="AL846">
        <f t="shared" si="244"/>
        <v>9</v>
      </c>
      <c r="AM846" t="str">
        <f t="shared" si="245"/>
        <v>September</v>
      </c>
      <c r="AN846">
        <f t="shared" si="246"/>
        <v>2023</v>
      </c>
      <c r="AO846" t="str">
        <f t="shared" si="247"/>
        <v>&gt;3</v>
      </c>
      <c r="AP846" t="str">
        <f t="shared" si="248"/>
        <v>&gt;3</v>
      </c>
      <c r="AQ846" t="str">
        <f t="shared" si="249"/>
        <v>&gt;3</v>
      </c>
    </row>
  </sheetData>
  <autoFilter ref="A1:AQ846" xr:uid="{C49CA8C2-5022-4F2D-8BBE-237E8117CD8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A715-12CC-4BF8-B664-192BDB4DAB02}">
  <sheetPr>
    <tabColor rgb="FF7030A0"/>
  </sheetPr>
  <dimension ref="A1:B189"/>
  <sheetViews>
    <sheetView workbookViewId="0">
      <selection activeCell="B2" sqref="B2"/>
    </sheetView>
  </sheetViews>
  <sheetFormatPr defaultRowHeight="14.4" x14ac:dyDescent="0.3"/>
  <cols>
    <col min="1" max="1" width="71.88671875" customWidth="1"/>
    <col min="2" max="2" width="23.5546875" customWidth="1"/>
  </cols>
  <sheetData>
    <row r="1" spans="1:2" x14ac:dyDescent="0.3">
      <c r="A1" s="2" t="s">
        <v>16</v>
      </c>
      <c r="B1" s="2" t="s">
        <v>799</v>
      </c>
    </row>
    <row r="2" spans="1:2" x14ac:dyDescent="0.3">
      <c r="A2" t="s">
        <v>37</v>
      </c>
      <c r="B2" t="s">
        <v>800</v>
      </c>
    </row>
    <row r="3" spans="1:2" x14ac:dyDescent="0.3">
      <c r="A3" t="s">
        <v>47</v>
      </c>
      <c r="B3" t="s">
        <v>801</v>
      </c>
    </row>
    <row r="4" spans="1:2" x14ac:dyDescent="0.3">
      <c r="A4" t="s">
        <v>54</v>
      </c>
      <c r="B4" t="s">
        <v>802</v>
      </c>
    </row>
    <row r="5" spans="1:2" x14ac:dyDescent="0.3">
      <c r="A5" t="s">
        <v>62</v>
      </c>
      <c r="B5" t="str">
        <f>B4</f>
        <v>Coal materials</v>
      </c>
    </row>
    <row r="6" spans="1:2" x14ac:dyDescent="0.3">
      <c r="A6" t="s">
        <v>67</v>
      </c>
      <c r="B6" t="str">
        <f>B2</f>
        <v>Bags</v>
      </c>
    </row>
    <row r="7" spans="1:2" x14ac:dyDescent="0.3">
      <c r="A7" t="s">
        <v>76</v>
      </c>
      <c r="B7" t="s">
        <v>803</v>
      </c>
    </row>
    <row r="8" spans="1:2" x14ac:dyDescent="0.3">
      <c r="A8" t="s">
        <v>82</v>
      </c>
      <c r="B8" t="s">
        <v>804</v>
      </c>
    </row>
    <row r="9" spans="1:2" x14ac:dyDescent="0.3">
      <c r="A9" t="s">
        <v>86</v>
      </c>
      <c r="B9" t="str">
        <f>B6</f>
        <v>Bags</v>
      </c>
    </row>
    <row r="10" spans="1:2" x14ac:dyDescent="0.3">
      <c r="A10" t="s">
        <v>93</v>
      </c>
      <c r="B10" t="str">
        <f>B9</f>
        <v>Bags</v>
      </c>
    </row>
    <row r="11" spans="1:2" x14ac:dyDescent="0.3">
      <c r="A11" t="s">
        <v>99</v>
      </c>
      <c r="B11" t="s">
        <v>805</v>
      </c>
    </row>
    <row r="12" spans="1:2" x14ac:dyDescent="0.3">
      <c r="A12" t="s">
        <v>114</v>
      </c>
      <c r="B12" t="s">
        <v>806</v>
      </c>
    </row>
    <row r="13" spans="1:2" x14ac:dyDescent="0.3">
      <c r="A13" t="s">
        <v>119</v>
      </c>
      <c r="B13" t="s">
        <v>800</v>
      </c>
    </row>
    <row r="14" spans="1:2" x14ac:dyDescent="0.3">
      <c r="A14" t="s">
        <v>126</v>
      </c>
      <c r="B14" t="str">
        <f>B10</f>
        <v>Bags</v>
      </c>
    </row>
    <row r="15" spans="1:2" x14ac:dyDescent="0.3">
      <c r="A15" t="s">
        <v>130</v>
      </c>
      <c r="B15" t="s">
        <v>807</v>
      </c>
    </row>
    <row r="16" spans="1:2" x14ac:dyDescent="0.3">
      <c r="A16" t="s">
        <v>136</v>
      </c>
      <c r="B16" t="str">
        <f>B5</f>
        <v>Coal materials</v>
      </c>
    </row>
    <row r="17" spans="1:2" x14ac:dyDescent="0.3">
      <c r="A17" t="s">
        <v>143</v>
      </c>
      <c r="B17" t="str">
        <f>B56</f>
        <v>Wood pulp</v>
      </c>
    </row>
    <row r="18" spans="1:2" x14ac:dyDescent="0.3">
      <c r="A18" t="s">
        <v>149</v>
      </c>
      <c r="B18" t="s">
        <v>808</v>
      </c>
    </row>
    <row r="19" spans="1:2" x14ac:dyDescent="0.3">
      <c r="A19" t="s">
        <v>153</v>
      </c>
      <c r="B19" t="str">
        <f>B16</f>
        <v>Coal materials</v>
      </c>
    </row>
    <row r="20" spans="1:2" x14ac:dyDescent="0.3">
      <c r="A20" t="s">
        <v>159</v>
      </c>
      <c r="B20" t="s">
        <v>809</v>
      </c>
    </row>
    <row r="21" spans="1:2" x14ac:dyDescent="0.3">
      <c r="A21" t="s">
        <v>167</v>
      </c>
      <c r="B21" t="str">
        <f>B14</f>
        <v>Bags</v>
      </c>
    </row>
    <row r="22" spans="1:2" x14ac:dyDescent="0.3">
      <c r="A22" t="s">
        <v>171</v>
      </c>
      <c r="B22" t="str">
        <f>B21</f>
        <v>Bags</v>
      </c>
    </row>
    <row r="23" spans="1:2" x14ac:dyDescent="0.3">
      <c r="A23" t="s">
        <v>176</v>
      </c>
      <c r="B23" t="s">
        <v>805</v>
      </c>
    </row>
    <row r="24" spans="1:2" x14ac:dyDescent="0.3">
      <c r="A24" t="s">
        <v>187</v>
      </c>
      <c r="B24" t="s">
        <v>810</v>
      </c>
    </row>
    <row r="25" spans="1:2" x14ac:dyDescent="0.3">
      <c r="A25" t="s">
        <v>197</v>
      </c>
      <c r="B25" t="str">
        <f>B19</f>
        <v>Coal materials</v>
      </c>
    </row>
    <row r="26" spans="1:2" x14ac:dyDescent="0.3">
      <c r="A26" t="s">
        <v>205</v>
      </c>
      <c r="B26" t="s">
        <v>811</v>
      </c>
    </row>
    <row r="27" spans="1:2" x14ac:dyDescent="0.3">
      <c r="A27" t="s">
        <v>213</v>
      </c>
      <c r="B27" t="str">
        <f>B22</f>
        <v>Bags</v>
      </c>
    </row>
    <row r="28" spans="1:2" x14ac:dyDescent="0.3">
      <c r="A28" t="s">
        <v>215</v>
      </c>
      <c r="B28" t="str">
        <f>B25</f>
        <v>Coal materials</v>
      </c>
    </row>
    <row r="29" spans="1:2" x14ac:dyDescent="0.3">
      <c r="A29" t="s">
        <v>217</v>
      </c>
      <c r="B29" t="str">
        <f>B27</f>
        <v>Bags</v>
      </c>
    </row>
    <row r="30" spans="1:2" x14ac:dyDescent="0.3">
      <c r="A30" t="s">
        <v>219</v>
      </c>
      <c r="B30" t="str">
        <f>B29</f>
        <v>Bags</v>
      </c>
    </row>
    <row r="31" spans="1:2" x14ac:dyDescent="0.3">
      <c r="A31" t="s">
        <v>233</v>
      </c>
      <c r="B31" t="str">
        <f>B30</f>
        <v>Bags</v>
      </c>
    </row>
    <row r="32" spans="1:2" x14ac:dyDescent="0.3">
      <c r="A32" t="s">
        <v>236</v>
      </c>
      <c r="B32" t="s">
        <v>812</v>
      </c>
    </row>
    <row r="33" spans="1:2" x14ac:dyDescent="0.3">
      <c r="A33" t="s">
        <v>241</v>
      </c>
      <c r="B33" t="str">
        <f>B31</f>
        <v>Bags</v>
      </c>
    </row>
    <row r="34" spans="1:2" x14ac:dyDescent="0.3">
      <c r="A34" t="s">
        <v>244</v>
      </c>
      <c r="B34" t="s">
        <v>805</v>
      </c>
    </row>
    <row r="35" spans="1:2" x14ac:dyDescent="0.3">
      <c r="A35" t="s">
        <v>251</v>
      </c>
      <c r="B35" t="s">
        <v>813</v>
      </c>
    </row>
    <row r="36" spans="1:2" x14ac:dyDescent="0.3">
      <c r="A36" t="s">
        <v>256</v>
      </c>
      <c r="B36" t="str">
        <f>B33</f>
        <v>Bags</v>
      </c>
    </row>
    <row r="37" spans="1:2" x14ac:dyDescent="0.3">
      <c r="A37" t="s">
        <v>260</v>
      </c>
      <c r="B37" t="s">
        <v>814</v>
      </c>
    </row>
    <row r="38" spans="1:2" x14ac:dyDescent="0.3">
      <c r="A38" t="s">
        <v>267</v>
      </c>
      <c r="B38" t="s">
        <v>715</v>
      </c>
    </row>
    <row r="39" spans="1:2" x14ac:dyDescent="0.3">
      <c r="A39" t="s">
        <v>278</v>
      </c>
      <c r="B39" t="s">
        <v>815</v>
      </c>
    </row>
    <row r="40" spans="1:2" x14ac:dyDescent="0.3">
      <c r="A40" t="s">
        <v>283</v>
      </c>
      <c r="B40" t="s">
        <v>816</v>
      </c>
    </row>
    <row r="41" spans="1:2" x14ac:dyDescent="0.3">
      <c r="A41" t="s">
        <v>291</v>
      </c>
      <c r="B41" t="s">
        <v>805</v>
      </c>
    </row>
    <row r="42" spans="1:2" x14ac:dyDescent="0.3">
      <c r="A42" t="s">
        <v>298</v>
      </c>
      <c r="B42" t="s">
        <v>817</v>
      </c>
    </row>
    <row r="43" spans="1:2" x14ac:dyDescent="0.3">
      <c r="A43" t="s">
        <v>303</v>
      </c>
      <c r="B43" t="s">
        <v>303</v>
      </c>
    </row>
    <row r="44" spans="1:2" x14ac:dyDescent="0.3">
      <c r="A44" t="s">
        <v>306</v>
      </c>
      <c r="B44" t="s">
        <v>818</v>
      </c>
    </row>
    <row r="45" spans="1:2" x14ac:dyDescent="0.3">
      <c r="A45" t="s">
        <v>311</v>
      </c>
      <c r="B45" t="s">
        <v>376</v>
      </c>
    </row>
    <row r="46" spans="1:2" x14ac:dyDescent="0.3">
      <c r="A46" t="s">
        <v>315</v>
      </c>
      <c r="B46" t="s">
        <v>315</v>
      </c>
    </row>
    <row r="47" spans="1:2" x14ac:dyDescent="0.3">
      <c r="A47" t="s">
        <v>317</v>
      </c>
      <c r="B47" t="str">
        <f>B36</f>
        <v>Bags</v>
      </c>
    </row>
    <row r="48" spans="1:2" x14ac:dyDescent="0.3">
      <c r="A48" t="s">
        <v>322</v>
      </c>
      <c r="B48" t="s">
        <v>322</v>
      </c>
    </row>
    <row r="49" spans="1:2" x14ac:dyDescent="0.3">
      <c r="A49" t="s">
        <v>327</v>
      </c>
      <c r="B49" t="s">
        <v>815</v>
      </c>
    </row>
    <row r="50" spans="1:2" x14ac:dyDescent="0.3">
      <c r="A50" t="s">
        <v>334</v>
      </c>
      <c r="B50" t="str">
        <f>B26</f>
        <v>SSG-Bags</v>
      </c>
    </row>
    <row r="51" spans="1:2" x14ac:dyDescent="0.3">
      <c r="A51" t="s">
        <v>336</v>
      </c>
      <c r="B51" t="str">
        <f>B47</f>
        <v>Bags</v>
      </c>
    </row>
    <row r="52" spans="1:2" x14ac:dyDescent="0.3">
      <c r="A52" t="s">
        <v>341</v>
      </c>
      <c r="B52" t="str">
        <f>B33</f>
        <v>Bags</v>
      </c>
    </row>
    <row r="53" spans="1:2" x14ac:dyDescent="0.3">
      <c r="A53" t="s">
        <v>346</v>
      </c>
      <c r="B53" t="str">
        <f>B52</f>
        <v>Bags</v>
      </c>
    </row>
    <row r="54" spans="1:2" x14ac:dyDescent="0.3">
      <c r="A54" t="s">
        <v>350</v>
      </c>
      <c r="B54" t="s">
        <v>819</v>
      </c>
    </row>
    <row r="55" spans="1:2" x14ac:dyDescent="0.3">
      <c r="A55" t="s">
        <v>356</v>
      </c>
      <c r="B55" t="s">
        <v>820</v>
      </c>
    </row>
    <row r="56" spans="1:2" x14ac:dyDescent="0.3">
      <c r="A56" t="s">
        <v>360</v>
      </c>
      <c r="B56" t="s">
        <v>805</v>
      </c>
    </row>
    <row r="57" spans="1:2" x14ac:dyDescent="0.3">
      <c r="A57" t="s">
        <v>363</v>
      </c>
      <c r="B57" t="str">
        <f>B7</f>
        <v>Pallets</v>
      </c>
    </row>
    <row r="58" spans="1:2" x14ac:dyDescent="0.3">
      <c r="A58" t="s">
        <v>369</v>
      </c>
      <c r="B58" t="str">
        <f>B28</f>
        <v>Coal materials</v>
      </c>
    </row>
    <row r="59" spans="1:2" x14ac:dyDescent="0.3">
      <c r="A59" t="s">
        <v>373</v>
      </c>
      <c r="B59" t="s">
        <v>804</v>
      </c>
    </row>
    <row r="60" spans="1:2" x14ac:dyDescent="0.3">
      <c r="A60" t="s">
        <v>376</v>
      </c>
      <c r="B60" t="s">
        <v>376</v>
      </c>
    </row>
    <row r="61" spans="1:2" x14ac:dyDescent="0.3">
      <c r="A61" t="s">
        <v>380</v>
      </c>
      <c r="B61" t="str">
        <f>B37</f>
        <v>SSG - Maize</v>
      </c>
    </row>
    <row r="62" spans="1:2" x14ac:dyDescent="0.3">
      <c r="A62" t="s">
        <v>384</v>
      </c>
      <c r="B62" t="str">
        <f>B3</f>
        <v>Gas</v>
      </c>
    </row>
    <row r="63" spans="1:2" x14ac:dyDescent="0.3">
      <c r="A63" t="s">
        <v>388</v>
      </c>
      <c r="B63" t="s">
        <v>821</v>
      </c>
    </row>
    <row r="64" spans="1:2" x14ac:dyDescent="0.3">
      <c r="A64" t="s">
        <v>390</v>
      </c>
      <c r="B64" t="s">
        <v>805</v>
      </c>
    </row>
    <row r="65" spans="1:2" x14ac:dyDescent="0.3">
      <c r="A65" t="s">
        <v>393</v>
      </c>
      <c r="B65" t="str">
        <f>B25</f>
        <v>Coal materials</v>
      </c>
    </row>
    <row r="66" spans="1:2" x14ac:dyDescent="0.3">
      <c r="A66" t="s">
        <v>400</v>
      </c>
      <c r="B66" t="s">
        <v>822</v>
      </c>
    </row>
    <row r="67" spans="1:2" x14ac:dyDescent="0.3">
      <c r="A67" t="s">
        <v>403</v>
      </c>
      <c r="B67" t="s">
        <v>823</v>
      </c>
    </row>
    <row r="68" spans="1:2" x14ac:dyDescent="0.3">
      <c r="A68" t="s">
        <v>406</v>
      </c>
      <c r="B68" t="str">
        <f>B57</f>
        <v>Pallets</v>
      </c>
    </row>
    <row r="69" spans="1:2" x14ac:dyDescent="0.3">
      <c r="A69" t="s">
        <v>411</v>
      </c>
      <c r="B69" t="s">
        <v>824</v>
      </c>
    </row>
    <row r="70" spans="1:2" x14ac:dyDescent="0.3">
      <c r="A70" t="s">
        <v>413</v>
      </c>
      <c r="B70" t="s">
        <v>413</v>
      </c>
    </row>
    <row r="71" spans="1:2" x14ac:dyDescent="0.3">
      <c r="A71" t="s">
        <v>421</v>
      </c>
      <c r="B71" t="s">
        <v>306</v>
      </c>
    </row>
    <row r="72" spans="1:2" x14ac:dyDescent="0.3">
      <c r="A72" t="s">
        <v>425</v>
      </c>
      <c r="B72" t="str">
        <f>B53</f>
        <v>Bags</v>
      </c>
    </row>
    <row r="73" spans="1:2" x14ac:dyDescent="0.3">
      <c r="A73" t="s">
        <v>431</v>
      </c>
      <c r="B73" t="s">
        <v>807</v>
      </c>
    </row>
    <row r="74" spans="1:2" x14ac:dyDescent="0.3">
      <c r="A74" t="s">
        <v>434</v>
      </c>
      <c r="B74" t="str">
        <f>B20</f>
        <v>Sodium salts</v>
      </c>
    </row>
    <row r="75" spans="1:2" x14ac:dyDescent="0.3">
      <c r="A75" t="s">
        <v>438</v>
      </c>
      <c r="B75" t="str">
        <f>B24</f>
        <v>Liner</v>
      </c>
    </row>
    <row r="76" spans="1:2" x14ac:dyDescent="0.3">
      <c r="A76" t="s">
        <v>441</v>
      </c>
      <c r="B76" t="s">
        <v>825</v>
      </c>
    </row>
    <row r="77" spans="1:2" x14ac:dyDescent="0.3">
      <c r="A77" t="s">
        <v>444</v>
      </c>
      <c r="B77" t="s">
        <v>805</v>
      </c>
    </row>
    <row r="78" spans="1:2" x14ac:dyDescent="0.3">
      <c r="A78" t="s">
        <v>446</v>
      </c>
      <c r="B78" t="str">
        <f>B42</f>
        <v>SSG - Potato</v>
      </c>
    </row>
    <row r="79" spans="1:2" x14ac:dyDescent="0.3">
      <c r="A79" t="s">
        <v>451</v>
      </c>
      <c r="B79" t="s">
        <v>826</v>
      </c>
    </row>
    <row r="80" spans="1:2" x14ac:dyDescent="0.3">
      <c r="A80" t="s">
        <v>454</v>
      </c>
      <c r="B80" t="s">
        <v>827</v>
      </c>
    </row>
    <row r="81" spans="1:2" x14ac:dyDescent="0.3">
      <c r="A81" t="s">
        <v>458</v>
      </c>
      <c r="B81" t="s">
        <v>828</v>
      </c>
    </row>
    <row r="82" spans="1:2" x14ac:dyDescent="0.3">
      <c r="A82" t="s">
        <v>461</v>
      </c>
      <c r="B82" t="str">
        <f>B72</f>
        <v>Bags</v>
      </c>
    </row>
    <row r="83" spans="1:2" x14ac:dyDescent="0.3">
      <c r="A83" t="s">
        <v>463</v>
      </c>
      <c r="B83" t="str">
        <f>B81</f>
        <v>Mesh vibro sifter</v>
      </c>
    </row>
    <row r="84" spans="1:2" x14ac:dyDescent="0.3">
      <c r="A84" t="s">
        <v>465</v>
      </c>
      <c r="B84" t="str">
        <f>B83</f>
        <v>Mesh vibro sifter</v>
      </c>
    </row>
    <row r="85" spans="1:2" x14ac:dyDescent="0.3">
      <c r="A85" t="s">
        <v>467</v>
      </c>
      <c r="B85" t="str">
        <f>B84</f>
        <v>Mesh vibro sifter</v>
      </c>
    </row>
    <row r="86" spans="1:2" x14ac:dyDescent="0.3">
      <c r="A86" t="s">
        <v>472</v>
      </c>
      <c r="B86" t="str">
        <f>B72</f>
        <v>Bags</v>
      </c>
    </row>
    <row r="87" spans="1:2" x14ac:dyDescent="0.3">
      <c r="A87" t="s">
        <v>474</v>
      </c>
      <c r="B87" t="str">
        <f>B86</f>
        <v>Bags</v>
      </c>
    </row>
    <row r="88" spans="1:2" x14ac:dyDescent="0.3">
      <c r="A88" t="s">
        <v>480</v>
      </c>
      <c r="B88" t="s">
        <v>829</v>
      </c>
    </row>
    <row r="89" spans="1:2" x14ac:dyDescent="0.3">
      <c r="A89" t="s">
        <v>486</v>
      </c>
      <c r="B89" t="str">
        <f>B75</f>
        <v>Liner</v>
      </c>
    </row>
    <row r="90" spans="1:2" x14ac:dyDescent="0.3">
      <c r="A90" t="s">
        <v>489</v>
      </c>
      <c r="B90" t="str">
        <f>B84</f>
        <v>Mesh vibro sifter</v>
      </c>
    </row>
    <row r="91" spans="1:2" x14ac:dyDescent="0.3">
      <c r="A91" t="s">
        <v>491</v>
      </c>
      <c r="B91" t="str">
        <f>B90</f>
        <v>Mesh vibro sifter</v>
      </c>
    </row>
    <row r="92" spans="1:2" x14ac:dyDescent="0.3">
      <c r="A92" t="s">
        <v>495</v>
      </c>
      <c r="B92" t="s">
        <v>830</v>
      </c>
    </row>
    <row r="93" spans="1:2" x14ac:dyDescent="0.3">
      <c r="A93" t="s">
        <v>498</v>
      </c>
      <c r="B93" t="s">
        <v>831</v>
      </c>
    </row>
    <row r="94" spans="1:2" x14ac:dyDescent="0.3">
      <c r="A94" t="s">
        <v>500</v>
      </c>
      <c r="B94" t="s">
        <v>832</v>
      </c>
    </row>
    <row r="95" spans="1:2" x14ac:dyDescent="0.3">
      <c r="A95" t="s">
        <v>503</v>
      </c>
      <c r="B95" t="str">
        <f>B87</f>
        <v>Bags</v>
      </c>
    </row>
    <row r="96" spans="1:2" x14ac:dyDescent="0.3">
      <c r="A96" t="s">
        <v>505</v>
      </c>
      <c r="B96" t="str">
        <f>B95</f>
        <v>Bags</v>
      </c>
    </row>
    <row r="97" spans="1:2" x14ac:dyDescent="0.3">
      <c r="A97" t="s">
        <v>508</v>
      </c>
      <c r="B97" t="s">
        <v>806</v>
      </c>
    </row>
    <row r="98" spans="1:2" x14ac:dyDescent="0.3">
      <c r="A98" t="s">
        <v>511</v>
      </c>
      <c r="B98" t="s">
        <v>822</v>
      </c>
    </row>
    <row r="99" spans="1:2" x14ac:dyDescent="0.3">
      <c r="A99" t="s">
        <v>515</v>
      </c>
      <c r="B99" t="s">
        <v>833</v>
      </c>
    </row>
    <row r="100" spans="1:2" x14ac:dyDescent="0.3">
      <c r="A100" t="s">
        <v>518</v>
      </c>
      <c r="B100" t="str">
        <f>B96</f>
        <v>Bags</v>
      </c>
    </row>
    <row r="101" spans="1:2" x14ac:dyDescent="0.3">
      <c r="A101" t="s">
        <v>523</v>
      </c>
      <c r="B101" t="s">
        <v>805</v>
      </c>
    </row>
    <row r="102" spans="1:2" x14ac:dyDescent="0.3">
      <c r="A102" t="s">
        <v>529</v>
      </c>
      <c r="B102" t="str">
        <f>B89</f>
        <v>Liner</v>
      </c>
    </row>
    <row r="103" spans="1:2" x14ac:dyDescent="0.3">
      <c r="A103" t="s">
        <v>535</v>
      </c>
      <c r="B103" t="str">
        <f>B102</f>
        <v>Liner</v>
      </c>
    </row>
    <row r="104" spans="1:2" x14ac:dyDescent="0.3">
      <c r="A104" t="s">
        <v>546</v>
      </c>
      <c r="B104" t="s">
        <v>834</v>
      </c>
    </row>
    <row r="105" spans="1:2" x14ac:dyDescent="0.3">
      <c r="A105" t="s">
        <v>553</v>
      </c>
      <c r="B105" t="str">
        <f>B59</f>
        <v>HCL</v>
      </c>
    </row>
    <row r="106" spans="1:2" x14ac:dyDescent="0.3">
      <c r="A106" t="s">
        <v>555</v>
      </c>
      <c r="B106" t="s">
        <v>835</v>
      </c>
    </row>
    <row r="107" spans="1:2" x14ac:dyDescent="0.3">
      <c r="A107" t="s">
        <v>559</v>
      </c>
      <c r="B107" t="s">
        <v>836</v>
      </c>
    </row>
    <row r="108" spans="1:2" x14ac:dyDescent="0.3">
      <c r="A108" t="s">
        <v>561</v>
      </c>
      <c r="B108" t="s">
        <v>837</v>
      </c>
    </row>
    <row r="109" spans="1:2" x14ac:dyDescent="0.3">
      <c r="A109" t="s">
        <v>564</v>
      </c>
      <c r="B109" t="s">
        <v>833</v>
      </c>
    </row>
    <row r="110" spans="1:2" x14ac:dyDescent="0.3">
      <c r="A110" t="s">
        <v>566</v>
      </c>
      <c r="B110" t="str">
        <f>B68</f>
        <v>Pallets</v>
      </c>
    </row>
    <row r="111" spans="1:2" x14ac:dyDescent="0.3">
      <c r="A111" t="s">
        <v>568</v>
      </c>
      <c r="B111" t="str">
        <f>B103</f>
        <v>Liner</v>
      </c>
    </row>
    <row r="112" spans="1:2" x14ac:dyDescent="0.3">
      <c r="A112" t="s">
        <v>570</v>
      </c>
      <c r="B112" t="str">
        <f>B65</f>
        <v>Coal materials</v>
      </c>
    </row>
    <row r="113" spans="1:2" x14ac:dyDescent="0.3">
      <c r="A113" t="s">
        <v>573</v>
      </c>
      <c r="B113" t="str">
        <f>B100</f>
        <v>Bags</v>
      </c>
    </row>
    <row r="114" spans="1:2" x14ac:dyDescent="0.3">
      <c r="A114" t="s">
        <v>577</v>
      </c>
      <c r="B114" t="s">
        <v>838</v>
      </c>
    </row>
    <row r="115" spans="1:2" x14ac:dyDescent="0.3">
      <c r="A115" t="s">
        <v>579</v>
      </c>
      <c r="B115" t="s">
        <v>839</v>
      </c>
    </row>
    <row r="116" spans="1:2" x14ac:dyDescent="0.3">
      <c r="A116" t="s">
        <v>582</v>
      </c>
      <c r="B116" t="s">
        <v>807</v>
      </c>
    </row>
    <row r="117" spans="1:2" x14ac:dyDescent="0.3">
      <c r="A117" t="s">
        <v>588</v>
      </c>
      <c r="B117" t="str">
        <f>B78</f>
        <v>SSG - Potato</v>
      </c>
    </row>
    <row r="118" spans="1:2" x14ac:dyDescent="0.3">
      <c r="A118" t="s">
        <v>595</v>
      </c>
      <c r="B118" t="str">
        <f>B113</f>
        <v>Bags</v>
      </c>
    </row>
    <row r="119" spans="1:2" x14ac:dyDescent="0.3">
      <c r="A119" t="s">
        <v>598</v>
      </c>
      <c r="B119" t="s">
        <v>840</v>
      </c>
    </row>
    <row r="120" spans="1:2" x14ac:dyDescent="0.3">
      <c r="A120" t="s">
        <v>601</v>
      </c>
      <c r="B120" t="s">
        <v>841</v>
      </c>
    </row>
    <row r="121" spans="1:2" x14ac:dyDescent="0.3">
      <c r="A121" t="s">
        <v>602</v>
      </c>
      <c r="B121" t="str">
        <f>B111</f>
        <v>Liner</v>
      </c>
    </row>
    <row r="122" spans="1:2" x14ac:dyDescent="0.3">
      <c r="A122" t="s">
        <v>607</v>
      </c>
      <c r="B122" t="s">
        <v>607</v>
      </c>
    </row>
    <row r="123" spans="1:2" x14ac:dyDescent="0.3">
      <c r="A123" t="s">
        <v>611</v>
      </c>
      <c r="B123" t="s">
        <v>611</v>
      </c>
    </row>
    <row r="124" spans="1:2" x14ac:dyDescent="0.3">
      <c r="A124" t="s">
        <v>614</v>
      </c>
      <c r="B124" t="s">
        <v>614</v>
      </c>
    </row>
    <row r="125" spans="1:2" x14ac:dyDescent="0.3">
      <c r="A125" t="s">
        <v>617</v>
      </c>
      <c r="B125" t="s">
        <v>842</v>
      </c>
    </row>
    <row r="126" spans="1:2" x14ac:dyDescent="0.3">
      <c r="A126" t="s">
        <v>621</v>
      </c>
      <c r="B126" t="s">
        <v>843</v>
      </c>
    </row>
    <row r="127" spans="1:2" x14ac:dyDescent="0.3">
      <c r="A127" t="s">
        <v>624</v>
      </c>
      <c r="B127" t="s">
        <v>624</v>
      </c>
    </row>
    <row r="128" spans="1:2" x14ac:dyDescent="0.3">
      <c r="A128" t="s">
        <v>627</v>
      </c>
      <c r="B128" t="s">
        <v>627</v>
      </c>
    </row>
    <row r="129" spans="1:2" x14ac:dyDescent="0.3">
      <c r="A129" t="s">
        <v>631</v>
      </c>
      <c r="B129" t="s">
        <v>631</v>
      </c>
    </row>
    <row r="130" spans="1:2" x14ac:dyDescent="0.3">
      <c r="A130" t="s">
        <v>634</v>
      </c>
      <c r="B130" t="s">
        <v>634</v>
      </c>
    </row>
    <row r="131" spans="1:2" x14ac:dyDescent="0.3">
      <c r="A131" t="s">
        <v>637</v>
      </c>
      <c r="B131" t="s">
        <v>844</v>
      </c>
    </row>
    <row r="132" spans="1:2" x14ac:dyDescent="0.3">
      <c r="A132" t="s">
        <v>641</v>
      </c>
      <c r="B132" t="s">
        <v>641</v>
      </c>
    </row>
    <row r="133" spans="1:2" x14ac:dyDescent="0.3">
      <c r="A133" t="s">
        <v>644</v>
      </c>
      <c r="B133" t="s">
        <v>644</v>
      </c>
    </row>
    <row r="134" spans="1:2" x14ac:dyDescent="0.3">
      <c r="A134" t="s">
        <v>647</v>
      </c>
      <c r="B134" t="s">
        <v>647</v>
      </c>
    </row>
    <row r="135" spans="1:2" x14ac:dyDescent="0.3">
      <c r="A135" t="s">
        <v>650</v>
      </c>
      <c r="B135" t="s">
        <v>650</v>
      </c>
    </row>
    <row r="136" spans="1:2" x14ac:dyDescent="0.3">
      <c r="A136" t="s">
        <v>654</v>
      </c>
      <c r="B136" t="s">
        <v>654</v>
      </c>
    </row>
    <row r="137" spans="1:2" x14ac:dyDescent="0.3">
      <c r="A137" t="s">
        <v>658</v>
      </c>
      <c r="B137" t="s">
        <v>658</v>
      </c>
    </row>
    <row r="138" spans="1:2" x14ac:dyDescent="0.3">
      <c r="A138" t="s">
        <v>662</v>
      </c>
      <c r="B138" t="s">
        <v>662</v>
      </c>
    </row>
    <row r="139" spans="1:2" x14ac:dyDescent="0.3">
      <c r="A139" t="s">
        <v>665</v>
      </c>
      <c r="B139" t="s">
        <v>665</v>
      </c>
    </row>
    <row r="140" spans="1:2" x14ac:dyDescent="0.3">
      <c r="A140" t="s">
        <v>668</v>
      </c>
      <c r="B140" t="s">
        <v>668</v>
      </c>
    </row>
    <row r="141" spans="1:2" x14ac:dyDescent="0.3">
      <c r="A141" t="s">
        <v>671</v>
      </c>
      <c r="B141" t="s">
        <v>671</v>
      </c>
    </row>
    <row r="142" spans="1:2" x14ac:dyDescent="0.3">
      <c r="A142" t="s">
        <v>673</v>
      </c>
      <c r="B142" t="s">
        <v>673</v>
      </c>
    </row>
    <row r="143" spans="1:2" x14ac:dyDescent="0.3">
      <c r="A143" t="s">
        <v>676</v>
      </c>
      <c r="B143" t="s">
        <v>676</v>
      </c>
    </row>
    <row r="144" spans="1:2" x14ac:dyDescent="0.3">
      <c r="A144" t="s">
        <v>678</v>
      </c>
      <c r="B144" t="s">
        <v>678</v>
      </c>
    </row>
    <row r="145" spans="1:2" x14ac:dyDescent="0.3">
      <c r="A145" t="s">
        <v>681</v>
      </c>
      <c r="B145" t="s">
        <v>681</v>
      </c>
    </row>
    <row r="146" spans="1:2" x14ac:dyDescent="0.3">
      <c r="A146" t="s">
        <v>683</v>
      </c>
      <c r="B146" t="s">
        <v>683</v>
      </c>
    </row>
    <row r="147" spans="1:2" x14ac:dyDescent="0.3">
      <c r="A147" t="s">
        <v>687</v>
      </c>
      <c r="B147" t="s">
        <v>804</v>
      </c>
    </row>
    <row r="148" spans="1:2" x14ac:dyDescent="0.3">
      <c r="A148" t="s">
        <v>690</v>
      </c>
      <c r="B148" t="s">
        <v>690</v>
      </c>
    </row>
    <row r="149" spans="1:2" x14ac:dyDescent="0.3">
      <c r="A149" t="s">
        <v>694</v>
      </c>
      <c r="B149" t="s">
        <v>694</v>
      </c>
    </row>
    <row r="150" spans="1:2" x14ac:dyDescent="0.3">
      <c r="A150" t="s">
        <v>697</v>
      </c>
      <c r="B150" t="s">
        <v>697</v>
      </c>
    </row>
    <row r="151" spans="1:2" x14ac:dyDescent="0.3">
      <c r="A151" t="s">
        <v>700</v>
      </c>
      <c r="B151" t="s">
        <v>700</v>
      </c>
    </row>
    <row r="152" spans="1:2" x14ac:dyDescent="0.3">
      <c r="A152" t="s">
        <v>702</v>
      </c>
      <c r="B152" t="s">
        <v>702</v>
      </c>
    </row>
    <row r="153" spans="1:2" x14ac:dyDescent="0.3">
      <c r="A153" t="s">
        <v>705</v>
      </c>
      <c r="B153" t="s">
        <v>705</v>
      </c>
    </row>
    <row r="154" spans="1:2" x14ac:dyDescent="0.3">
      <c r="A154" t="s">
        <v>708</v>
      </c>
      <c r="B154" t="s">
        <v>708</v>
      </c>
    </row>
    <row r="155" spans="1:2" x14ac:dyDescent="0.3">
      <c r="A155" t="s">
        <v>711</v>
      </c>
      <c r="B155" t="s">
        <v>711</v>
      </c>
    </row>
    <row r="156" spans="1:2" x14ac:dyDescent="0.3">
      <c r="A156" t="s">
        <v>713</v>
      </c>
      <c r="B156" t="s">
        <v>713</v>
      </c>
    </row>
    <row r="157" spans="1:2" x14ac:dyDescent="0.3">
      <c r="A157" t="s">
        <v>715</v>
      </c>
      <c r="B157" t="s">
        <v>715</v>
      </c>
    </row>
    <row r="158" spans="1:2" x14ac:dyDescent="0.3">
      <c r="A158" t="s">
        <v>718</v>
      </c>
      <c r="B158" t="s">
        <v>718</v>
      </c>
    </row>
    <row r="159" spans="1:2" x14ac:dyDescent="0.3">
      <c r="A159" t="s">
        <v>720</v>
      </c>
      <c r="B159" t="s">
        <v>720</v>
      </c>
    </row>
    <row r="160" spans="1:2" x14ac:dyDescent="0.3">
      <c r="A160" t="s">
        <v>723</v>
      </c>
      <c r="B160" t="s">
        <v>723</v>
      </c>
    </row>
    <row r="161" spans="1:2" x14ac:dyDescent="0.3">
      <c r="A161" t="s">
        <v>726</v>
      </c>
      <c r="B161" t="s">
        <v>726</v>
      </c>
    </row>
    <row r="162" spans="1:2" x14ac:dyDescent="0.3">
      <c r="A162" t="s">
        <v>728</v>
      </c>
      <c r="B162" t="s">
        <v>728</v>
      </c>
    </row>
    <row r="163" spans="1:2" x14ac:dyDescent="0.3">
      <c r="A163" t="s">
        <v>731</v>
      </c>
      <c r="B163" t="s">
        <v>731</v>
      </c>
    </row>
    <row r="164" spans="1:2" x14ac:dyDescent="0.3">
      <c r="A164" t="s">
        <v>733</v>
      </c>
      <c r="B164" t="s">
        <v>733</v>
      </c>
    </row>
    <row r="165" spans="1:2" x14ac:dyDescent="0.3">
      <c r="A165" t="s">
        <v>736</v>
      </c>
      <c r="B165" t="s">
        <v>736</v>
      </c>
    </row>
    <row r="166" spans="1:2" x14ac:dyDescent="0.3">
      <c r="A166" t="s">
        <v>738</v>
      </c>
      <c r="B166" t="s">
        <v>738</v>
      </c>
    </row>
    <row r="167" spans="1:2" x14ac:dyDescent="0.3">
      <c r="A167" t="s">
        <v>741</v>
      </c>
      <c r="B167" t="s">
        <v>803</v>
      </c>
    </row>
    <row r="168" spans="1:2" x14ac:dyDescent="0.3">
      <c r="A168" t="s">
        <v>743</v>
      </c>
      <c r="B168" t="s">
        <v>743</v>
      </c>
    </row>
    <row r="169" spans="1:2" x14ac:dyDescent="0.3">
      <c r="A169" t="s">
        <v>746</v>
      </c>
      <c r="B169" t="s">
        <v>746</v>
      </c>
    </row>
    <row r="170" spans="1:2" x14ac:dyDescent="0.3">
      <c r="A170" t="s">
        <v>749</v>
      </c>
      <c r="B170" t="s">
        <v>749</v>
      </c>
    </row>
    <row r="171" spans="1:2" x14ac:dyDescent="0.3">
      <c r="A171" t="s">
        <v>753</v>
      </c>
      <c r="B171" t="s">
        <v>753</v>
      </c>
    </row>
    <row r="172" spans="1:2" x14ac:dyDescent="0.3">
      <c r="A172" t="s">
        <v>755</v>
      </c>
      <c r="B172" t="s">
        <v>755</v>
      </c>
    </row>
    <row r="173" spans="1:2" x14ac:dyDescent="0.3">
      <c r="A173" t="s">
        <v>757</v>
      </c>
      <c r="B173" t="s">
        <v>757</v>
      </c>
    </row>
    <row r="174" spans="1:2" x14ac:dyDescent="0.3">
      <c r="A174" t="s">
        <v>759</v>
      </c>
      <c r="B174" t="s">
        <v>759</v>
      </c>
    </row>
    <row r="175" spans="1:2" x14ac:dyDescent="0.3">
      <c r="A175" t="s">
        <v>762</v>
      </c>
      <c r="B175" t="s">
        <v>762</v>
      </c>
    </row>
    <row r="176" spans="1:2" x14ac:dyDescent="0.3">
      <c r="A176" t="s">
        <v>764</v>
      </c>
      <c r="B176" t="s">
        <v>764</v>
      </c>
    </row>
    <row r="177" spans="1:2" x14ac:dyDescent="0.3">
      <c r="A177" t="s">
        <v>767</v>
      </c>
      <c r="B177" t="s">
        <v>767</v>
      </c>
    </row>
    <row r="178" spans="1:2" x14ac:dyDescent="0.3">
      <c r="A178" t="s">
        <v>769</v>
      </c>
      <c r="B178" t="s">
        <v>769</v>
      </c>
    </row>
    <row r="179" spans="1:2" x14ac:dyDescent="0.3">
      <c r="A179" t="s">
        <v>771</v>
      </c>
      <c r="B179" t="s">
        <v>771</v>
      </c>
    </row>
    <row r="180" spans="1:2" x14ac:dyDescent="0.3">
      <c r="A180" t="s">
        <v>773</v>
      </c>
      <c r="B180" t="s">
        <v>773</v>
      </c>
    </row>
    <row r="181" spans="1:2" x14ac:dyDescent="0.3">
      <c r="A181" t="s">
        <v>776</v>
      </c>
      <c r="B181" t="s">
        <v>776</v>
      </c>
    </row>
    <row r="182" spans="1:2" x14ac:dyDescent="0.3">
      <c r="A182" t="s">
        <v>778</v>
      </c>
      <c r="B182" t="s">
        <v>778</v>
      </c>
    </row>
    <row r="183" spans="1:2" x14ac:dyDescent="0.3">
      <c r="A183" t="s">
        <v>780</v>
      </c>
      <c r="B183" t="s">
        <v>780</v>
      </c>
    </row>
    <row r="184" spans="1:2" x14ac:dyDescent="0.3">
      <c r="A184" t="s">
        <v>783</v>
      </c>
      <c r="B184" t="s">
        <v>783</v>
      </c>
    </row>
    <row r="185" spans="1:2" x14ac:dyDescent="0.3">
      <c r="A185" t="s">
        <v>786</v>
      </c>
      <c r="B185" t="s">
        <v>786</v>
      </c>
    </row>
    <row r="186" spans="1:2" x14ac:dyDescent="0.3">
      <c r="A186" t="s">
        <v>788</v>
      </c>
      <c r="B186" t="s">
        <v>788</v>
      </c>
    </row>
    <row r="187" spans="1:2" x14ac:dyDescent="0.3">
      <c r="A187" t="s">
        <v>791</v>
      </c>
      <c r="B187" t="s">
        <v>791</v>
      </c>
    </row>
    <row r="188" spans="1:2" x14ac:dyDescent="0.3">
      <c r="A188" t="s">
        <v>793</v>
      </c>
      <c r="B188" t="s">
        <v>793</v>
      </c>
    </row>
    <row r="189" spans="1:2" x14ac:dyDescent="0.3">
      <c r="A189" t="s">
        <v>798</v>
      </c>
      <c r="B189" t="s">
        <v>798</v>
      </c>
    </row>
  </sheetData>
  <autoFilter ref="A1:B189" xr:uid="{571CA715-12CC-4BF8-B664-192BDB4DAB02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986D-8AB1-40E0-AB44-B8C3CAC94D42}">
  <sheetPr>
    <tabColor theme="5" tint="-0.249977111117893"/>
  </sheetPr>
  <dimension ref="A1:B42"/>
  <sheetViews>
    <sheetView workbookViewId="0"/>
  </sheetViews>
  <sheetFormatPr defaultRowHeight="14.4" x14ac:dyDescent="0.3"/>
  <cols>
    <col min="1" max="1" width="59.6640625" customWidth="1"/>
    <col min="2" max="2" width="18.5546875" customWidth="1"/>
  </cols>
  <sheetData>
    <row r="1" spans="1:2" x14ac:dyDescent="0.3">
      <c r="A1" s="2" t="s">
        <v>845</v>
      </c>
      <c r="B1" s="2" t="s">
        <v>846</v>
      </c>
    </row>
    <row r="2" spans="1:2" x14ac:dyDescent="0.3">
      <c r="A2" t="s">
        <v>40</v>
      </c>
      <c r="B2">
        <v>30</v>
      </c>
    </row>
    <row r="3" spans="1:2" x14ac:dyDescent="0.3">
      <c r="A3" t="s">
        <v>49</v>
      </c>
      <c r="B3">
        <v>30</v>
      </c>
    </row>
    <row r="4" spans="1:2" x14ac:dyDescent="0.3">
      <c r="A4" t="s">
        <v>55</v>
      </c>
      <c r="B4">
        <v>0</v>
      </c>
    </row>
    <row r="5" spans="1:2" x14ac:dyDescent="0.3">
      <c r="A5" t="s">
        <v>69</v>
      </c>
      <c r="B5">
        <v>30</v>
      </c>
    </row>
    <row r="6" spans="1:2" x14ac:dyDescent="0.3">
      <c r="A6" t="s">
        <v>77</v>
      </c>
      <c r="B6">
        <v>0</v>
      </c>
    </row>
    <row r="7" spans="1:2" x14ac:dyDescent="0.3">
      <c r="A7" t="s">
        <v>83</v>
      </c>
      <c r="B7">
        <v>0</v>
      </c>
    </row>
    <row r="8" spans="1:2" x14ac:dyDescent="0.3">
      <c r="A8" t="s">
        <v>102</v>
      </c>
      <c r="B8">
        <f>B42</f>
        <v>60</v>
      </c>
    </row>
    <row r="9" spans="1:2" x14ac:dyDescent="0.3">
      <c r="A9" t="s">
        <v>115</v>
      </c>
      <c r="B9">
        <v>30</v>
      </c>
    </row>
    <row r="10" spans="1:2" x14ac:dyDescent="0.3">
      <c r="A10" t="s">
        <v>123</v>
      </c>
      <c r="B10">
        <v>0</v>
      </c>
    </row>
    <row r="11" spans="1:2" x14ac:dyDescent="0.3">
      <c r="A11" t="s">
        <v>132</v>
      </c>
      <c r="B11">
        <v>0</v>
      </c>
    </row>
    <row r="12" spans="1:2" x14ac:dyDescent="0.3">
      <c r="A12" t="s">
        <v>144</v>
      </c>
      <c r="B12">
        <v>30</v>
      </c>
    </row>
    <row r="13" spans="1:2" x14ac:dyDescent="0.3">
      <c r="A13" t="s">
        <v>155</v>
      </c>
      <c r="B13">
        <v>30</v>
      </c>
    </row>
    <row r="14" spans="1:2" x14ac:dyDescent="0.3">
      <c r="A14" t="s">
        <v>177</v>
      </c>
      <c r="B14">
        <v>0</v>
      </c>
    </row>
    <row r="15" spans="1:2" x14ac:dyDescent="0.3">
      <c r="A15" t="s">
        <v>183</v>
      </c>
      <c r="B15">
        <v>30</v>
      </c>
    </row>
    <row r="16" spans="1:2" x14ac:dyDescent="0.3">
      <c r="A16" t="s">
        <v>188</v>
      </c>
      <c r="B16">
        <v>30</v>
      </c>
    </row>
    <row r="17" spans="1:2" x14ac:dyDescent="0.3">
      <c r="A17" t="s">
        <v>190</v>
      </c>
      <c r="B17">
        <v>0</v>
      </c>
    </row>
    <row r="18" spans="1:2" x14ac:dyDescent="0.3">
      <c r="A18" t="s">
        <v>237</v>
      </c>
      <c r="B18">
        <v>0</v>
      </c>
    </row>
    <row r="19" spans="1:2" x14ac:dyDescent="0.3">
      <c r="A19" t="s">
        <v>261</v>
      </c>
      <c r="B19">
        <v>30</v>
      </c>
    </row>
    <row r="20" spans="1:2" x14ac:dyDescent="0.3">
      <c r="A20" t="s">
        <v>292</v>
      </c>
      <c r="B20">
        <v>0</v>
      </c>
    </row>
    <row r="21" spans="1:2" x14ac:dyDescent="0.3">
      <c r="A21" t="s">
        <v>295</v>
      </c>
      <c r="B21">
        <v>0</v>
      </c>
    </row>
    <row r="22" spans="1:2" x14ac:dyDescent="0.3">
      <c r="A22" t="s">
        <v>299</v>
      </c>
      <c r="B22">
        <v>60</v>
      </c>
    </row>
    <row r="23" spans="1:2" x14ac:dyDescent="0.3">
      <c r="A23" t="s">
        <v>312</v>
      </c>
      <c r="B23">
        <v>30</v>
      </c>
    </row>
    <row r="24" spans="1:2" x14ac:dyDescent="0.3">
      <c r="A24" t="s">
        <v>318</v>
      </c>
      <c r="B24">
        <v>30</v>
      </c>
    </row>
    <row r="25" spans="1:2" x14ac:dyDescent="0.3">
      <c r="A25" t="s">
        <v>470</v>
      </c>
      <c r="B25">
        <v>30</v>
      </c>
    </row>
    <row r="26" spans="1:2" x14ac:dyDescent="0.3">
      <c r="A26" t="s">
        <v>351</v>
      </c>
      <c r="B26">
        <v>0</v>
      </c>
    </row>
    <row r="27" spans="1:2" x14ac:dyDescent="0.3">
      <c r="A27" t="s">
        <v>361</v>
      </c>
      <c r="B27">
        <v>0</v>
      </c>
    </row>
    <row r="28" spans="1:2" x14ac:dyDescent="0.3">
      <c r="A28" t="s">
        <v>364</v>
      </c>
      <c r="B28">
        <v>30</v>
      </c>
    </row>
    <row r="29" spans="1:2" x14ac:dyDescent="0.3">
      <c r="A29" t="s">
        <v>370</v>
      </c>
      <c r="B29">
        <v>15</v>
      </c>
    </row>
    <row r="30" spans="1:2" x14ac:dyDescent="0.3">
      <c r="A30" t="s">
        <v>377</v>
      </c>
      <c r="B30">
        <v>30</v>
      </c>
    </row>
    <row r="31" spans="1:2" x14ac:dyDescent="0.3">
      <c r="A31" t="s">
        <v>459</v>
      </c>
      <c r="B31">
        <v>0</v>
      </c>
    </row>
    <row r="32" spans="1:2" x14ac:dyDescent="0.3">
      <c r="A32" t="s">
        <v>484</v>
      </c>
      <c r="B32">
        <v>0</v>
      </c>
    </row>
    <row r="33" spans="1:2" x14ac:dyDescent="0.3">
      <c r="A33" t="s">
        <v>509</v>
      </c>
      <c r="B33">
        <v>30</v>
      </c>
    </row>
    <row r="34" spans="1:2" x14ac:dyDescent="0.3">
      <c r="A34" t="s">
        <v>524</v>
      </c>
      <c r="B34">
        <v>60</v>
      </c>
    </row>
    <row r="35" spans="1:2" x14ac:dyDescent="0.3">
      <c r="A35" t="s">
        <v>538</v>
      </c>
      <c r="B35">
        <v>60</v>
      </c>
    </row>
    <row r="36" spans="1:2" x14ac:dyDescent="0.3">
      <c r="A36" t="s">
        <v>574</v>
      </c>
      <c r="B36">
        <v>0</v>
      </c>
    </row>
    <row r="37" spans="1:2" x14ac:dyDescent="0.3">
      <c r="A37" t="s">
        <v>590</v>
      </c>
      <c r="B37">
        <v>0</v>
      </c>
    </row>
    <row r="38" spans="1:2" x14ac:dyDescent="0.3">
      <c r="A38" t="s">
        <v>596</v>
      </c>
      <c r="B38">
        <v>60</v>
      </c>
    </row>
    <row r="39" spans="1:2" x14ac:dyDescent="0.3">
      <c r="A39" t="s">
        <v>655</v>
      </c>
      <c r="B39">
        <v>30</v>
      </c>
    </row>
    <row r="40" spans="1:2" x14ac:dyDescent="0.3">
      <c r="A40" t="s">
        <v>661</v>
      </c>
      <c r="B40">
        <v>0</v>
      </c>
    </row>
    <row r="41" spans="1:2" x14ac:dyDescent="0.3">
      <c r="A41" t="s">
        <v>765</v>
      </c>
      <c r="B41">
        <v>0</v>
      </c>
    </row>
    <row r="42" spans="1:2" x14ac:dyDescent="0.3">
      <c r="A42" t="s">
        <v>794</v>
      </c>
      <c r="B42">
        <v>60</v>
      </c>
    </row>
  </sheetData>
  <autoFilter ref="A1:B42" xr:uid="{4282986D-8AB1-40E0-AB44-B8C3CAC94D42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D3DCF-AAEB-476C-BAD6-C693B30DBA9A}">
  <sheetPr>
    <tabColor rgb="FF00B050"/>
  </sheetPr>
  <dimension ref="A1:I5"/>
  <sheetViews>
    <sheetView workbookViewId="0">
      <selection activeCell="C1" sqref="C1"/>
    </sheetView>
  </sheetViews>
  <sheetFormatPr defaultRowHeight="14.4" x14ac:dyDescent="0.3"/>
  <cols>
    <col min="1" max="1" width="20.109375" customWidth="1"/>
    <col min="2" max="2" width="21.33203125" customWidth="1"/>
    <col min="3" max="3" width="24" customWidth="1"/>
    <col min="4" max="4" width="20.5546875" customWidth="1"/>
    <col min="5" max="5" width="22.88671875" customWidth="1"/>
    <col min="6" max="6" width="26.88671875" customWidth="1"/>
    <col min="7" max="7" width="28.88671875" customWidth="1"/>
    <col min="8" max="8" width="24.5546875" customWidth="1"/>
    <col min="9" max="9" width="25.5546875" customWidth="1"/>
  </cols>
  <sheetData>
    <row r="1" spans="1:9" x14ac:dyDescent="0.3">
      <c r="A1" s="4" t="s">
        <v>847</v>
      </c>
      <c r="B1" s="4" t="s">
        <v>848</v>
      </c>
      <c r="C1" s="4" t="s">
        <v>849</v>
      </c>
      <c r="D1" s="4" t="s">
        <v>850</v>
      </c>
      <c r="E1" s="4" t="s">
        <v>851</v>
      </c>
      <c r="F1" s="2" t="s">
        <v>852</v>
      </c>
      <c r="G1" s="2" t="s">
        <v>853</v>
      </c>
      <c r="H1" s="2" t="s">
        <v>854</v>
      </c>
      <c r="I1" s="2" t="s">
        <v>855</v>
      </c>
    </row>
    <row r="2" spans="1:9" x14ac:dyDescent="0.3">
      <c r="A2">
        <v>0</v>
      </c>
      <c r="B2">
        <f>IF(A2&lt;&gt;"", SUMIFS(Hyderabad!AO:AO, Hyderabad!AN:AN, A2&amp;"*"), "")</f>
        <v>20</v>
      </c>
      <c r="C2">
        <f>IF(A2&lt;&gt;"", SUMIFS(Dahej!AO:AO, Dahej!AN:AN, A2&amp;"*"), "")</f>
        <v>8</v>
      </c>
      <c r="D2">
        <f>IF(A2&lt;&gt;"", SUMIFS(Jhagadia!AO:AO, Jhagadia!AN:AN, A2&amp;"*"), "")</f>
        <v>6</v>
      </c>
      <c r="E2">
        <f>IF(A2&lt;&gt;"", SUMIFS(Sultanpur!AO:AO, Sultanpur!AN:AN, A2&amp;"*"), "")</f>
        <v>26</v>
      </c>
      <c r="F2">
        <f>ROUNDUP((B2/SUM(B2:B5))*100,2)</f>
        <v>58.83</v>
      </c>
      <c r="G2">
        <f>ROUNDUP((C2/SUM(C2:C5))*100,2)</f>
        <v>22.860000000000003</v>
      </c>
      <c r="H2">
        <f>ROUNDUP((D2/SUM(D2:D5))*100,2)</f>
        <v>27.28</v>
      </c>
      <c r="I2">
        <f>ROUNDUP((E2/SUM(E2:E5))*100,2)</f>
        <v>49.059999999999995</v>
      </c>
    </row>
    <row r="3" spans="1:9" x14ac:dyDescent="0.3">
      <c r="A3">
        <v>30</v>
      </c>
      <c r="B3">
        <f>IF(A3&lt;&gt;"", SUMIFS(Hyderabad!AO:AO, Hyderabad!AN:AN, A3&amp;"*"), "")</f>
        <v>12</v>
      </c>
      <c r="C3">
        <f>IF(A3&lt;&gt;"", SUMIFS(Dahej!AO:AO, Dahej!AN:AN, A3&amp;"*"), "")</f>
        <v>21</v>
      </c>
      <c r="D3">
        <f>IF(A3&lt;&gt;"", SUMIFS(Jhagadia!AO:AO, Jhagadia!AN:AN, A3&amp;"*"), "")</f>
        <v>14</v>
      </c>
      <c r="E3">
        <f>IF(A3&lt;&gt;"", SUMIFS(Sultanpur!AO:AO, Sultanpur!AN:AN, A3&amp;"*"), "")</f>
        <v>26</v>
      </c>
      <c r="F3">
        <f>ROUNDUP((B3/SUM(B2:B5))*100,2)</f>
        <v>35.299999999999997</v>
      </c>
      <c r="G3">
        <f>ROUNDUP((C3/SUM(C2:C5))*100,2)</f>
        <v>60</v>
      </c>
      <c r="H3">
        <f>ROUNDUP((D3/SUM(D2:D5))*100,2)</f>
        <v>63.64</v>
      </c>
      <c r="I3">
        <f>ROUNDUP((E3/SUM(E2:E5))*100,2)</f>
        <v>49.059999999999995</v>
      </c>
    </row>
    <row r="4" spans="1:9" x14ac:dyDescent="0.3">
      <c r="A4">
        <v>60</v>
      </c>
      <c r="B4">
        <f>IF(A4&lt;&gt;"", SUMIFS(Hyderabad!AO:AO, Hyderabad!AN:AN, A4&amp;"*"), "")</f>
        <v>2</v>
      </c>
      <c r="C4">
        <f>IF(A4&lt;&gt;"", SUMIFS(Dahej!AO:AO, Dahej!AN:AN, A4&amp;"*"), "")</f>
        <v>4</v>
      </c>
      <c r="D4">
        <f>IF(A4&lt;&gt;"", SUMIFS(Jhagadia!AO:AO, Jhagadia!AN:AN, A4&amp;"*"), "")</f>
        <v>1</v>
      </c>
      <c r="E4">
        <f>IF(A4&lt;&gt;"", SUMIFS(Sultanpur!AO:AO, Sultanpur!AN:AN, A4&amp;"*"), "")</f>
        <v>1</v>
      </c>
      <c r="F4">
        <f>ROUNDUP((B4/SUM(B2:B5))*100,2)</f>
        <v>5.89</v>
      </c>
      <c r="G4">
        <f>ROUNDUP((C4/SUM(C2:C5))*100,2)</f>
        <v>11.43</v>
      </c>
      <c r="H4">
        <f>ROUNDUP((D4/SUM(D2:D5))*100,2)</f>
        <v>4.55</v>
      </c>
      <c r="I4">
        <f>ROUNDUP((E4/SUM(E2:E5))*100,2)</f>
        <v>1.89</v>
      </c>
    </row>
    <row r="5" spans="1:9" x14ac:dyDescent="0.3">
      <c r="A5">
        <v>15</v>
      </c>
      <c r="B5">
        <f>IF(A5&lt;&gt;"", SUMIFS(Hyderabad!AO:AO, Hyderabad!AN:AN, A5&amp;"*"), "")</f>
        <v>0</v>
      </c>
      <c r="C5">
        <f>IF(A5&lt;&gt;"", SUMIFS(Dahej!AO:AO, Dahej!AN:AN, A5&amp;"*"), "")</f>
        <v>2</v>
      </c>
      <c r="D5">
        <f>IF(A5&lt;&gt;"", SUMIFS(Jhagadia!AO:AO, Jhagadia!AN:AN, A5&amp;"*"), "")</f>
        <v>1</v>
      </c>
      <c r="E5">
        <f>IF(A5&lt;&gt;"", SUMIFS(Sultanpur!AO:AO, Sultanpur!AN:AN, A5&amp;"*"), "")</f>
        <v>0</v>
      </c>
      <c r="F5">
        <f>ROUNDUP((B5/SUM(B2:B5))*100,2)</f>
        <v>0</v>
      </c>
      <c r="G5">
        <f>ROUNDUP((C5/SUM(C2:C5))*100,2)</f>
        <v>5.72</v>
      </c>
      <c r="H5">
        <f>ROUNDUP((D5/SUM(D2:D5))*100,2)</f>
        <v>4.55</v>
      </c>
      <c r="I5">
        <f>ROUNDUP((E5/SUM(E2:E5))*100,2)</f>
        <v>0</v>
      </c>
    </row>
  </sheetData>
  <autoFilter ref="A1:I1" xr:uid="{D6BD3DCF-AAEB-476C-BAD6-C693B30DBA9A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C02E1-CB47-4BAF-A75F-63394C7C0FBE}">
  <sheetPr>
    <tabColor theme="5" tint="-0.499984740745262"/>
  </sheetPr>
  <dimension ref="A1:B105"/>
  <sheetViews>
    <sheetView workbookViewId="0"/>
  </sheetViews>
  <sheetFormatPr defaultRowHeight="14.4" x14ac:dyDescent="0.3"/>
  <cols>
    <col min="1" max="1" width="41.44140625" customWidth="1"/>
    <col min="2" max="2" width="14.44140625" customWidth="1"/>
  </cols>
  <sheetData>
    <row r="1" spans="1:2" x14ac:dyDescent="0.3">
      <c r="A1" s="1" t="s">
        <v>1</v>
      </c>
      <c r="B1" s="1" t="s">
        <v>867</v>
      </c>
    </row>
    <row r="2" spans="1:2" x14ac:dyDescent="0.3">
      <c r="A2" t="s">
        <v>34</v>
      </c>
      <c r="B2">
        <v>10</v>
      </c>
    </row>
    <row r="3" spans="1:2" x14ac:dyDescent="0.3">
      <c r="A3" t="s">
        <v>44</v>
      </c>
      <c r="B3">
        <v>5</v>
      </c>
    </row>
    <row r="4" spans="1:2" x14ac:dyDescent="0.3">
      <c r="A4" t="s">
        <v>51</v>
      </c>
      <c r="B4">
        <v>20</v>
      </c>
    </row>
    <row r="5" spans="1:2" x14ac:dyDescent="0.3">
      <c r="A5" t="s">
        <v>64</v>
      </c>
      <c r="B5">
        <v>10</v>
      </c>
    </row>
    <row r="6" spans="1:2" x14ac:dyDescent="0.3">
      <c r="A6" t="s">
        <v>73</v>
      </c>
      <c r="B6">
        <v>20</v>
      </c>
    </row>
    <row r="7" spans="1:2" x14ac:dyDescent="0.3">
      <c r="A7" t="s">
        <v>79</v>
      </c>
      <c r="B7">
        <v>20</v>
      </c>
    </row>
    <row r="8" spans="1:2" x14ac:dyDescent="0.3">
      <c r="A8" t="s">
        <v>96</v>
      </c>
      <c r="B8">
        <v>60</v>
      </c>
    </row>
    <row r="9" spans="1:2" x14ac:dyDescent="0.3">
      <c r="A9" t="s">
        <v>107</v>
      </c>
      <c r="B9">
        <v>10</v>
      </c>
    </row>
    <row r="10" spans="1:2" x14ac:dyDescent="0.3">
      <c r="A10" t="s">
        <v>112</v>
      </c>
      <c r="B10">
        <v>15</v>
      </c>
    </row>
    <row r="11" spans="1:2" x14ac:dyDescent="0.3">
      <c r="A11" t="s">
        <v>122</v>
      </c>
      <c r="B11">
        <v>15</v>
      </c>
    </row>
    <row r="12" spans="1:2" x14ac:dyDescent="0.3">
      <c r="A12" t="s">
        <v>128</v>
      </c>
      <c r="B12">
        <v>10</v>
      </c>
    </row>
    <row r="13" spans="1:2" x14ac:dyDescent="0.3">
      <c r="A13" t="s">
        <v>140</v>
      </c>
      <c r="B13">
        <v>45</v>
      </c>
    </row>
    <row r="14" spans="1:2" x14ac:dyDescent="0.3">
      <c r="A14" t="s">
        <v>147</v>
      </c>
      <c r="B14">
        <v>10</v>
      </c>
    </row>
    <row r="15" spans="1:2" x14ac:dyDescent="0.3">
      <c r="A15" t="s">
        <v>150</v>
      </c>
      <c r="B15">
        <v>10</v>
      </c>
    </row>
    <row r="16" spans="1:2" x14ac:dyDescent="0.3">
      <c r="A16" t="s">
        <v>157</v>
      </c>
      <c r="B16">
        <v>10</v>
      </c>
    </row>
    <row r="17" spans="1:2" x14ac:dyDescent="0.3">
      <c r="A17" t="s">
        <v>173</v>
      </c>
      <c r="B17">
        <v>65</v>
      </c>
    </row>
    <row r="18" spans="1:2" x14ac:dyDescent="0.3">
      <c r="A18" t="s">
        <v>185</v>
      </c>
      <c r="B18">
        <v>10</v>
      </c>
    </row>
    <row r="19" spans="1:2" x14ac:dyDescent="0.3">
      <c r="A19" t="s">
        <v>200</v>
      </c>
      <c r="B19">
        <v>10</v>
      </c>
    </row>
    <row r="20" spans="1:2" x14ac:dyDescent="0.3">
      <c r="A20" t="s">
        <v>234</v>
      </c>
      <c r="B20">
        <v>10</v>
      </c>
    </row>
    <row r="21" spans="1:2" x14ac:dyDescent="0.3">
      <c r="A21" t="s">
        <v>242</v>
      </c>
      <c r="B21">
        <v>60</v>
      </c>
    </row>
    <row r="22" spans="1:2" x14ac:dyDescent="0.3">
      <c r="A22" t="s">
        <v>248</v>
      </c>
      <c r="B22">
        <v>10</v>
      </c>
    </row>
    <row r="23" spans="1:2" x14ac:dyDescent="0.3">
      <c r="A23" t="s">
        <v>258</v>
      </c>
      <c r="B23">
        <v>10</v>
      </c>
    </row>
    <row r="24" spans="1:2" x14ac:dyDescent="0.3">
      <c r="A24" t="s">
        <v>264</v>
      </c>
      <c r="B24">
        <v>10</v>
      </c>
    </row>
    <row r="25" spans="1:2" x14ac:dyDescent="0.3">
      <c r="A25" t="s">
        <v>274</v>
      </c>
      <c r="B25">
        <v>10</v>
      </c>
    </row>
    <row r="26" spans="1:2" x14ac:dyDescent="0.3">
      <c r="A26" t="s">
        <v>276</v>
      </c>
      <c r="B26">
        <v>15</v>
      </c>
    </row>
    <row r="27" spans="1:2" x14ac:dyDescent="0.3">
      <c r="A27" t="s">
        <v>280</v>
      </c>
      <c r="B27">
        <v>10</v>
      </c>
    </row>
    <row r="28" spans="1:2" x14ac:dyDescent="0.3">
      <c r="A28" t="s">
        <v>287</v>
      </c>
      <c r="B28">
        <v>10</v>
      </c>
    </row>
    <row r="29" spans="1:2" x14ac:dyDescent="0.3">
      <c r="A29" t="s">
        <v>289</v>
      </c>
      <c r="B29">
        <v>30</v>
      </c>
    </row>
    <row r="30" spans="1:2" x14ac:dyDescent="0.3">
      <c r="A30" t="s">
        <v>296</v>
      </c>
      <c r="B30">
        <v>15</v>
      </c>
    </row>
    <row r="31" spans="1:2" x14ac:dyDescent="0.3">
      <c r="A31" t="s">
        <v>301</v>
      </c>
      <c r="B31">
        <v>10</v>
      </c>
    </row>
    <row r="32" spans="1:2" x14ac:dyDescent="0.3">
      <c r="A32" t="s">
        <v>304</v>
      </c>
      <c r="B32">
        <v>10</v>
      </c>
    </row>
    <row r="33" spans="1:2" x14ac:dyDescent="0.3">
      <c r="A33" t="s">
        <v>309</v>
      </c>
      <c r="B33">
        <v>10</v>
      </c>
    </row>
    <row r="34" spans="1:2" x14ac:dyDescent="0.3">
      <c r="A34" t="s">
        <v>337</v>
      </c>
      <c r="B34">
        <v>2</v>
      </c>
    </row>
    <row r="35" spans="1:2" x14ac:dyDescent="0.3">
      <c r="A35" t="s">
        <v>347</v>
      </c>
      <c r="B35">
        <v>1</v>
      </c>
    </row>
    <row r="36" spans="1:2" x14ac:dyDescent="0.3">
      <c r="A36" t="s">
        <v>353</v>
      </c>
      <c r="B36">
        <v>2</v>
      </c>
    </row>
    <row r="37" spans="1:2" x14ac:dyDescent="0.3">
      <c r="A37" t="s">
        <v>358</v>
      </c>
      <c r="B37">
        <v>2</v>
      </c>
    </row>
    <row r="38" spans="1:2" x14ac:dyDescent="0.3">
      <c r="A38" t="s">
        <v>366</v>
      </c>
      <c r="B38">
        <v>2</v>
      </c>
    </row>
    <row r="39" spans="1:2" x14ac:dyDescent="0.3">
      <c r="A39" t="s">
        <v>371</v>
      </c>
      <c r="B39">
        <v>5</v>
      </c>
    </row>
    <row r="40" spans="1:2" x14ac:dyDescent="0.3">
      <c r="A40" t="s">
        <v>382</v>
      </c>
      <c r="B40">
        <v>10</v>
      </c>
    </row>
    <row r="41" spans="1:2" x14ac:dyDescent="0.3">
      <c r="A41" t="s">
        <v>385</v>
      </c>
      <c r="B41">
        <v>10</v>
      </c>
    </row>
    <row r="42" spans="1:2" x14ac:dyDescent="0.3">
      <c r="A42" t="s">
        <v>386</v>
      </c>
      <c r="B42">
        <v>5</v>
      </c>
    </row>
    <row r="43" spans="1:2" x14ac:dyDescent="0.3">
      <c r="A43" t="s">
        <v>395</v>
      </c>
      <c r="B43">
        <v>5</v>
      </c>
    </row>
    <row r="44" spans="1:2" x14ac:dyDescent="0.3">
      <c r="A44" t="s">
        <v>401</v>
      </c>
      <c r="B44">
        <v>8</v>
      </c>
    </row>
    <row r="45" spans="1:2" x14ac:dyDescent="0.3">
      <c r="A45" t="s">
        <v>409</v>
      </c>
      <c r="B45">
        <v>10</v>
      </c>
    </row>
    <row r="46" spans="1:2" x14ac:dyDescent="0.3">
      <c r="A46" t="s">
        <v>418</v>
      </c>
      <c r="B46">
        <v>5</v>
      </c>
    </row>
    <row r="47" spans="1:2" x14ac:dyDescent="0.3">
      <c r="A47" t="s">
        <v>429</v>
      </c>
      <c r="B47">
        <v>5</v>
      </c>
    </row>
    <row r="48" spans="1:2" x14ac:dyDescent="0.3">
      <c r="A48" t="s">
        <v>436</v>
      </c>
      <c r="B48">
        <v>10</v>
      </c>
    </row>
    <row r="49" spans="1:2" x14ac:dyDescent="0.3">
      <c r="A49" t="s">
        <v>448</v>
      </c>
      <c r="B49">
        <v>5</v>
      </c>
    </row>
    <row r="50" spans="1:2" x14ac:dyDescent="0.3">
      <c r="A50" t="s">
        <v>452</v>
      </c>
      <c r="B50">
        <v>15</v>
      </c>
    </row>
    <row r="51" spans="1:2" x14ac:dyDescent="0.3">
      <c r="A51" t="s">
        <v>456</v>
      </c>
      <c r="B51">
        <v>10</v>
      </c>
    </row>
    <row r="52" spans="1:2" x14ac:dyDescent="0.3">
      <c r="A52" t="s">
        <v>483</v>
      </c>
      <c r="B52">
        <v>10</v>
      </c>
    </row>
    <row r="53" spans="1:2" x14ac:dyDescent="0.3">
      <c r="A53" t="s">
        <v>492</v>
      </c>
      <c r="B53">
        <v>5</v>
      </c>
    </row>
    <row r="54" spans="1:2" x14ac:dyDescent="0.3">
      <c r="A54" t="s">
        <v>513</v>
      </c>
      <c r="B54">
        <v>2</v>
      </c>
    </row>
    <row r="55" spans="1:2" x14ac:dyDescent="0.3">
      <c r="A55" t="s">
        <v>520</v>
      </c>
      <c r="B55">
        <v>2</v>
      </c>
    </row>
    <row r="56" spans="1:2" x14ac:dyDescent="0.3">
      <c r="A56" t="s">
        <v>521</v>
      </c>
      <c r="B56">
        <v>60</v>
      </c>
    </row>
    <row r="57" spans="1:2" x14ac:dyDescent="0.3">
      <c r="A57" t="s">
        <v>533</v>
      </c>
      <c r="B57">
        <v>5</v>
      </c>
    </row>
    <row r="58" spans="1:2" x14ac:dyDescent="0.3">
      <c r="A58" t="s">
        <v>557</v>
      </c>
      <c r="B58">
        <v>10</v>
      </c>
    </row>
    <row r="59" spans="1:2" x14ac:dyDescent="0.3">
      <c r="A59" t="s">
        <v>580</v>
      </c>
      <c r="B59">
        <v>30</v>
      </c>
    </row>
    <row r="60" spans="1:2" x14ac:dyDescent="0.3">
      <c r="A60" t="s">
        <v>589</v>
      </c>
      <c r="B60">
        <v>10</v>
      </c>
    </row>
    <row r="61" spans="1:2" x14ac:dyDescent="0.3">
      <c r="A61" t="s">
        <v>592</v>
      </c>
      <c r="B61">
        <v>10</v>
      </c>
    </row>
    <row r="62" spans="1:2" x14ac:dyDescent="0.3">
      <c r="A62" t="s">
        <v>609</v>
      </c>
      <c r="B62">
        <v>10</v>
      </c>
    </row>
    <row r="63" spans="1:2" x14ac:dyDescent="0.3">
      <c r="A63" t="s">
        <v>612</v>
      </c>
      <c r="B63">
        <v>10</v>
      </c>
    </row>
    <row r="64" spans="1:2" x14ac:dyDescent="0.3">
      <c r="A64" t="s">
        <v>615</v>
      </c>
      <c r="B64">
        <v>10</v>
      </c>
    </row>
    <row r="65" spans="1:2" x14ac:dyDescent="0.3">
      <c r="A65" t="s">
        <v>619</v>
      </c>
      <c r="B65">
        <v>10</v>
      </c>
    </row>
    <row r="66" spans="1:2" x14ac:dyDescent="0.3">
      <c r="A66" t="s">
        <v>622</v>
      </c>
      <c r="B66">
        <v>10</v>
      </c>
    </row>
    <row r="67" spans="1:2" x14ac:dyDescent="0.3">
      <c r="A67" t="s">
        <v>625</v>
      </c>
      <c r="B67">
        <v>10</v>
      </c>
    </row>
    <row r="68" spans="1:2" x14ac:dyDescent="0.3">
      <c r="A68" t="s">
        <v>629</v>
      </c>
      <c r="B68">
        <v>10</v>
      </c>
    </row>
    <row r="69" spans="1:2" x14ac:dyDescent="0.3">
      <c r="A69" t="s">
        <v>632</v>
      </c>
      <c r="B69">
        <v>10</v>
      </c>
    </row>
    <row r="70" spans="1:2" x14ac:dyDescent="0.3">
      <c r="A70" t="s">
        <v>635</v>
      </c>
      <c r="B70">
        <v>10</v>
      </c>
    </row>
    <row r="71" spans="1:2" x14ac:dyDescent="0.3">
      <c r="A71" t="s">
        <v>639</v>
      </c>
      <c r="B71">
        <v>8</v>
      </c>
    </row>
    <row r="72" spans="1:2" x14ac:dyDescent="0.3">
      <c r="A72" t="s">
        <v>642</v>
      </c>
      <c r="B72">
        <v>15</v>
      </c>
    </row>
    <row r="73" spans="1:2" x14ac:dyDescent="0.3">
      <c r="A73" t="s">
        <v>645</v>
      </c>
      <c r="B73">
        <v>10</v>
      </c>
    </row>
    <row r="74" spans="1:2" x14ac:dyDescent="0.3">
      <c r="A74" t="s">
        <v>648</v>
      </c>
      <c r="B74">
        <v>10</v>
      </c>
    </row>
    <row r="75" spans="1:2" x14ac:dyDescent="0.3">
      <c r="A75" t="s">
        <v>652</v>
      </c>
      <c r="B75">
        <v>15</v>
      </c>
    </row>
    <row r="76" spans="1:2" x14ac:dyDescent="0.3">
      <c r="A76" t="s">
        <v>656</v>
      </c>
      <c r="B76">
        <v>15</v>
      </c>
    </row>
    <row r="77" spans="1:2" x14ac:dyDescent="0.3">
      <c r="A77" t="s">
        <v>659</v>
      </c>
      <c r="B77">
        <v>8</v>
      </c>
    </row>
    <row r="78" spans="1:2" x14ac:dyDescent="0.3">
      <c r="A78" t="s">
        <v>663</v>
      </c>
      <c r="B78">
        <v>8</v>
      </c>
    </row>
    <row r="79" spans="1:2" x14ac:dyDescent="0.3">
      <c r="A79" t="s">
        <v>666</v>
      </c>
      <c r="B79">
        <v>15</v>
      </c>
    </row>
    <row r="80" spans="1:2" x14ac:dyDescent="0.3">
      <c r="A80" t="s">
        <v>669</v>
      </c>
      <c r="B80">
        <v>8</v>
      </c>
    </row>
    <row r="81" spans="1:2" x14ac:dyDescent="0.3">
      <c r="A81" t="s">
        <v>674</v>
      </c>
      <c r="B81">
        <v>12</v>
      </c>
    </row>
    <row r="82" spans="1:2" x14ac:dyDescent="0.3">
      <c r="A82" t="s">
        <v>679</v>
      </c>
      <c r="B82">
        <v>5</v>
      </c>
    </row>
    <row r="83" spans="1:2" x14ac:dyDescent="0.3">
      <c r="A83" t="s">
        <v>685</v>
      </c>
      <c r="B83">
        <v>12</v>
      </c>
    </row>
    <row r="84" spans="1:2" x14ac:dyDescent="0.3">
      <c r="A84" t="s">
        <v>688</v>
      </c>
      <c r="B84">
        <v>10</v>
      </c>
    </row>
    <row r="85" spans="1:2" x14ac:dyDescent="0.3">
      <c r="A85" t="s">
        <v>692</v>
      </c>
      <c r="B85">
        <v>5</v>
      </c>
    </row>
    <row r="86" spans="1:2" x14ac:dyDescent="0.3">
      <c r="A86" t="s">
        <v>695</v>
      </c>
      <c r="B86">
        <v>12</v>
      </c>
    </row>
    <row r="87" spans="1:2" x14ac:dyDescent="0.3">
      <c r="A87" t="s">
        <v>703</v>
      </c>
      <c r="B87">
        <v>10</v>
      </c>
    </row>
    <row r="88" spans="1:2" x14ac:dyDescent="0.3">
      <c r="A88" t="s">
        <v>706</v>
      </c>
      <c r="B88">
        <v>8</v>
      </c>
    </row>
    <row r="89" spans="1:2" x14ac:dyDescent="0.3">
      <c r="A89" t="s">
        <v>709</v>
      </c>
      <c r="B89">
        <v>10</v>
      </c>
    </row>
    <row r="90" spans="1:2" x14ac:dyDescent="0.3">
      <c r="A90" t="s">
        <v>716</v>
      </c>
      <c r="B90">
        <v>15</v>
      </c>
    </row>
    <row r="91" spans="1:2" x14ac:dyDescent="0.3">
      <c r="A91" t="s">
        <v>721</v>
      </c>
      <c r="B91">
        <v>10</v>
      </c>
    </row>
    <row r="92" spans="1:2" x14ac:dyDescent="0.3">
      <c r="A92" t="s">
        <v>724</v>
      </c>
      <c r="B92">
        <v>10</v>
      </c>
    </row>
    <row r="93" spans="1:2" x14ac:dyDescent="0.3">
      <c r="A93" t="s">
        <v>729</v>
      </c>
      <c r="B93">
        <v>10</v>
      </c>
    </row>
    <row r="94" spans="1:2" x14ac:dyDescent="0.3">
      <c r="A94" t="s">
        <v>734</v>
      </c>
      <c r="B94">
        <v>12</v>
      </c>
    </row>
    <row r="95" spans="1:2" x14ac:dyDescent="0.3">
      <c r="A95" t="s">
        <v>739</v>
      </c>
      <c r="B95">
        <v>2</v>
      </c>
    </row>
    <row r="96" spans="1:2" x14ac:dyDescent="0.3">
      <c r="A96" t="s">
        <v>744</v>
      </c>
      <c r="B96">
        <v>12</v>
      </c>
    </row>
    <row r="97" spans="1:2" x14ac:dyDescent="0.3">
      <c r="A97" t="s">
        <v>747</v>
      </c>
      <c r="B97">
        <v>12</v>
      </c>
    </row>
    <row r="98" spans="1:2" x14ac:dyDescent="0.3">
      <c r="A98" t="s">
        <v>751</v>
      </c>
      <c r="B98">
        <v>15</v>
      </c>
    </row>
    <row r="99" spans="1:2" x14ac:dyDescent="0.3">
      <c r="A99" t="s">
        <v>760</v>
      </c>
      <c r="B99">
        <v>15</v>
      </c>
    </row>
    <row r="100" spans="1:2" x14ac:dyDescent="0.3">
      <c r="A100" t="s">
        <v>774</v>
      </c>
      <c r="B100">
        <v>10</v>
      </c>
    </row>
    <row r="101" spans="1:2" x14ac:dyDescent="0.3">
      <c r="A101" t="s">
        <v>781</v>
      </c>
      <c r="B101">
        <v>12</v>
      </c>
    </row>
    <row r="102" spans="1:2" x14ac:dyDescent="0.3">
      <c r="A102" t="s">
        <v>784</v>
      </c>
      <c r="B102">
        <v>10</v>
      </c>
    </row>
    <row r="103" spans="1:2" x14ac:dyDescent="0.3">
      <c r="A103" t="s">
        <v>789</v>
      </c>
      <c r="B103">
        <v>10</v>
      </c>
    </row>
    <row r="104" spans="1:2" x14ac:dyDescent="0.3">
      <c r="A104" t="s">
        <v>795</v>
      </c>
      <c r="B104">
        <v>15</v>
      </c>
    </row>
    <row r="105" spans="1:2" x14ac:dyDescent="0.3">
      <c r="A105" t="s">
        <v>796</v>
      </c>
      <c r="B105">
        <v>10</v>
      </c>
    </row>
  </sheetData>
  <autoFilter ref="A1:B105" xr:uid="{5F4C02E1-CB47-4BAF-A75F-63394C7C0FBE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0E34-3249-440E-91F4-3D34EF2F297F}">
  <sheetPr>
    <tabColor theme="8" tint="-0.249977111117893"/>
  </sheetPr>
  <dimension ref="A1:B105"/>
  <sheetViews>
    <sheetView workbookViewId="0"/>
  </sheetViews>
  <sheetFormatPr defaultRowHeight="14.4" x14ac:dyDescent="0.3"/>
  <cols>
    <col min="1" max="1" width="41.44140625" customWidth="1"/>
    <col min="2" max="2" width="13" customWidth="1"/>
  </cols>
  <sheetData>
    <row r="1" spans="1:2" x14ac:dyDescent="0.3">
      <c r="A1" s="1" t="s">
        <v>1</v>
      </c>
      <c r="B1" s="12" t="s">
        <v>28</v>
      </c>
    </row>
    <row r="2" spans="1:2" x14ac:dyDescent="0.3">
      <c r="A2" t="s">
        <v>34</v>
      </c>
      <c r="B2" s="11" t="s">
        <v>43</v>
      </c>
    </row>
    <row r="3" spans="1:2" x14ac:dyDescent="0.3">
      <c r="A3" t="s">
        <v>44</v>
      </c>
      <c r="B3" s="11" t="s">
        <v>43</v>
      </c>
    </row>
    <row r="4" spans="1:2" x14ac:dyDescent="0.3">
      <c r="A4" t="s">
        <v>51</v>
      </c>
      <c r="B4" s="11" t="s">
        <v>43</v>
      </c>
    </row>
    <row r="5" spans="1:2" x14ac:dyDescent="0.3">
      <c r="A5" t="s">
        <v>64</v>
      </c>
      <c r="B5" s="11" t="s">
        <v>43</v>
      </c>
    </row>
    <row r="6" spans="1:2" x14ac:dyDescent="0.3">
      <c r="A6" t="s">
        <v>73</v>
      </c>
      <c r="B6" s="11" t="s">
        <v>43</v>
      </c>
    </row>
    <row r="7" spans="1:2" x14ac:dyDescent="0.3">
      <c r="A7" t="s">
        <v>79</v>
      </c>
      <c r="B7" s="11" t="s">
        <v>43</v>
      </c>
    </row>
    <row r="8" spans="1:2" x14ac:dyDescent="0.3">
      <c r="A8" t="s">
        <v>96</v>
      </c>
      <c r="B8" s="11" t="s">
        <v>104</v>
      </c>
    </row>
    <row r="9" spans="1:2" x14ac:dyDescent="0.3">
      <c r="A9" t="s">
        <v>107</v>
      </c>
      <c r="B9" s="11" t="s">
        <v>43</v>
      </c>
    </row>
    <row r="10" spans="1:2" x14ac:dyDescent="0.3">
      <c r="A10" t="s">
        <v>112</v>
      </c>
      <c r="B10" s="11" t="s">
        <v>43</v>
      </c>
    </row>
    <row r="11" spans="1:2" x14ac:dyDescent="0.3">
      <c r="A11" t="s">
        <v>122</v>
      </c>
      <c r="B11" s="11" t="s">
        <v>43</v>
      </c>
    </row>
    <row r="12" spans="1:2" x14ac:dyDescent="0.3">
      <c r="A12" t="s">
        <v>128</v>
      </c>
      <c r="B12" s="11" t="s">
        <v>43</v>
      </c>
    </row>
    <row r="13" spans="1:2" x14ac:dyDescent="0.3">
      <c r="A13" t="s">
        <v>140</v>
      </c>
      <c r="B13" s="11" t="s">
        <v>104</v>
      </c>
    </row>
    <row r="14" spans="1:2" x14ac:dyDescent="0.3">
      <c r="A14" t="s">
        <v>147</v>
      </c>
      <c r="B14" s="11" t="s">
        <v>43</v>
      </c>
    </row>
    <row r="15" spans="1:2" x14ac:dyDescent="0.3">
      <c r="A15" t="s">
        <v>150</v>
      </c>
      <c r="B15" s="11" t="s">
        <v>43</v>
      </c>
    </row>
    <row r="16" spans="1:2" x14ac:dyDescent="0.3">
      <c r="A16" t="s">
        <v>157</v>
      </c>
      <c r="B16" s="11" t="s">
        <v>43</v>
      </c>
    </row>
    <row r="17" spans="1:2" x14ac:dyDescent="0.3">
      <c r="A17" t="s">
        <v>173</v>
      </c>
      <c r="B17" s="11" t="s">
        <v>104</v>
      </c>
    </row>
    <row r="18" spans="1:2" x14ac:dyDescent="0.3">
      <c r="A18" t="s">
        <v>185</v>
      </c>
      <c r="B18" s="11" t="s">
        <v>43</v>
      </c>
    </row>
    <row r="19" spans="1:2" x14ac:dyDescent="0.3">
      <c r="A19" t="s">
        <v>200</v>
      </c>
      <c r="B19" s="11" t="s">
        <v>43</v>
      </c>
    </row>
    <row r="20" spans="1:2" x14ac:dyDescent="0.3">
      <c r="A20" t="s">
        <v>234</v>
      </c>
      <c r="B20" s="11" t="s">
        <v>43</v>
      </c>
    </row>
    <row r="21" spans="1:2" x14ac:dyDescent="0.3">
      <c r="A21" t="s">
        <v>242</v>
      </c>
      <c r="B21" s="11" t="s">
        <v>104</v>
      </c>
    </row>
    <row r="22" spans="1:2" x14ac:dyDescent="0.3">
      <c r="A22" t="s">
        <v>248</v>
      </c>
      <c r="B22" s="11" t="s">
        <v>43</v>
      </c>
    </row>
    <row r="23" spans="1:2" x14ac:dyDescent="0.3">
      <c r="A23" t="s">
        <v>258</v>
      </c>
      <c r="B23" s="11" t="s">
        <v>43</v>
      </c>
    </row>
    <row r="24" spans="1:2" x14ac:dyDescent="0.3">
      <c r="A24" t="s">
        <v>264</v>
      </c>
      <c r="B24" s="11" t="s">
        <v>43</v>
      </c>
    </row>
    <row r="25" spans="1:2" x14ac:dyDescent="0.3">
      <c r="A25" t="s">
        <v>274</v>
      </c>
      <c r="B25" s="11" t="s">
        <v>43</v>
      </c>
    </row>
    <row r="26" spans="1:2" x14ac:dyDescent="0.3">
      <c r="A26" t="s">
        <v>276</v>
      </c>
      <c r="B26" s="11" t="s">
        <v>43</v>
      </c>
    </row>
    <row r="27" spans="1:2" x14ac:dyDescent="0.3">
      <c r="A27" t="s">
        <v>280</v>
      </c>
      <c r="B27" s="11" t="s">
        <v>43</v>
      </c>
    </row>
    <row r="28" spans="1:2" x14ac:dyDescent="0.3">
      <c r="A28" t="s">
        <v>287</v>
      </c>
      <c r="B28" s="11" t="s">
        <v>43</v>
      </c>
    </row>
    <row r="29" spans="1:2" x14ac:dyDescent="0.3">
      <c r="A29" t="s">
        <v>289</v>
      </c>
      <c r="B29" s="11" t="s">
        <v>43</v>
      </c>
    </row>
    <row r="30" spans="1:2" x14ac:dyDescent="0.3">
      <c r="A30" t="s">
        <v>296</v>
      </c>
      <c r="B30" s="11" t="s">
        <v>43</v>
      </c>
    </row>
    <row r="31" spans="1:2" x14ac:dyDescent="0.3">
      <c r="A31" t="s">
        <v>301</v>
      </c>
      <c r="B31" s="11" t="s">
        <v>43</v>
      </c>
    </row>
    <row r="32" spans="1:2" x14ac:dyDescent="0.3">
      <c r="A32" t="s">
        <v>304</v>
      </c>
      <c r="B32" s="11" t="s">
        <v>43</v>
      </c>
    </row>
    <row r="33" spans="1:2" x14ac:dyDescent="0.3">
      <c r="A33" t="s">
        <v>309</v>
      </c>
      <c r="B33" s="11" t="s">
        <v>43</v>
      </c>
    </row>
    <row r="34" spans="1:2" x14ac:dyDescent="0.3">
      <c r="A34" t="s">
        <v>337</v>
      </c>
      <c r="B34" s="11" t="s">
        <v>43</v>
      </c>
    </row>
    <row r="35" spans="1:2" x14ac:dyDescent="0.3">
      <c r="A35" t="s">
        <v>347</v>
      </c>
      <c r="B35" s="11" t="s">
        <v>43</v>
      </c>
    </row>
    <row r="36" spans="1:2" x14ac:dyDescent="0.3">
      <c r="A36" t="s">
        <v>353</v>
      </c>
      <c r="B36" s="11" t="s">
        <v>43</v>
      </c>
    </row>
    <row r="37" spans="1:2" x14ac:dyDescent="0.3">
      <c r="A37" t="s">
        <v>358</v>
      </c>
      <c r="B37" s="11" t="s">
        <v>43</v>
      </c>
    </row>
    <row r="38" spans="1:2" x14ac:dyDescent="0.3">
      <c r="A38" t="s">
        <v>366</v>
      </c>
      <c r="B38" s="11" t="s">
        <v>43</v>
      </c>
    </row>
    <row r="39" spans="1:2" x14ac:dyDescent="0.3">
      <c r="A39" t="s">
        <v>371</v>
      </c>
      <c r="B39" s="11" t="s">
        <v>43</v>
      </c>
    </row>
    <row r="40" spans="1:2" x14ac:dyDescent="0.3">
      <c r="A40" t="s">
        <v>382</v>
      </c>
      <c r="B40" s="11" t="s">
        <v>43</v>
      </c>
    </row>
    <row r="41" spans="1:2" x14ac:dyDescent="0.3">
      <c r="A41" t="s">
        <v>385</v>
      </c>
      <c r="B41" s="11" t="s">
        <v>43</v>
      </c>
    </row>
    <row r="42" spans="1:2" x14ac:dyDescent="0.3">
      <c r="A42" t="s">
        <v>386</v>
      </c>
      <c r="B42" s="11" t="s">
        <v>43</v>
      </c>
    </row>
    <row r="43" spans="1:2" x14ac:dyDescent="0.3">
      <c r="A43" t="s">
        <v>395</v>
      </c>
      <c r="B43" s="11" t="s">
        <v>43</v>
      </c>
    </row>
    <row r="44" spans="1:2" x14ac:dyDescent="0.3">
      <c r="A44" t="s">
        <v>401</v>
      </c>
      <c r="B44" s="11" t="s">
        <v>43</v>
      </c>
    </row>
    <row r="45" spans="1:2" x14ac:dyDescent="0.3">
      <c r="A45" t="s">
        <v>409</v>
      </c>
      <c r="B45" s="11" t="s">
        <v>43</v>
      </c>
    </row>
    <row r="46" spans="1:2" x14ac:dyDescent="0.3">
      <c r="A46" t="s">
        <v>418</v>
      </c>
      <c r="B46" s="11" t="s">
        <v>43</v>
      </c>
    </row>
    <row r="47" spans="1:2" x14ac:dyDescent="0.3">
      <c r="A47" t="s">
        <v>429</v>
      </c>
      <c r="B47" s="11" t="s">
        <v>43</v>
      </c>
    </row>
    <row r="48" spans="1:2" x14ac:dyDescent="0.3">
      <c r="A48" t="s">
        <v>436</v>
      </c>
      <c r="B48" s="11" t="s">
        <v>43</v>
      </c>
    </row>
    <row r="49" spans="1:2" x14ac:dyDescent="0.3">
      <c r="A49" t="s">
        <v>448</v>
      </c>
      <c r="B49" s="11" t="s">
        <v>43</v>
      </c>
    </row>
    <row r="50" spans="1:2" x14ac:dyDescent="0.3">
      <c r="A50" t="s">
        <v>452</v>
      </c>
      <c r="B50" s="11" t="s">
        <v>43</v>
      </c>
    </row>
    <row r="51" spans="1:2" x14ac:dyDescent="0.3">
      <c r="A51" t="s">
        <v>456</v>
      </c>
      <c r="B51" s="11" t="s">
        <v>43</v>
      </c>
    </row>
    <row r="52" spans="1:2" x14ac:dyDescent="0.3">
      <c r="A52" t="s">
        <v>483</v>
      </c>
      <c r="B52" s="11" t="s">
        <v>43</v>
      </c>
    </row>
    <row r="53" spans="1:2" x14ac:dyDescent="0.3">
      <c r="A53" t="s">
        <v>492</v>
      </c>
      <c r="B53" s="11" t="s">
        <v>43</v>
      </c>
    </row>
    <row r="54" spans="1:2" x14ac:dyDescent="0.3">
      <c r="A54" t="s">
        <v>513</v>
      </c>
      <c r="B54" s="11" t="s">
        <v>43</v>
      </c>
    </row>
    <row r="55" spans="1:2" x14ac:dyDescent="0.3">
      <c r="A55" t="s">
        <v>520</v>
      </c>
      <c r="B55" s="11" t="s">
        <v>43</v>
      </c>
    </row>
    <row r="56" spans="1:2" x14ac:dyDescent="0.3">
      <c r="A56" t="s">
        <v>521</v>
      </c>
      <c r="B56" s="11" t="s">
        <v>104</v>
      </c>
    </row>
    <row r="57" spans="1:2" x14ac:dyDescent="0.3">
      <c r="A57" t="s">
        <v>533</v>
      </c>
      <c r="B57" s="11" t="s">
        <v>43</v>
      </c>
    </row>
    <row r="58" spans="1:2" x14ac:dyDescent="0.3">
      <c r="A58" t="s">
        <v>557</v>
      </c>
      <c r="B58" s="11" t="s">
        <v>43</v>
      </c>
    </row>
    <row r="59" spans="1:2" x14ac:dyDescent="0.3">
      <c r="A59" t="s">
        <v>580</v>
      </c>
      <c r="B59" s="11" t="s">
        <v>43</v>
      </c>
    </row>
    <row r="60" spans="1:2" x14ac:dyDescent="0.3">
      <c r="A60" t="s">
        <v>589</v>
      </c>
      <c r="B60" s="11" t="s">
        <v>104</v>
      </c>
    </row>
    <row r="61" spans="1:2" x14ac:dyDescent="0.3">
      <c r="A61" t="s">
        <v>592</v>
      </c>
      <c r="B61" s="11" t="s">
        <v>43</v>
      </c>
    </row>
    <row r="62" spans="1:2" x14ac:dyDescent="0.3">
      <c r="A62" t="s">
        <v>609</v>
      </c>
      <c r="B62" s="11" t="s">
        <v>43</v>
      </c>
    </row>
    <row r="63" spans="1:2" x14ac:dyDescent="0.3">
      <c r="A63" t="s">
        <v>612</v>
      </c>
      <c r="B63" s="11" t="s">
        <v>43</v>
      </c>
    </row>
    <row r="64" spans="1:2" x14ac:dyDescent="0.3">
      <c r="A64" t="s">
        <v>615</v>
      </c>
      <c r="B64" s="11" t="s">
        <v>43</v>
      </c>
    </row>
    <row r="65" spans="1:2" x14ac:dyDescent="0.3">
      <c r="A65" t="s">
        <v>619</v>
      </c>
      <c r="B65" s="11" t="s">
        <v>43</v>
      </c>
    </row>
    <row r="66" spans="1:2" x14ac:dyDescent="0.3">
      <c r="A66" t="s">
        <v>622</v>
      </c>
      <c r="B66" s="11" t="s">
        <v>43</v>
      </c>
    </row>
    <row r="67" spans="1:2" x14ac:dyDescent="0.3">
      <c r="A67" t="s">
        <v>625</v>
      </c>
      <c r="B67" s="11" t="s">
        <v>43</v>
      </c>
    </row>
    <row r="68" spans="1:2" x14ac:dyDescent="0.3">
      <c r="A68" t="s">
        <v>629</v>
      </c>
      <c r="B68" s="11" t="s">
        <v>43</v>
      </c>
    </row>
    <row r="69" spans="1:2" x14ac:dyDescent="0.3">
      <c r="A69" t="s">
        <v>632</v>
      </c>
      <c r="B69" s="11" t="s">
        <v>43</v>
      </c>
    </row>
    <row r="70" spans="1:2" x14ac:dyDescent="0.3">
      <c r="A70" t="s">
        <v>635</v>
      </c>
      <c r="B70" s="11" t="s">
        <v>43</v>
      </c>
    </row>
    <row r="71" spans="1:2" x14ac:dyDescent="0.3">
      <c r="A71" t="s">
        <v>639</v>
      </c>
      <c r="B71" s="11" t="s">
        <v>43</v>
      </c>
    </row>
    <row r="72" spans="1:2" x14ac:dyDescent="0.3">
      <c r="A72" t="s">
        <v>642</v>
      </c>
      <c r="B72" s="11" t="s">
        <v>43</v>
      </c>
    </row>
    <row r="73" spans="1:2" x14ac:dyDescent="0.3">
      <c r="A73" t="s">
        <v>645</v>
      </c>
      <c r="B73" s="11" t="s">
        <v>43</v>
      </c>
    </row>
    <row r="74" spans="1:2" x14ac:dyDescent="0.3">
      <c r="A74" t="s">
        <v>648</v>
      </c>
      <c r="B74" s="11" t="s">
        <v>43</v>
      </c>
    </row>
    <row r="75" spans="1:2" x14ac:dyDescent="0.3">
      <c r="A75" t="s">
        <v>652</v>
      </c>
      <c r="B75" s="11" t="s">
        <v>43</v>
      </c>
    </row>
    <row r="76" spans="1:2" x14ac:dyDescent="0.3">
      <c r="A76" t="s">
        <v>656</v>
      </c>
      <c r="B76" s="11" t="s">
        <v>43</v>
      </c>
    </row>
    <row r="77" spans="1:2" x14ac:dyDescent="0.3">
      <c r="A77" t="s">
        <v>659</v>
      </c>
      <c r="B77" s="11" t="s">
        <v>43</v>
      </c>
    </row>
    <row r="78" spans="1:2" x14ac:dyDescent="0.3">
      <c r="A78" t="s">
        <v>663</v>
      </c>
      <c r="B78" s="11" t="s">
        <v>43</v>
      </c>
    </row>
    <row r="79" spans="1:2" x14ac:dyDescent="0.3">
      <c r="A79" t="s">
        <v>666</v>
      </c>
      <c r="B79" s="11" t="s">
        <v>43</v>
      </c>
    </row>
    <row r="80" spans="1:2" x14ac:dyDescent="0.3">
      <c r="A80" t="s">
        <v>669</v>
      </c>
      <c r="B80" s="11" t="s">
        <v>43</v>
      </c>
    </row>
    <row r="81" spans="1:2" x14ac:dyDescent="0.3">
      <c r="A81" t="s">
        <v>674</v>
      </c>
      <c r="B81" s="11" t="s">
        <v>43</v>
      </c>
    </row>
    <row r="82" spans="1:2" x14ac:dyDescent="0.3">
      <c r="A82" t="s">
        <v>679</v>
      </c>
      <c r="B82" s="11" t="s">
        <v>43</v>
      </c>
    </row>
    <row r="83" spans="1:2" x14ac:dyDescent="0.3">
      <c r="A83" t="s">
        <v>685</v>
      </c>
      <c r="B83" s="11" t="s">
        <v>43</v>
      </c>
    </row>
    <row r="84" spans="1:2" x14ac:dyDescent="0.3">
      <c r="A84" t="s">
        <v>688</v>
      </c>
      <c r="B84" s="11" t="s">
        <v>43</v>
      </c>
    </row>
    <row r="85" spans="1:2" x14ac:dyDescent="0.3">
      <c r="A85" t="s">
        <v>692</v>
      </c>
      <c r="B85" s="11" t="s">
        <v>43</v>
      </c>
    </row>
    <row r="86" spans="1:2" x14ac:dyDescent="0.3">
      <c r="A86" t="s">
        <v>695</v>
      </c>
      <c r="B86" s="11" t="s">
        <v>43</v>
      </c>
    </row>
    <row r="87" spans="1:2" x14ac:dyDescent="0.3">
      <c r="A87" t="s">
        <v>703</v>
      </c>
      <c r="B87" s="11" t="s">
        <v>43</v>
      </c>
    </row>
    <row r="88" spans="1:2" x14ac:dyDescent="0.3">
      <c r="A88" t="s">
        <v>706</v>
      </c>
      <c r="B88" s="11" t="s">
        <v>43</v>
      </c>
    </row>
    <row r="89" spans="1:2" x14ac:dyDescent="0.3">
      <c r="A89" t="s">
        <v>709</v>
      </c>
      <c r="B89" s="11" t="s">
        <v>43</v>
      </c>
    </row>
    <row r="90" spans="1:2" x14ac:dyDescent="0.3">
      <c r="A90" t="s">
        <v>716</v>
      </c>
      <c r="B90" s="11" t="s">
        <v>43</v>
      </c>
    </row>
    <row r="91" spans="1:2" x14ac:dyDescent="0.3">
      <c r="A91" t="s">
        <v>721</v>
      </c>
      <c r="B91" s="11" t="s">
        <v>43</v>
      </c>
    </row>
    <row r="92" spans="1:2" x14ac:dyDescent="0.3">
      <c r="A92" t="s">
        <v>724</v>
      </c>
      <c r="B92" s="11" t="s">
        <v>43</v>
      </c>
    </row>
    <row r="93" spans="1:2" x14ac:dyDescent="0.3">
      <c r="A93" t="s">
        <v>729</v>
      </c>
      <c r="B93" s="11" t="s">
        <v>43</v>
      </c>
    </row>
    <row r="94" spans="1:2" x14ac:dyDescent="0.3">
      <c r="A94" t="s">
        <v>734</v>
      </c>
      <c r="B94" s="11" t="s">
        <v>43</v>
      </c>
    </row>
    <row r="95" spans="1:2" x14ac:dyDescent="0.3">
      <c r="A95" t="s">
        <v>739</v>
      </c>
      <c r="B95" s="11" t="s">
        <v>43</v>
      </c>
    </row>
    <row r="96" spans="1:2" x14ac:dyDescent="0.3">
      <c r="A96" t="s">
        <v>744</v>
      </c>
      <c r="B96" s="11" t="s">
        <v>43</v>
      </c>
    </row>
    <row r="97" spans="1:2" x14ac:dyDescent="0.3">
      <c r="A97" t="s">
        <v>747</v>
      </c>
      <c r="B97" s="11" t="s">
        <v>43</v>
      </c>
    </row>
    <row r="98" spans="1:2" x14ac:dyDescent="0.3">
      <c r="A98" t="s">
        <v>751</v>
      </c>
      <c r="B98" s="11" t="s">
        <v>43</v>
      </c>
    </row>
    <row r="99" spans="1:2" x14ac:dyDescent="0.3">
      <c r="A99" t="s">
        <v>760</v>
      </c>
      <c r="B99" s="11" t="s">
        <v>43</v>
      </c>
    </row>
    <row r="100" spans="1:2" x14ac:dyDescent="0.3">
      <c r="A100" t="s">
        <v>774</v>
      </c>
      <c r="B100" s="11" t="s">
        <v>43</v>
      </c>
    </row>
    <row r="101" spans="1:2" x14ac:dyDescent="0.3">
      <c r="A101" t="s">
        <v>781</v>
      </c>
      <c r="B101" s="11" t="s">
        <v>43</v>
      </c>
    </row>
    <row r="102" spans="1:2" x14ac:dyDescent="0.3">
      <c r="A102" t="s">
        <v>784</v>
      </c>
      <c r="B102" s="11" t="s">
        <v>43</v>
      </c>
    </row>
    <row r="103" spans="1:2" x14ac:dyDescent="0.3">
      <c r="A103" t="s">
        <v>789</v>
      </c>
      <c r="B103" s="11" t="s">
        <v>43</v>
      </c>
    </row>
    <row r="104" spans="1:2" x14ac:dyDescent="0.3">
      <c r="A104" t="s">
        <v>795</v>
      </c>
      <c r="B104" s="11" t="s">
        <v>43</v>
      </c>
    </row>
    <row r="105" spans="1:2" x14ac:dyDescent="0.3">
      <c r="A105" t="s">
        <v>796</v>
      </c>
      <c r="B105" s="11" t="s">
        <v>43</v>
      </c>
    </row>
  </sheetData>
  <autoFilter ref="A1:B1" xr:uid="{0C560E34-3249-440E-91F4-3D34EF2F297F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B7B5-AED5-4A92-A103-3C3A67AB5F76}">
  <sheetPr>
    <tabColor theme="2" tint="-0.499984740745262"/>
  </sheetPr>
  <dimension ref="A1:C17"/>
  <sheetViews>
    <sheetView workbookViewId="0">
      <selection activeCell="B1" sqref="B1"/>
    </sheetView>
  </sheetViews>
  <sheetFormatPr defaultRowHeight="14.4" x14ac:dyDescent="0.3"/>
  <cols>
    <col min="1" max="1" width="37.5546875" customWidth="1"/>
    <col min="2" max="2" width="35.109375" customWidth="1"/>
    <col min="3" max="3" width="42.109375" customWidth="1"/>
  </cols>
  <sheetData>
    <row r="1" spans="1:3" x14ac:dyDescent="0.3">
      <c r="A1" s="1" t="s">
        <v>870</v>
      </c>
      <c r="B1" s="1" t="s">
        <v>871</v>
      </c>
      <c r="C1" s="1" t="s">
        <v>872</v>
      </c>
    </row>
    <row r="2" spans="1:3" x14ac:dyDescent="0.3">
      <c r="A2" t="e" cm="1" vm="1">
        <f t="array" ref="A2">_xlfn.UNIQUE(_xlfn._xlws.FILTER(Hyderabad!B:B, Hyderabad!AP:AP = "&lt;=3"))</f>
        <v>#VALUE!</v>
      </c>
      <c r="B2" t="str" cm="1">
        <f t="array" ref="B2:B10">_xlfn.UNIQUE(_xlfn._xlws.FILTER(Hyderabad!B:B, Hyderabad!AQ:AQ = "&lt;=3"))</f>
        <v>Epic Polymers</v>
      </c>
      <c r="C2" t="str" cm="1">
        <f t="array" ref="C2:C17">_xlfn.UNIQUE(_xlfn._xlws.FILTER(Hyderabad!B:B, Hyderabad!AR:AR = "&lt;=3"))</f>
        <v>Surat Ammonia &amp; Chemical Co.</v>
      </c>
    </row>
    <row r="3" spans="1:3" x14ac:dyDescent="0.3">
      <c r="B3" t="str">
        <v>KAPILA INDUSTRIES</v>
      </c>
      <c r="C3" t="str">
        <v>G P Cellulose GMBH</v>
      </c>
    </row>
    <row r="4" spans="1:3" x14ac:dyDescent="0.3">
      <c r="B4" t="str">
        <v>R L Chloro Sales Pvt Ltd</v>
      </c>
      <c r="C4" t="str">
        <v>Ami Enterprises</v>
      </c>
    </row>
    <row r="5" spans="1:3" x14ac:dyDescent="0.3">
      <c r="B5" t="str">
        <v>Venkatadurga Enterprises</v>
      </c>
      <c r="C5" t="str">
        <v>KAPILA INDUSTRIES</v>
      </c>
    </row>
    <row r="6" spans="1:3" x14ac:dyDescent="0.3">
      <c r="B6" t="str">
        <v>G.A.Paper International Inc.</v>
      </c>
      <c r="C6" t="str">
        <v>Nilkamal Limited</v>
      </c>
    </row>
    <row r="7" spans="1:3" x14ac:dyDescent="0.3">
      <c r="B7" t="str">
        <v>Sappi Paper Holdings GMBH</v>
      </c>
      <c r="C7" t="str">
        <v>ZED CHEM PVT LTD</v>
      </c>
    </row>
    <row r="8" spans="1:3" x14ac:dyDescent="0.3">
      <c r="B8" t="str">
        <v>Foldpack India Private Limited</v>
      </c>
      <c r="C8" t="str">
        <v>Billerud AB</v>
      </c>
    </row>
    <row r="9" spans="1:3" x14ac:dyDescent="0.3">
      <c r="B9" t="str">
        <v>N.E. IMPEX PRIVATE LIMITED</v>
      </c>
      <c r="C9" t="str">
        <v>Navodaya Packing Industries</v>
      </c>
    </row>
    <row r="10" spans="1:3" x14ac:dyDescent="0.3">
      <c r="B10" t="str">
        <v>G P Cellulose GMBH</v>
      </c>
      <c r="C10" t="str">
        <v>SAI RAM FOOD GRADE PACKAGING INDUSTRIES</v>
      </c>
    </row>
    <row r="11" spans="1:3" x14ac:dyDescent="0.3">
      <c r="C11" t="str">
        <v>Sappi Paper Holdings GMBH</v>
      </c>
    </row>
    <row r="12" spans="1:3" x14ac:dyDescent="0.3">
      <c r="C12" t="str">
        <v>Foldpack India Private Limited</v>
      </c>
    </row>
    <row r="13" spans="1:3" x14ac:dyDescent="0.3">
      <c r="C13" t="str">
        <v>Epic Polymers</v>
      </c>
    </row>
    <row r="14" spans="1:3" x14ac:dyDescent="0.3">
      <c r="C14" t="str">
        <v>N.E. IMPEX PRIVATE LIMITED</v>
      </c>
    </row>
    <row r="15" spans="1:3" x14ac:dyDescent="0.3">
      <c r="C15" t="str">
        <v>Ascot Pharmachem Pvt Ltd</v>
      </c>
    </row>
    <row r="16" spans="1:3" x14ac:dyDescent="0.3">
      <c r="C16" t="str">
        <v>Ramya Group</v>
      </c>
    </row>
    <row r="17" spans="3:3" x14ac:dyDescent="0.3">
      <c r="C17" t="str">
        <v>Shree Chemicals</v>
      </c>
    </row>
  </sheetData>
  <autoFilter ref="A1:C1" xr:uid="{305AB7B5-AED5-4A92-A103-3C3A67AB5F76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F1F-1917-44C1-A46B-79482785A090}">
  <sheetPr>
    <tabColor theme="5"/>
  </sheetPr>
  <dimension ref="A1:C17"/>
  <sheetViews>
    <sheetView workbookViewId="0">
      <selection activeCell="B1" sqref="B1"/>
    </sheetView>
  </sheetViews>
  <sheetFormatPr defaultRowHeight="14.4" x14ac:dyDescent="0.3"/>
  <cols>
    <col min="1" max="1" width="38.77734375" customWidth="1"/>
    <col min="2" max="2" width="40.44140625" customWidth="1"/>
    <col min="3" max="3" width="33.109375" customWidth="1"/>
  </cols>
  <sheetData>
    <row r="1" spans="1:3" x14ac:dyDescent="0.3">
      <c r="A1" s="1" t="s">
        <v>870</v>
      </c>
      <c r="B1" s="1" t="s">
        <v>871</v>
      </c>
      <c r="C1" s="1" t="s">
        <v>872</v>
      </c>
    </row>
    <row r="2" spans="1:3" x14ac:dyDescent="0.3">
      <c r="A2" t="str" cm="1">
        <f t="array" ref="A2:A3">_xlfn.UNIQUE(_xlfn._xlws.FILTER(Dahej!B:B,Dahej!AP:AP = "&lt;=3"))</f>
        <v>Prachin Chemicals_Vendor</v>
      </c>
      <c r="B2" t="str" cm="1">
        <f t="array" ref="B2:B17">_xlfn.UNIQUE(_xlfn._xlws.FILTER(Dahej!B:B, Dahej!AQ:AQ = "&lt;=3"))</f>
        <v>Akar Multi Form</v>
      </c>
      <c r="C2" t="str" cm="1">
        <f t="array" ref="C2:C17">_xlfn.UNIQUE(_xlfn._xlws.FILTER(Dahej!B:B, Dahej!AR:AR = "&lt;=3"))</f>
        <v>Bharat Petroleum Corporation Ltd</v>
      </c>
    </row>
    <row r="3" spans="1:3" x14ac:dyDescent="0.3">
      <c r="A3" t="str">
        <v>NEELKANTH FINECHEM LLP</v>
      </c>
      <c r="B3" t="str">
        <v>Bharat Petroleum Corporation Ltd</v>
      </c>
      <c r="C3" t="str">
        <v>Akar Multi Form</v>
      </c>
    </row>
    <row r="4" spans="1:3" x14ac:dyDescent="0.3">
      <c r="B4" t="str">
        <v>SKYWIN ENTERPRISE</v>
      </c>
      <c r="C4" t="str">
        <v>Sigachi Industries Limited</v>
      </c>
    </row>
    <row r="5" spans="1:3" x14ac:dyDescent="0.3">
      <c r="B5" t="str">
        <v>Duttchem Enterprise</v>
      </c>
      <c r="C5" t="str">
        <v>SKYWIN ENTERPRISE</v>
      </c>
    </row>
    <row r="6" spans="1:3" x14ac:dyDescent="0.3">
      <c r="B6" t="str">
        <v>Crystal coal corporation</v>
      </c>
      <c r="C6" t="str">
        <v>G P Cellulose GMBH</v>
      </c>
    </row>
    <row r="7" spans="1:3" x14ac:dyDescent="0.3">
      <c r="B7" t="str">
        <v>Patkar Extrusions Pvt Ltd</v>
      </c>
      <c r="C7" t="str">
        <v>Plastocon Industries Pvt Ltd</v>
      </c>
    </row>
    <row r="8" spans="1:3" x14ac:dyDescent="0.3">
      <c r="B8" t="str">
        <v>Ami Enterprises</v>
      </c>
      <c r="C8" t="str">
        <v>SHREE ACID AND CHEMICALS</v>
      </c>
    </row>
    <row r="9" spans="1:3" x14ac:dyDescent="0.3">
      <c r="B9" t="str">
        <v>Ganpati Energy Pvt Ltd</v>
      </c>
      <c r="C9" t="str">
        <v>ZED CHEM PVT LTD</v>
      </c>
    </row>
    <row r="10" spans="1:3" x14ac:dyDescent="0.3">
      <c r="B10" t="str">
        <v>Shree Gopal Celluchem Pvt Ltd</v>
      </c>
      <c r="C10" t="str">
        <v>Duttchem Enterprise</v>
      </c>
    </row>
    <row r="11" spans="1:3" x14ac:dyDescent="0.3">
      <c r="B11" t="str">
        <v>SHREE ACID AND CHEMICALS</v>
      </c>
      <c r="C11" t="str">
        <v>Crystal coal corporation</v>
      </c>
    </row>
    <row r="12" spans="1:3" x14ac:dyDescent="0.3">
      <c r="B12" t="str">
        <v>Shree Shyam Enterprises</v>
      </c>
      <c r="C12" t="str">
        <v>GEM Pharma Machineries</v>
      </c>
    </row>
    <row r="13" spans="1:3" x14ac:dyDescent="0.3">
      <c r="B13" t="str">
        <v>G P Cellulose GMBH</v>
      </c>
      <c r="C13" t="str">
        <v>HELIK ENTERPRISE</v>
      </c>
    </row>
    <row r="14" spans="1:3" x14ac:dyDescent="0.3">
      <c r="B14" t="str">
        <v>Sigachi Industries Limited</v>
      </c>
      <c r="C14" t="str">
        <v>Patkar Extrusions Pvt Ltd</v>
      </c>
    </row>
    <row r="15" spans="1:3" x14ac:dyDescent="0.3">
      <c r="B15" t="str">
        <v>Ascot Pharmachem Pvt Ltd</v>
      </c>
      <c r="C15" t="str">
        <v>Ascot Pharmachem Pvt Ltd</v>
      </c>
    </row>
    <row r="16" spans="1:3" x14ac:dyDescent="0.3">
      <c r="B16" t="str">
        <v>Sappi Paper Holdings GMBH</v>
      </c>
      <c r="C16" t="str">
        <v>Sappi Paper Holdings GMBH</v>
      </c>
    </row>
    <row r="17" spans="2:3" x14ac:dyDescent="0.3">
      <c r="B17" t="str">
        <v>Plastocon Industries Pvt Ltd</v>
      </c>
      <c r="C17" t="str">
        <v>Rayonier A M Sales &amp; Technology Inc</v>
      </c>
    </row>
  </sheetData>
  <autoFilter ref="A1:C1" xr:uid="{D0258F1F-1917-44C1-A46B-79482785A09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D0E4-0EAE-4AB6-B1BF-D59F061D3E81}">
  <sheetPr>
    <tabColor theme="3" tint="0.39997558519241921"/>
  </sheetPr>
  <dimension ref="A1:C15"/>
  <sheetViews>
    <sheetView workbookViewId="0">
      <selection activeCell="B1" sqref="B1"/>
    </sheetView>
  </sheetViews>
  <sheetFormatPr defaultRowHeight="14.4" x14ac:dyDescent="0.3"/>
  <cols>
    <col min="1" max="1" width="34.33203125" customWidth="1"/>
    <col min="2" max="2" width="34.77734375" customWidth="1"/>
    <col min="3" max="3" width="32.77734375" customWidth="1"/>
  </cols>
  <sheetData>
    <row r="1" spans="1:3" x14ac:dyDescent="0.3">
      <c r="A1" s="1" t="s">
        <v>870</v>
      </c>
      <c r="B1" s="1" t="s">
        <v>871</v>
      </c>
      <c r="C1" s="1" t="s">
        <v>872</v>
      </c>
    </row>
    <row r="2" spans="1:3" x14ac:dyDescent="0.3">
      <c r="A2" t="e" cm="1" vm="1">
        <f t="array" ref="A2">_xlfn.UNIQUE(_xlfn._xlws.FILTER(Jhagadia!B:B,Jhagadia!AP:AP = "&lt;=3"))</f>
        <v>#VALUE!</v>
      </c>
      <c r="B2" t="str" cm="1">
        <f t="array" ref="B2:B12">_xlfn.UNIQUE(_xlfn._xlws.FILTER(Jhagadia!B:B, Jhagadia!AQ:AQ = "&lt;=3"))</f>
        <v>Duttchem Enterprise</v>
      </c>
      <c r="C2" t="str" cm="1">
        <f t="array" ref="C2:C15">_xlfn.UNIQUE(_xlfn._xlws.FILTER(Jhagadia!B:B, Jhagadia!AR:AR = "&lt;=3"))</f>
        <v>Shree Shyam Enterprises</v>
      </c>
    </row>
    <row r="3" spans="1:3" x14ac:dyDescent="0.3">
      <c r="B3" t="str">
        <v>Shree Shyam Enterprises</v>
      </c>
      <c r="C3" t="str">
        <v>Jaysons Chemical Industries Vapi</v>
      </c>
    </row>
    <row r="4" spans="1:3" x14ac:dyDescent="0.3">
      <c r="B4" t="str">
        <v>Jaysons Chemical Industries Vapi</v>
      </c>
      <c r="C4" t="str">
        <v>J.K.Marketing</v>
      </c>
    </row>
    <row r="5" spans="1:3" x14ac:dyDescent="0.3">
      <c r="B5" t="str">
        <v>J.K.Marketing</v>
      </c>
      <c r="C5" t="str">
        <v>Plastocon Industries Pvt Ltd</v>
      </c>
    </row>
    <row r="6" spans="1:3" x14ac:dyDescent="0.3">
      <c r="B6" t="str">
        <v>Crystal coal corporation</v>
      </c>
      <c r="C6" t="str">
        <v>Crystal coal corporation</v>
      </c>
    </row>
    <row r="7" spans="1:3" x14ac:dyDescent="0.3">
      <c r="B7" t="str">
        <v>SHREE ACID AND CHEMICALS</v>
      </c>
      <c r="C7" t="str">
        <v>SKYWIN ENTERPRISE</v>
      </c>
    </row>
    <row r="8" spans="1:3" x14ac:dyDescent="0.3">
      <c r="B8" t="str">
        <v>UNIVERSAL CHEM</v>
      </c>
      <c r="C8" t="str">
        <v>SHREE ACID AND CHEMICALS</v>
      </c>
    </row>
    <row r="9" spans="1:3" x14ac:dyDescent="0.3">
      <c r="B9" t="str">
        <v>N.E. IMPEX PRIVATE LIMITED</v>
      </c>
      <c r="C9" t="str">
        <v>G P Cellulose GMBH</v>
      </c>
    </row>
    <row r="10" spans="1:3" x14ac:dyDescent="0.3">
      <c r="B10" t="str">
        <v>SKYWIN ENTERPRISE</v>
      </c>
      <c r="C10" t="str">
        <v>Duttchem Enterprise</v>
      </c>
    </row>
    <row r="11" spans="1:3" x14ac:dyDescent="0.3">
      <c r="B11" t="str">
        <v>Plastocon Industries Pvt Ltd</v>
      </c>
      <c r="C11" t="str">
        <v>ZED CHEM PVT LTD</v>
      </c>
    </row>
    <row r="12" spans="1:3" x14ac:dyDescent="0.3">
      <c r="B12" t="str">
        <v>Shree Gopal Celluchem Pvt Ltd</v>
      </c>
      <c r="C12" t="str">
        <v>Sappi Paper Holdings GMBH</v>
      </c>
    </row>
    <row r="13" spans="1:3" x14ac:dyDescent="0.3">
      <c r="C13" t="str">
        <v>Shree Gopal Celluchem Pvt Ltd</v>
      </c>
    </row>
    <row r="14" spans="1:3" x14ac:dyDescent="0.3">
      <c r="C14" t="str">
        <v>HELIK ENTERPRISE</v>
      </c>
    </row>
    <row r="15" spans="1:3" x14ac:dyDescent="0.3">
      <c r="C15" t="str">
        <v>Ascot Pharmachem Pvt Ltd</v>
      </c>
    </row>
  </sheetData>
  <autoFilter ref="A1:C1" xr:uid="{C223D0E4-0EAE-4AB6-B1BF-D59F061D3E81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2ACF-658B-4869-BBA8-77722C5199EE}">
  <sheetPr>
    <tabColor rgb="FFFFC000"/>
  </sheetPr>
  <dimension ref="A1:C27"/>
  <sheetViews>
    <sheetView workbookViewId="0"/>
  </sheetViews>
  <sheetFormatPr defaultRowHeight="14.4" x14ac:dyDescent="0.3"/>
  <cols>
    <col min="1" max="1" width="36.21875" customWidth="1"/>
    <col min="2" max="2" width="34.88671875" customWidth="1"/>
    <col min="3" max="3" width="50.33203125" customWidth="1"/>
  </cols>
  <sheetData>
    <row r="1" spans="1:3" x14ac:dyDescent="0.3">
      <c r="A1" s="1" t="s">
        <v>870</v>
      </c>
      <c r="B1" s="1" t="s">
        <v>871</v>
      </c>
      <c r="C1" s="1" t="s">
        <v>872</v>
      </c>
    </row>
    <row r="2" spans="1:3" x14ac:dyDescent="0.3">
      <c r="A2" t="e" cm="1" vm="1">
        <f t="array" ref="A2">_xlfn.UNIQUE(_xlfn._xlws.FILTER(Sultanpur!B:B,Sultanpur!AP:AP = "&lt;=3"))</f>
        <v>#VALUE!</v>
      </c>
      <c r="B2" t="str" cm="1">
        <f t="array" ref="B2">_xlfn.UNIQUE(_xlfn._xlws.FILTER(Sultanpur!B:B, Sultanpur!AQ:AQ = "&lt;=3"))</f>
        <v>Sigachi Industries Limited</v>
      </c>
      <c r="C2" t="str" cm="1">
        <f t="array" ref="C2:C27">_xlfn.UNIQUE(_xlfn._xlws.FILTER(Sultanpur!B:B,Sultanpur!AR:AR = "&lt;=3"))</f>
        <v>Safepack Industries Limited</v>
      </c>
    </row>
    <row r="3" spans="1:3" x14ac:dyDescent="0.3">
      <c r="C3" t="str">
        <v>New Alliance Fine Chem Pvt Ltd</v>
      </c>
    </row>
    <row r="4" spans="1:3" x14ac:dyDescent="0.3">
      <c r="C4" t="str">
        <v>S K ENTERPRISES</v>
      </c>
    </row>
    <row r="5" spans="1:3" x14ac:dyDescent="0.3">
      <c r="C5" t="str">
        <v>ARIHANT PURECHEM PVT. LTD.</v>
      </c>
    </row>
    <row r="6" spans="1:3" x14ac:dyDescent="0.3">
      <c r="C6" t="str">
        <v>M N CHEMICALS LTD</v>
      </c>
    </row>
    <row r="7" spans="1:3" x14ac:dyDescent="0.3">
      <c r="C7" t="str">
        <v>MSC Chemicals</v>
      </c>
    </row>
    <row r="8" spans="1:3" x14ac:dyDescent="0.3">
      <c r="C8" t="str">
        <v>VISHNUPRIYA CHEMICALS PRIVATE LIMITED</v>
      </c>
    </row>
    <row r="9" spans="1:3" x14ac:dyDescent="0.3">
      <c r="C9" t="str">
        <v>JUBILANT INGREVIALIMITED</v>
      </c>
    </row>
    <row r="10" spans="1:3" x14ac:dyDescent="0.3">
      <c r="C10" t="str">
        <v>Forbes Pharmaceuticals</v>
      </c>
    </row>
    <row r="11" spans="1:3" x14ac:dyDescent="0.3">
      <c r="C11" t="str">
        <v>VITAL THEARAPEUTICS PVT LTD</v>
      </c>
    </row>
    <row r="12" spans="1:3" x14ac:dyDescent="0.3">
      <c r="C12" t="str">
        <v>KRONOX LAB SCIENCES LIMITED</v>
      </c>
    </row>
    <row r="13" spans="1:3" x14ac:dyDescent="0.3">
      <c r="C13" t="str">
        <v>Akruthi Enterprises</v>
      </c>
    </row>
    <row r="14" spans="1:3" x14ac:dyDescent="0.3">
      <c r="C14" t="str">
        <v>Valaji Pharma Chem</v>
      </c>
    </row>
    <row r="15" spans="1:3" x14ac:dyDescent="0.3">
      <c r="C15" t="str">
        <v>Annapurna Sales Company</v>
      </c>
    </row>
    <row r="16" spans="1:3" x14ac:dyDescent="0.3">
      <c r="C16" t="str">
        <v>VITAL THERAPEUTICS AND FORMULATIONS PRIVATE LIMITED</v>
      </c>
    </row>
    <row r="17" spans="3:3" x14ac:dyDescent="0.3">
      <c r="C17" t="str">
        <v>HIMACHAL POLYOLEFINS LTD .</v>
      </c>
    </row>
    <row r="18" spans="3:3" x14ac:dyDescent="0.3">
      <c r="C18" t="str">
        <v>SALVI CHEMICAL INDUSTRIES LIMITED</v>
      </c>
    </row>
    <row r="19" spans="3:3" x14ac:dyDescent="0.3">
      <c r="C19" t="str">
        <v>Sbf pharma</v>
      </c>
    </row>
    <row r="20" spans="3:3" x14ac:dyDescent="0.3">
      <c r="C20" t="str">
        <v>SUN LIFE SCIENCES</v>
      </c>
    </row>
    <row r="21" spans="3:3" x14ac:dyDescent="0.3">
      <c r="C21" t="str">
        <v>MINERVA BIOGENIX PVT LTD</v>
      </c>
    </row>
    <row r="22" spans="3:3" x14ac:dyDescent="0.3">
      <c r="C22" t="str">
        <v>SMRITI CHEMICALS</v>
      </c>
    </row>
    <row r="23" spans="3:3" x14ac:dyDescent="0.3">
      <c r="C23" t="str">
        <v>Agarwal Life Science Pvt Ltd</v>
      </c>
    </row>
    <row r="24" spans="3:3" x14ac:dyDescent="0.3">
      <c r="C24" t="str">
        <v>NIMBASIA STABILIZERS</v>
      </c>
    </row>
    <row r="25" spans="3:3" x14ac:dyDescent="0.3">
      <c r="C25" t="str">
        <v>Nandlal Bankatlal Pvt ltd</v>
      </c>
    </row>
    <row r="26" spans="3:3" x14ac:dyDescent="0.3">
      <c r="C26" t="str">
        <v>BDJ OXIDES PRIVATE LIMITED</v>
      </c>
    </row>
    <row r="27" spans="3:3" x14ac:dyDescent="0.3">
      <c r="C27" t="str">
        <v>SKC CHEMIE PRIVATE LIMITED</v>
      </c>
    </row>
  </sheetData>
  <autoFilter ref="A1:C1" xr:uid="{B37F2ACF-658B-4869-BBA8-77722C5199EE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9718-0907-4164-8659-3D5042DDB5D3}">
  <sheetPr>
    <tabColor theme="9"/>
  </sheetPr>
  <dimension ref="A1:C33"/>
  <sheetViews>
    <sheetView workbookViewId="0"/>
  </sheetViews>
  <sheetFormatPr defaultRowHeight="14.4" x14ac:dyDescent="0.3"/>
  <cols>
    <col min="1" max="1" width="35.6640625" customWidth="1"/>
    <col min="2" max="2" width="33.33203125" customWidth="1"/>
    <col min="3" max="3" width="35.109375" customWidth="1"/>
  </cols>
  <sheetData>
    <row r="1" spans="1:3" x14ac:dyDescent="0.3">
      <c r="A1" s="1" t="s">
        <v>870</v>
      </c>
      <c r="B1" s="1" t="s">
        <v>871</v>
      </c>
      <c r="C1" s="1" t="s">
        <v>872</v>
      </c>
    </row>
    <row r="2" spans="1:3" x14ac:dyDescent="0.3">
      <c r="A2" t="str" cm="1">
        <f t="array" ref="A2:A3">_xlfn.UNIQUE(_xlfn._xlws.FILTER(Overall_Sheet!B:B,Overall_Sheet!AO:AO = "&lt;=3"))</f>
        <v>NEELKANTH FINECHEM LLP</v>
      </c>
      <c r="B2" t="str" cm="1">
        <f t="array" ref="B2:B27">_xlfn.UNIQUE(_xlfn._xlws.FILTER(Overall_Sheet!B:B,Overall_Sheet!AP:AP = "&lt;=3"))</f>
        <v>Epic Polymers</v>
      </c>
      <c r="C2" t="str" cm="1">
        <f t="array" ref="C2:C33">_xlfn.UNIQUE(_xlfn._xlws.FILTER(Overall_Sheet!B:B,Overall_Sheet!AQ:AQ = "&lt;=3"))</f>
        <v>Surat Ammonia &amp; Chemical Co.</v>
      </c>
    </row>
    <row r="3" spans="1:3" x14ac:dyDescent="0.3">
      <c r="A3" t="str">
        <v>Prachin Chemicals_Vendor</v>
      </c>
      <c r="B3" t="str">
        <v>KAPILA INDUSTRIES</v>
      </c>
      <c r="C3" t="str">
        <v>G P Cellulose GMBH</v>
      </c>
    </row>
    <row r="4" spans="1:3" x14ac:dyDescent="0.3">
      <c r="B4" t="str">
        <v>R L Chloro Sales Pvt Ltd</v>
      </c>
      <c r="C4" t="str">
        <v>Ami Enterprises</v>
      </c>
    </row>
    <row r="5" spans="1:3" x14ac:dyDescent="0.3">
      <c r="B5" t="str">
        <v>Venkatadurga Enterprises</v>
      </c>
      <c r="C5" t="str">
        <v>KAPILA INDUSTRIES</v>
      </c>
    </row>
    <row r="6" spans="1:3" x14ac:dyDescent="0.3">
      <c r="B6" t="str">
        <v>G.A.Paper International Inc.</v>
      </c>
      <c r="C6" t="str">
        <v>Nilkamal Limited</v>
      </c>
    </row>
    <row r="7" spans="1:3" x14ac:dyDescent="0.3">
      <c r="B7" t="str">
        <v>Sappi Paper Holdings GMBH</v>
      </c>
      <c r="C7" t="str">
        <v>ZED CHEM PVT LTD</v>
      </c>
    </row>
    <row r="8" spans="1:3" x14ac:dyDescent="0.3">
      <c r="B8" t="str">
        <v>Foldpack India Private Limited</v>
      </c>
      <c r="C8" t="str">
        <v>Billerud AB</v>
      </c>
    </row>
    <row r="9" spans="1:3" x14ac:dyDescent="0.3">
      <c r="B9" t="str">
        <v>N.E. IMPEX PRIVATE LIMITED</v>
      </c>
      <c r="C9" t="str">
        <v>Navodaya Packing Industries</v>
      </c>
    </row>
    <row r="10" spans="1:3" x14ac:dyDescent="0.3">
      <c r="B10" t="str">
        <v>G P Cellulose GMBH</v>
      </c>
      <c r="C10" t="str">
        <v>SAI RAM FOOD GRADE PACKAGING INDUSTRIES</v>
      </c>
    </row>
    <row r="11" spans="1:3" x14ac:dyDescent="0.3">
      <c r="B11" t="str">
        <v>Akar Multi Form</v>
      </c>
      <c r="C11" t="str">
        <v>Sappi Paper Holdings GMBH</v>
      </c>
    </row>
    <row r="12" spans="1:3" x14ac:dyDescent="0.3">
      <c r="B12" t="str">
        <v>Bharat Petroleum Corporation Ltd</v>
      </c>
      <c r="C12" t="str">
        <v>Foldpack India Private Limited</v>
      </c>
    </row>
    <row r="13" spans="1:3" x14ac:dyDescent="0.3">
      <c r="B13" t="str">
        <v>SKYWIN ENTERPRISE</v>
      </c>
      <c r="C13" t="str">
        <v>Epic Polymers</v>
      </c>
    </row>
    <row r="14" spans="1:3" x14ac:dyDescent="0.3">
      <c r="B14" t="str">
        <v>Duttchem Enterprise</v>
      </c>
      <c r="C14" t="str">
        <v>N.E. IMPEX PRIVATE LIMITED</v>
      </c>
    </row>
    <row r="15" spans="1:3" x14ac:dyDescent="0.3">
      <c r="B15" t="str">
        <v>Crystal coal corporation</v>
      </c>
      <c r="C15" t="str">
        <v>Ascot Pharmachem Pvt Ltd</v>
      </c>
    </row>
    <row r="16" spans="1:3" x14ac:dyDescent="0.3">
      <c r="B16" t="str">
        <v>Patkar Extrusions Pvt Ltd</v>
      </c>
      <c r="C16" t="str">
        <v>Ramya Group</v>
      </c>
    </row>
    <row r="17" spans="2:3" x14ac:dyDescent="0.3">
      <c r="B17" t="str">
        <v>Ami Enterprises</v>
      </c>
      <c r="C17" t="str">
        <v>Shree Chemicals</v>
      </c>
    </row>
    <row r="18" spans="2:3" x14ac:dyDescent="0.3">
      <c r="B18" t="str">
        <v>Ganpati Energy Pvt Ltd</v>
      </c>
      <c r="C18" t="str">
        <v>Bharat Petroleum Corporation Ltd</v>
      </c>
    </row>
    <row r="19" spans="2:3" x14ac:dyDescent="0.3">
      <c r="B19" t="str">
        <v>Shree Gopal Celluchem Pvt Ltd</v>
      </c>
      <c r="C19" t="str">
        <v>Akar Multi Form</v>
      </c>
    </row>
    <row r="20" spans="2:3" x14ac:dyDescent="0.3">
      <c r="B20" t="str">
        <v>SHREE ACID AND CHEMICALS</v>
      </c>
      <c r="C20" t="str">
        <v>Sigachi Industries Limited</v>
      </c>
    </row>
    <row r="21" spans="2:3" x14ac:dyDescent="0.3">
      <c r="B21" t="str">
        <v>Shree Shyam Enterprises</v>
      </c>
      <c r="C21" t="str">
        <v>SKYWIN ENTERPRISE</v>
      </c>
    </row>
    <row r="22" spans="2:3" x14ac:dyDescent="0.3">
      <c r="B22" t="str">
        <v>Sigachi Industries Limited</v>
      </c>
      <c r="C22" t="str">
        <v>Plastocon Industries Pvt Ltd</v>
      </c>
    </row>
    <row r="23" spans="2:3" x14ac:dyDescent="0.3">
      <c r="B23" t="str">
        <v>Ascot Pharmachem Pvt Ltd</v>
      </c>
      <c r="C23" t="str">
        <v>SHREE ACID AND CHEMICALS</v>
      </c>
    </row>
    <row r="24" spans="2:3" x14ac:dyDescent="0.3">
      <c r="B24" t="str">
        <v>Plastocon Industries Pvt Ltd</v>
      </c>
      <c r="C24" t="str">
        <v>Duttchem Enterprise</v>
      </c>
    </row>
    <row r="25" spans="2:3" x14ac:dyDescent="0.3">
      <c r="B25" t="str">
        <v>Jaysons Chemical Industries Vapi</v>
      </c>
      <c r="C25" t="str">
        <v>Crystal coal corporation</v>
      </c>
    </row>
    <row r="26" spans="2:3" x14ac:dyDescent="0.3">
      <c r="B26" t="str">
        <v>J.K.Marketing</v>
      </c>
      <c r="C26" t="str">
        <v>GEM Pharma Machineries</v>
      </c>
    </row>
    <row r="27" spans="2:3" x14ac:dyDescent="0.3">
      <c r="B27" t="str">
        <v>UNIVERSAL CHEM</v>
      </c>
      <c r="C27" t="str">
        <v>HELIK ENTERPRISE</v>
      </c>
    </row>
    <row r="28" spans="2:3" x14ac:dyDescent="0.3">
      <c r="C28" t="str">
        <v>Patkar Extrusions Pvt Ltd</v>
      </c>
    </row>
    <row r="29" spans="2:3" x14ac:dyDescent="0.3">
      <c r="C29" t="str">
        <v>Rayonier A M Sales &amp; Technology Inc</v>
      </c>
    </row>
    <row r="30" spans="2:3" x14ac:dyDescent="0.3">
      <c r="C30" t="str">
        <v>Shree Shyam Enterprises</v>
      </c>
    </row>
    <row r="31" spans="2:3" x14ac:dyDescent="0.3">
      <c r="C31" t="str">
        <v>Jaysons Chemical Industries Vapi</v>
      </c>
    </row>
    <row r="32" spans="2:3" x14ac:dyDescent="0.3">
      <c r="C32" t="str">
        <v>J.K.Marketing</v>
      </c>
    </row>
    <row r="33" spans="3:3" x14ac:dyDescent="0.3">
      <c r="C33" t="str">
        <v>Shree Gopal Celluchem Pvt Ltd</v>
      </c>
    </row>
  </sheetData>
  <autoFilter ref="A1:C1" xr:uid="{7A999718-0907-4164-8659-3D5042DDB5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Hyderabad</vt:lpstr>
      <vt:lpstr>Dahej</vt:lpstr>
      <vt:lpstr>Jhagadia</vt:lpstr>
      <vt:lpstr>Sultanpur</vt:lpstr>
      <vt:lpstr>Overall_Sheet</vt:lpstr>
      <vt:lpstr>Item_Category</vt:lpstr>
      <vt:lpstr>Payment_Terms</vt:lpstr>
      <vt:lpstr>Payment terms count&amp;percentage</vt:lpstr>
      <vt:lpstr>Expected Date</vt:lpstr>
      <vt:lpstr>Currency</vt:lpstr>
      <vt:lpstr>Hyderabad list(Rating&lt;=3)</vt:lpstr>
      <vt:lpstr>Dahej list(Rating&lt;=3)</vt:lpstr>
      <vt:lpstr>Jhagadia list(Rating&lt;=3)</vt:lpstr>
      <vt:lpstr>Sultanpur list(Rating&lt;=3)</vt:lpstr>
      <vt:lpstr>Overall_Sheet list(Rating&lt;=3)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Gani Raju | Sigachi</dc:creator>
  <cp:keywords/>
  <dc:description/>
  <cp:lastModifiedBy>KALLURU BALA TRINADH REDDY - 220984011 - MITMPL</cp:lastModifiedBy>
  <cp:revision/>
  <dcterms:created xsi:type="dcterms:W3CDTF">2023-10-24T10:10:30Z</dcterms:created>
  <dcterms:modified xsi:type="dcterms:W3CDTF">2025-01-12T13:21:12Z</dcterms:modified>
  <cp:category/>
  <cp:contentStatus/>
</cp:coreProperties>
</file>