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E:\Spectrum_analysis\Spectrum_data_reports\"/>
    </mc:Choice>
  </mc:AlternateContent>
  <xr:revisionPtr revIDLastSave="0" documentId="13_ncr:1_{8D6E18DF-ECB8-4A45-8DE2-BE22B2592A5A}" xr6:coauthVersionLast="47" xr6:coauthVersionMax="47" xr10:uidLastSave="{00000000-0000-0000-0000-000000000000}"/>
  <bookViews>
    <workbookView xWindow="-110" yWindow="-110" windowWidth="38620" windowHeight="21220" firstSheet="1" activeTab="4" xr2:uid="{2A1E98C4-CE82-4D6A-AF2B-015BA03550F2}"/>
  </bookViews>
  <sheets>
    <sheet name="GammaVision" sheetId="2" r:id="rId1"/>
    <sheet name="脚本" sheetId="9" r:id="rId2"/>
    <sheet name="峰区对应核素识别" sheetId="7" r:id="rId3"/>
    <sheet name="两种方法识别峰区比较" sheetId="5" r:id="rId4"/>
    <sheet name="核素活度计算结果" sheetId="6" r:id="rId5"/>
    <sheet name="Sheet1" sheetId="10" r:id="rId6"/>
    <sheet name="Sheet8"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0" i="10" l="1"/>
  <c r="R30" i="10" s="1"/>
  <c r="J30" i="10"/>
  <c r="I30" i="10"/>
  <c r="E30" i="10"/>
  <c r="F30" i="10" s="1"/>
  <c r="C30" i="10"/>
  <c r="H30" i="10" s="1"/>
  <c r="M29" i="10"/>
  <c r="R29" i="10" s="1"/>
  <c r="J29" i="10"/>
  <c r="I29" i="10"/>
  <c r="E29" i="10"/>
  <c r="F29" i="10" s="1"/>
  <c r="C29" i="10"/>
  <c r="H29" i="10" s="1"/>
  <c r="M28" i="10"/>
  <c r="R28" i="10" s="1"/>
  <c r="J28" i="10"/>
  <c r="I28" i="10"/>
  <c r="E28" i="10"/>
  <c r="F28" i="10" s="1"/>
  <c r="C28" i="10"/>
  <c r="H28" i="10" s="1"/>
  <c r="M27" i="10"/>
  <c r="R27" i="10" s="1"/>
  <c r="J27" i="10"/>
  <c r="I27" i="10"/>
  <c r="F27" i="10"/>
  <c r="C27" i="10"/>
  <c r="H27" i="10" s="1"/>
  <c r="M26" i="10"/>
  <c r="R26" i="10" s="1"/>
  <c r="J26" i="10"/>
  <c r="I26" i="10"/>
  <c r="E26" i="10"/>
  <c r="F26" i="10" s="1"/>
  <c r="C26" i="10"/>
  <c r="H26" i="10" s="1"/>
  <c r="M25" i="10"/>
  <c r="R25" i="10" s="1"/>
  <c r="J25" i="10"/>
  <c r="I25" i="10"/>
  <c r="F25" i="10"/>
  <c r="C25" i="10"/>
  <c r="H25" i="10" s="1"/>
  <c r="M24" i="10"/>
  <c r="R24" i="10" s="1"/>
  <c r="J24" i="10"/>
  <c r="I24" i="10"/>
  <c r="F24" i="10"/>
  <c r="C24" i="10"/>
  <c r="H24" i="10" s="1"/>
  <c r="M23" i="10"/>
  <c r="R23" i="10" s="1"/>
  <c r="J23" i="10"/>
  <c r="I23" i="10"/>
  <c r="F23" i="10"/>
  <c r="C23" i="10"/>
  <c r="H23" i="10" s="1"/>
  <c r="M22" i="10"/>
  <c r="R22" i="10" s="1"/>
  <c r="J22" i="10"/>
  <c r="I22" i="10"/>
  <c r="E22" i="10"/>
  <c r="F22" i="10" s="1"/>
  <c r="C22" i="10"/>
  <c r="H22" i="10" s="1"/>
  <c r="M21" i="10"/>
  <c r="R21" i="10" s="1"/>
  <c r="J21" i="10"/>
  <c r="I21" i="10"/>
  <c r="E21" i="10"/>
  <c r="F21" i="10" s="1"/>
  <c r="C21" i="10"/>
  <c r="H21" i="10" s="1"/>
  <c r="M20" i="10"/>
  <c r="R20" i="10" s="1"/>
  <c r="J20" i="10"/>
  <c r="I20" i="10"/>
  <c r="E20" i="10"/>
  <c r="F20" i="10" s="1"/>
  <c r="C20" i="10"/>
  <c r="H20" i="10" s="1"/>
  <c r="M19" i="10"/>
  <c r="R19" i="10" s="1"/>
  <c r="J19" i="10"/>
  <c r="I19" i="10"/>
  <c r="E19" i="10"/>
  <c r="F19" i="10" s="1"/>
  <c r="C19" i="10"/>
  <c r="H19" i="10" s="1"/>
  <c r="M18" i="10"/>
  <c r="R18" i="10" s="1"/>
  <c r="J18" i="10"/>
  <c r="I18" i="10"/>
  <c r="E18" i="10"/>
  <c r="F18" i="10" s="1"/>
  <c r="C18" i="10"/>
  <c r="H18" i="10" s="1"/>
  <c r="M17" i="10"/>
  <c r="R17" i="10" s="1"/>
  <c r="S17" i="10" s="1"/>
  <c r="J17" i="10"/>
  <c r="I17" i="10"/>
  <c r="E17" i="10"/>
  <c r="F17" i="10" s="1"/>
  <c r="C17" i="10"/>
  <c r="H17" i="10" s="1"/>
  <c r="M16" i="10"/>
  <c r="R16" i="10" s="1"/>
  <c r="J16" i="10"/>
  <c r="I16" i="10"/>
  <c r="E16" i="10"/>
  <c r="F16" i="10" s="1"/>
  <c r="C16" i="10"/>
  <c r="H16" i="10" s="1"/>
  <c r="M15" i="10"/>
  <c r="R15" i="10" s="1"/>
  <c r="J15" i="10"/>
  <c r="I15" i="10"/>
  <c r="E15" i="10"/>
  <c r="F15" i="10" s="1"/>
  <c r="C15" i="10"/>
  <c r="H15" i="10" s="1"/>
  <c r="M14" i="10"/>
  <c r="R14" i="10" s="1"/>
  <c r="J14" i="10"/>
  <c r="I14" i="10"/>
  <c r="E14" i="10"/>
  <c r="F14" i="10" s="1"/>
  <c r="C14" i="10"/>
  <c r="H14" i="10" s="1"/>
  <c r="M13" i="10"/>
  <c r="R13" i="10" s="1"/>
  <c r="J13" i="10"/>
  <c r="I13" i="10"/>
  <c r="E13" i="10"/>
  <c r="F13" i="10" s="1"/>
  <c r="C13" i="10"/>
  <c r="H13" i="10" s="1"/>
  <c r="M12" i="10"/>
  <c r="R12" i="10" s="1"/>
  <c r="J12" i="10"/>
  <c r="I12" i="10"/>
  <c r="E12" i="10"/>
  <c r="F12" i="10" s="1"/>
  <c r="C12" i="10"/>
  <c r="H12" i="10" s="1"/>
  <c r="M11" i="10"/>
  <c r="R11" i="10" s="1"/>
  <c r="J11" i="10"/>
  <c r="I11" i="10"/>
  <c r="E11" i="10"/>
  <c r="F11" i="10" s="1"/>
  <c r="C11" i="10"/>
  <c r="H11" i="10" s="1"/>
  <c r="M10" i="10"/>
  <c r="R10" i="10" s="1"/>
  <c r="J10" i="10"/>
  <c r="I10" i="10"/>
  <c r="E10" i="10"/>
  <c r="F10" i="10" s="1"/>
  <c r="C10" i="10"/>
  <c r="H10" i="10" s="1"/>
  <c r="M9" i="10"/>
  <c r="R9" i="10" s="1"/>
  <c r="J9" i="10"/>
  <c r="I9" i="10"/>
  <c r="F9" i="10"/>
  <c r="C9" i="10"/>
  <c r="H9" i="10" s="1"/>
  <c r="M8" i="10"/>
  <c r="R8" i="10" s="1"/>
  <c r="S8" i="10" s="1"/>
  <c r="J8" i="10"/>
  <c r="I8" i="10"/>
  <c r="F8" i="10"/>
  <c r="C8" i="10"/>
  <c r="H8" i="10" s="1"/>
  <c r="M7" i="10"/>
  <c r="R7" i="10" s="1"/>
  <c r="J7" i="10"/>
  <c r="I7" i="10"/>
  <c r="F7" i="10"/>
  <c r="C7" i="10"/>
  <c r="H7" i="10" s="1"/>
  <c r="M6" i="10"/>
  <c r="R6" i="10" s="1"/>
  <c r="J6" i="10"/>
  <c r="I6" i="10"/>
  <c r="F6" i="10"/>
  <c r="C6" i="10"/>
  <c r="H6" i="10" s="1"/>
  <c r="M5" i="10"/>
  <c r="R5" i="10" s="1"/>
  <c r="J5" i="10"/>
  <c r="I5" i="10"/>
  <c r="F5" i="10"/>
  <c r="C5" i="10"/>
  <c r="H5" i="10" s="1"/>
  <c r="M4" i="10"/>
  <c r="R4" i="10" s="1"/>
  <c r="J4" i="10"/>
  <c r="I4" i="10"/>
  <c r="G4" i="10"/>
  <c r="F4" i="10"/>
  <c r="C4" i="10"/>
  <c r="H4" i="10" s="1"/>
  <c r="M3" i="10"/>
  <c r="R3" i="10" s="1"/>
  <c r="J3" i="10"/>
  <c r="I3" i="10"/>
  <c r="F3" i="10"/>
  <c r="C3" i="10"/>
  <c r="H3" i="10" s="1"/>
  <c r="Z27" i="6"/>
  <c r="AD17" i="6"/>
  <c r="AA16" i="6"/>
  <c r="AB9" i="6"/>
  <c r="E29" i="6"/>
  <c r="F9" i="6"/>
  <c r="U8" i="10" l="1"/>
  <c r="T23" i="10"/>
  <c r="V23" i="10" s="1"/>
  <c r="X23" i="10" s="1"/>
  <c r="T25" i="10"/>
  <c r="U17" i="10"/>
  <c r="T15" i="10"/>
  <c r="T9" i="10"/>
  <c r="V9" i="10" s="1"/>
  <c r="X9" i="10" s="1"/>
  <c r="S9" i="10"/>
  <c r="U9" i="10" s="1"/>
  <c r="W9" i="10" s="1"/>
  <c r="T12" i="10"/>
  <c r="V12" i="10" s="1"/>
  <c r="X12" i="10" s="1"/>
  <c r="S12" i="10"/>
  <c r="U12" i="10" s="1"/>
  <c r="W12" i="10" s="1"/>
  <c r="T19" i="10"/>
  <c r="S19" i="10"/>
  <c r="U19" i="10" s="1"/>
  <c r="S6" i="10"/>
  <c r="U6" i="10" s="1"/>
  <c r="T6" i="10"/>
  <c r="T27" i="10"/>
  <c r="V27" i="10" s="1"/>
  <c r="X27" i="10" s="1"/>
  <c r="S27" i="10"/>
  <c r="U27" i="10" s="1"/>
  <c r="W27" i="10" s="1"/>
  <c r="S4" i="10"/>
  <c r="U4" i="10" s="1"/>
  <c r="T4" i="10"/>
  <c r="T10" i="10"/>
  <c r="S10" i="10"/>
  <c r="U10" i="10" s="1"/>
  <c r="T21" i="10"/>
  <c r="S21" i="10"/>
  <c r="U21" i="10" s="1"/>
  <c r="T13" i="10"/>
  <c r="S13" i="10"/>
  <c r="U13" i="10" s="1"/>
  <c r="T8" i="10"/>
  <c r="S25" i="10"/>
  <c r="U25" i="10" s="1"/>
  <c r="T28" i="10"/>
  <c r="V28" i="10" s="1"/>
  <c r="X28" i="10" s="1"/>
  <c r="S28" i="10"/>
  <c r="U28" i="10" s="1"/>
  <c r="W28" i="10" s="1"/>
  <c r="T22" i="10"/>
  <c r="S22" i="10"/>
  <c r="U22" i="10" s="1"/>
  <c r="T16" i="10"/>
  <c r="S16" i="10"/>
  <c r="U16" i="10" s="1"/>
  <c r="T14" i="10"/>
  <c r="S14" i="10"/>
  <c r="U14" i="10" s="1"/>
  <c r="S23" i="10"/>
  <c r="U23" i="10" s="1"/>
  <c r="W23" i="10" s="1"/>
  <c r="S15" i="10"/>
  <c r="U15" i="10" s="1"/>
  <c r="T11" i="10"/>
  <c r="S11" i="10"/>
  <c r="U11" i="10" s="1"/>
  <c r="T3" i="10"/>
  <c r="S3" i="10"/>
  <c r="U3" i="10" s="1"/>
  <c r="T17" i="10"/>
  <c r="T7" i="10"/>
  <c r="S7" i="10"/>
  <c r="U7" i="10" s="1"/>
  <c r="T29" i="10"/>
  <c r="S29" i="10"/>
  <c r="U29" i="10" s="1"/>
  <c r="T18" i="10"/>
  <c r="S18" i="10"/>
  <c r="U18" i="10" s="1"/>
  <c r="T24" i="10"/>
  <c r="S24" i="10"/>
  <c r="U24" i="10" s="1"/>
  <c r="T20" i="10"/>
  <c r="S20" i="10"/>
  <c r="U20" i="10" s="1"/>
  <c r="T5" i="10"/>
  <c r="S5" i="10"/>
  <c r="U5" i="10" s="1"/>
  <c r="T26" i="10"/>
  <c r="V26" i="10" s="1"/>
  <c r="X26" i="10" s="1"/>
  <c r="S26" i="10"/>
  <c r="U26" i="10" s="1"/>
  <c r="W26" i="10" s="1"/>
  <c r="T30" i="10"/>
  <c r="V30" i="10" s="1"/>
  <c r="X30" i="10" s="1"/>
  <c r="S30" i="10"/>
  <c r="U30" i="10" s="1"/>
  <c r="W30" i="10" s="1"/>
  <c r="I4" i="6"/>
  <c r="I5" i="6"/>
  <c r="I6" i="6"/>
  <c r="I7" i="6"/>
  <c r="I8" i="6"/>
  <c r="I9" i="6"/>
  <c r="I10" i="6"/>
  <c r="I11" i="6"/>
  <c r="I12" i="6"/>
  <c r="I13" i="6"/>
  <c r="I14" i="6"/>
  <c r="I15" i="6"/>
  <c r="I16" i="6"/>
  <c r="I17" i="6"/>
  <c r="I18" i="6"/>
  <c r="I19" i="6"/>
  <c r="I20" i="6"/>
  <c r="I21" i="6"/>
  <c r="I22" i="6"/>
  <c r="AA22" i="6" s="1"/>
  <c r="I23" i="6"/>
  <c r="I24" i="6"/>
  <c r="I25" i="6"/>
  <c r="I26" i="6"/>
  <c r="I27" i="6"/>
  <c r="I28" i="6"/>
  <c r="I29" i="6"/>
  <c r="I30" i="6"/>
  <c r="I3" i="6"/>
  <c r="Z23" i="6"/>
  <c r="Z25" i="6"/>
  <c r="F3" i="6"/>
  <c r="H4" i="6"/>
  <c r="D3" i="8"/>
  <c r="I3" i="8" s="1"/>
  <c r="D4" i="8"/>
  <c r="I4" i="8" s="1"/>
  <c r="D5" i="8"/>
  <c r="I5" i="8" s="1"/>
  <c r="D6" i="8"/>
  <c r="I6" i="8" s="1"/>
  <c r="D7" i="8"/>
  <c r="I7" i="8" s="1"/>
  <c r="D8" i="8"/>
  <c r="I8" i="8" s="1"/>
  <c r="D9" i="8"/>
  <c r="I9" i="8" s="1"/>
  <c r="D10" i="8"/>
  <c r="I10" i="8" s="1"/>
  <c r="D11" i="8"/>
  <c r="I11" i="8" s="1"/>
  <c r="D12" i="8"/>
  <c r="I12" i="8" s="1"/>
  <c r="D13" i="8"/>
  <c r="I13" i="8" s="1"/>
  <c r="D14" i="8"/>
  <c r="I14" i="8" s="1"/>
  <c r="D15" i="8"/>
  <c r="I15" i="8" s="1"/>
  <c r="D16" i="8"/>
  <c r="I16" i="8" s="1"/>
  <c r="D17" i="8"/>
  <c r="I17" i="8" s="1"/>
  <c r="D18" i="8"/>
  <c r="I18" i="8" s="1"/>
  <c r="D19" i="8"/>
  <c r="I19" i="8" s="1"/>
  <c r="D20" i="8"/>
  <c r="I20" i="8" s="1"/>
  <c r="D21" i="8"/>
  <c r="I21" i="8" s="1"/>
  <c r="D22" i="8"/>
  <c r="I22" i="8" s="1"/>
  <c r="D2" i="8"/>
  <c r="I2" i="8" s="1"/>
  <c r="H3" i="8"/>
  <c r="H4" i="8"/>
  <c r="H5" i="8"/>
  <c r="H6" i="8"/>
  <c r="H7" i="8"/>
  <c r="H8" i="8"/>
  <c r="H9" i="8"/>
  <c r="H10" i="8"/>
  <c r="H11" i="8"/>
  <c r="H12" i="8"/>
  <c r="H13" i="8"/>
  <c r="H14" i="8"/>
  <c r="H15" i="8"/>
  <c r="H16" i="8"/>
  <c r="H17" i="8"/>
  <c r="H18" i="8"/>
  <c r="H19" i="8"/>
  <c r="H20" i="8"/>
  <c r="H21" i="8"/>
  <c r="H22" i="8"/>
  <c r="H2" i="8"/>
  <c r="C4" i="6"/>
  <c r="C5" i="6"/>
  <c r="H5" i="6" s="1"/>
  <c r="C6" i="6"/>
  <c r="H6" i="6" s="1"/>
  <c r="C7" i="6"/>
  <c r="H7" i="6" s="1"/>
  <c r="C8" i="6"/>
  <c r="H8" i="6" s="1"/>
  <c r="C9" i="6"/>
  <c r="H9" i="6" s="1"/>
  <c r="C10" i="6"/>
  <c r="H10" i="6" s="1"/>
  <c r="C11" i="6"/>
  <c r="H11" i="6" s="1"/>
  <c r="C12" i="6"/>
  <c r="H12" i="6" s="1"/>
  <c r="C13" i="6"/>
  <c r="H13" i="6" s="1"/>
  <c r="C14" i="6"/>
  <c r="H14" i="6" s="1"/>
  <c r="C15" i="6"/>
  <c r="H15" i="6" s="1"/>
  <c r="Z15" i="6" s="1"/>
  <c r="C16" i="6"/>
  <c r="H16" i="6" s="1"/>
  <c r="C17" i="6"/>
  <c r="H17" i="6" s="1"/>
  <c r="C18" i="6"/>
  <c r="H18" i="6" s="1"/>
  <c r="Z18" i="6" s="1"/>
  <c r="C19" i="6"/>
  <c r="H19" i="6" s="1"/>
  <c r="C20" i="6"/>
  <c r="H20" i="6" s="1"/>
  <c r="Z20" i="6" s="1"/>
  <c r="C21" i="6"/>
  <c r="H21" i="6" s="1"/>
  <c r="Z21" i="6" s="1"/>
  <c r="C22" i="6"/>
  <c r="H22" i="6" s="1"/>
  <c r="Z22" i="6" s="1"/>
  <c r="C23" i="6"/>
  <c r="H23" i="6" s="1"/>
  <c r="C24" i="6"/>
  <c r="H24" i="6" s="1"/>
  <c r="C25" i="6"/>
  <c r="H25" i="6" s="1"/>
  <c r="C26" i="6"/>
  <c r="H26" i="6" s="1"/>
  <c r="C27" i="6"/>
  <c r="H27" i="6" s="1"/>
  <c r="C28" i="6"/>
  <c r="H28" i="6" s="1"/>
  <c r="C29" i="6"/>
  <c r="H29" i="6" s="1"/>
  <c r="C30" i="6"/>
  <c r="H30" i="6" s="1"/>
  <c r="C3" i="6"/>
  <c r="H3" i="6" s="1"/>
  <c r="E28" i="6"/>
  <c r="F28" i="6" s="1"/>
  <c r="J28" i="6"/>
  <c r="M28" i="6"/>
  <c r="X28" i="6" s="1"/>
  <c r="Y28" i="6" s="1"/>
  <c r="M30" i="6"/>
  <c r="X30" i="6" s="1"/>
  <c r="Y30" i="6" s="1"/>
  <c r="AA30" i="6" s="1"/>
  <c r="AC30" i="6" s="1"/>
  <c r="F29" i="6"/>
  <c r="E30" i="6"/>
  <c r="F30" i="6" s="1"/>
  <c r="M29" i="6"/>
  <c r="X29" i="6" s="1"/>
  <c r="Y29" i="6" s="1"/>
  <c r="M27" i="6"/>
  <c r="X27" i="6" s="1"/>
  <c r="F27" i="6"/>
  <c r="M23" i="6"/>
  <c r="X23" i="6" s="1"/>
  <c r="Y23" i="6" s="1"/>
  <c r="M24" i="6"/>
  <c r="X24" i="6" s="1"/>
  <c r="Y24" i="6" s="1"/>
  <c r="M25" i="6"/>
  <c r="X25" i="6" s="1"/>
  <c r="Y25" i="6" s="1"/>
  <c r="M26" i="6"/>
  <c r="X26" i="6" s="1"/>
  <c r="Z26" i="6" s="1"/>
  <c r="F24" i="6"/>
  <c r="F25" i="6"/>
  <c r="J24" i="6"/>
  <c r="M22" i="6"/>
  <c r="X22" i="6" s="1"/>
  <c r="Y22" i="6" s="1"/>
  <c r="E21" i="6"/>
  <c r="F21" i="6" s="1"/>
  <c r="E22" i="6"/>
  <c r="F22" i="6" s="1"/>
  <c r="M21" i="6"/>
  <c r="X21" i="6" s="1"/>
  <c r="M17" i="6"/>
  <c r="X17" i="6" s="1"/>
  <c r="Y17" i="6" s="1"/>
  <c r="M18" i="6"/>
  <c r="X18" i="6" s="1"/>
  <c r="Y18" i="6" s="1"/>
  <c r="M19" i="6"/>
  <c r="X19" i="6" s="1"/>
  <c r="Y19" i="6" s="1"/>
  <c r="M20" i="6"/>
  <c r="X20" i="6" s="1"/>
  <c r="Y20" i="6" s="1"/>
  <c r="M16" i="6"/>
  <c r="X16" i="6" s="1"/>
  <c r="Y16" i="6" s="1"/>
  <c r="E16" i="6"/>
  <c r="F16" i="6" s="1"/>
  <c r="M13" i="6"/>
  <c r="X13" i="6" s="1"/>
  <c r="Y13" i="6" s="1"/>
  <c r="M14" i="6"/>
  <c r="X14" i="6" s="1"/>
  <c r="Y14" i="6" s="1"/>
  <c r="AA14" i="6" s="1"/>
  <c r="M15" i="6"/>
  <c r="X15" i="6" s="1"/>
  <c r="Y15" i="6" s="1"/>
  <c r="M9" i="6"/>
  <c r="X9" i="6" s="1"/>
  <c r="Z9" i="6" s="1"/>
  <c r="AD9" i="6" s="1"/>
  <c r="M10" i="6"/>
  <c r="X10" i="6" s="1"/>
  <c r="Y10" i="6" s="1"/>
  <c r="AA10" i="6" s="1"/>
  <c r="M11" i="6"/>
  <c r="X11" i="6" s="1"/>
  <c r="Y11" i="6" s="1"/>
  <c r="AA11" i="6" s="1"/>
  <c r="M12" i="6"/>
  <c r="X12" i="6" s="1"/>
  <c r="Z12" i="6" s="1"/>
  <c r="M4" i="6"/>
  <c r="X4" i="6" s="1"/>
  <c r="M5" i="6"/>
  <c r="X5" i="6" s="1"/>
  <c r="Y5" i="6" s="1"/>
  <c r="AA5" i="6" s="1"/>
  <c r="M6" i="6"/>
  <c r="X6" i="6" s="1"/>
  <c r="Z6" i="6" s="1"/>
  <c r="M7" i="6"/>
  <c r="X7" i="6" s="1"/>
  <c r="Z7" i="6" s="1"/>
  <c r="M8" i="6"/>
  <c r="X8" i="6" s="1"/>
  <c r="Y8" i="6" s="1"/>
  <c r="M3" i="6"/>
  <c r="X3" i="6" s="1"/>
  <c r="Y3" i="6" s="1"/>
  <c r="AA3" i="6" s="1"/>
  <c r="J4" i="6"/>
  <c r="J5" i="6"/>
  <c r="J6" i="6"/>
  <c r="J7" i="6"/>
  <c r="J8" i="6"/>
  <c r="J9" i="6"/>
  <c r="J10" i="6"/>
  <c r="J11" i="6"/>
  <c r="J12" i="6"/>
  <c r="J13" i="6"/>
  <c r="J14" i="6"/>
  <c r="J15" i="6"/>
  <c r="J16" i="6"/>
  <c r="J17" i="6"/>
  <c r="J18" i="6"/>
  <c r="J19" i="6"/>
  <c r="J20" i="6"/>
  <c r="J21" i="6"/>
  <c r="J22" i="6"/>
  <c r="J23" i="6"/>
  <c r="J25" i="6"/>
  <c r="J26" i="6"/>
  <c r="J27" i="6"/>
  <c r="J29" i="6"/>
  <c r="J30" i="6"/>
  <c r="F6" i="6"/>
  <c r="F7" i="6"/>
  <c r="F8" i="6"/>
  <c r="E45" i="7"/>
  <c r="V3" i="10" l="1"/>
  <c r="V13" i="10"/>
  <c r="X13" i="10" s="1"/>
  <c r="X3" i="10"/>
  <c r="W3" i="10"/>
  <c r="V10" i="10"/>
  <c r="X10" i="10" s="1"/>
  <c r="V17" i="10"/>
  <c r="X17" i="10" s="1"/>
  <c r="W13" i="10"/>
  <c r="Z24" i="6"/>
  <c r="AA25" i="6"/>
  <c r="AA24" i="6"/>
  <c r="AA29" i="6"/>
  <c r="Z17" i="6"/>
  <c r="AA15" i="6"/>
  <c r="Z16" i="6"/>
  <c r="AA20" i="6"/>
  <c r="Z19" i="6"/>
  <c r="AA13" i="6"/>
  <c r="Z14" i="6"/>
  <c r="AA28" i="6"/>
  <c r="AC28" i="6" s="1"/>
  <c r="Z13" i="6"/>
  <c r="Z10" i="6"/>
  <c r="Z8" i="6"/>
  <c r="Z30" i="6"/>
  <c r="AB30" i="6" s="1"/>
  <c r="AD30" i="6" s="1"/>
  <c r="R28" i="6"/>
  <c r="Z3" i="6"/>
  <c r="Z29" i="6"/>
  <c r="Z5" i="6"/>
  <c r="Z11" i="6"/>
  <c r="Z28" i="6"/>
  <c r="AB28" i="6" s="1"/>
  <c r="AD28" i="6" s="1"/>
  <c r="AA18" i="6"/>
  <c r="AA17" i="6"/>
  <c r="AA19" i="6"/>
  <c r="AA8" i="6"/>
  <c r="Y21" i="6"/>
  <c r="AB27" i="6"/>
  <c r="AD27" i="6" s="1"/>
  <c r="Y7" i="6"/>
  <c r="AA7" i="6" s="1"/>
  <c r="Y6" i="6"/>
  <c r="AA6" i="6" s="1"/>
  <c r="AA23" i="6"/>
  <c r="AC23" i="6" s="1"/>
  <c r="AA21" i="6"/>
  <c r="Y12" i="6"/>
  <c r="AA12" i="6" s="1"/>
  <c r="AC12" i="6" s="1"/>
  <c r="Y4" i="6"/>
  <c r="AA4" i="6" s="1"/>
  <c r="Y27" i="6"/>
  <c r="AA27" i="6" s="1"/>
  <c r="AC27" i="6" s="1"/>
  <c r="Y9" i="6"/>
  <c r="AA9" i="6" s="1"/>
  <c r="AC9" i="6" s="1"/>
  <c r="Y26" i="6"/>
  <c r="AA26" i="6" s="1"/>
  <c r="AC26" i="6" s="1"/>
  <c r="R16" i="6"/>
  <c r="R21" i="6"/>
  <c r="R22" i="6"/>
  <c r="R29" i="6"/>
  <c r="R25" i="6"/>
  <c r="R8" i="6"/>
  <c r="R24" i="6"/>
  <c r="R30" i="6"/>
  <c r="R7" i="6"/>
  <c r="R6" i="6"/>
  <c r="R27" i="6"/>
  <c r="J3" i="6"/>
  <c r="E26" i="6"/>
  <c r="F26" i="6" s="1"/>
  <c r="F23" i="6"/>
  <c r="AB23" i="6" s="1"/>
  <c r="AD23" i="6" s="1"/>
  <c r="E20" i="6"/>
  <c r="F20" i="6" s="1"/>
  <c r="E19" i="6"/>
  <c r="F19" i="6" s="1"/>
  <c r="R19" i="6" s="1"/>
  <c r="E18" i="6"/>
  <c r="F18" i="6" s="1"/>
  <c r="R18" i="6" s="1"/>
  <c r="E17" i="6"/>
  <c r="F17" i="6" s="1"/>
  <c r="E15" i="6"/>
  <c r="F15" i="6" s="1"/>
  <c r="E14" i="6"/>
  <c r="F14" i="6" s="1"/>
  <c r="E13" i="6"/>
  <c r="F13" i="6" s="1"/>
  <c r="E12" i="6"/>
  <c r="F12" i="6" s="1"/>
  <c r="AB12" i="6" s="1"/>
  <c r="AD12" i="6" s="1"/>
  <c r="E11" i="6"/>
  <c r="F11" i="6" s="1"/>
  <c r="E10" i="6"/>
  <c r="F10" i="6" s="1"/>
  <c r="F5" i="6"/>
  <c r="G4" i="6"/>
  <c r="Z4" i="6" s="1"/>
  <c r="F4" i="6"/>
  <c r="W17" i="10" l="1"/>
  <c r="W10" i="10"/>
  <c r="AB26" i="6"/>
  <c r="AD26" i="6" s="1"/>
  <c r="AB10" i="6"/>
  <c r="AB13" i="6"/>
  <c r="AB3" i="6"/>
  <c r="R3" i="6"/>
  <c r="R10" i="6"/>
  <c r="R12" i="6"/>
  <c r="R13" i="6"/>
  <c r="R14" i="6"/>
  <c r="R23" i="6"/>
  <c r="R26" i="6"/>
  <c r="R4" i="6"/>
  <c r="R15" i="6"/>
  <c r="R20" i="6"/>
  <c r="R11" i="6"/>
  <c r="R17" i="6"/>
  <c r="R5" i="6"/>
  <c r="R9" i="6"/>
  <c r="AC3" i="6" l="1"/>
  <c r="AD3" i="6"/>
  <c r="AC10" i="6"/>
  <c r="AD10" i="6"/>
  <c r="AC13" i="6"/>
  <c r="AD13" i="6"/>
  <c r="AB17" i="6"/>
  <c r="AC17" i="6" l="1"/>
</calcChain>
</file>

<file path=xl/sharedStrings.xml><?xml version="1.0" encoding="utf-8"?>
<sst xmlns="http://schemas.openxmlformats.org/spreadsheetml/2006/main" count="468" uniqueCount="194">
  <si>
    <t>峰面积</t>
    <phoneticPr fontId="7" type="noConversion"/>
  </si>
  <si>
    <t>ROI#</t>
  </si>
  <si>
    <t>GROSS</t>
  </si>
  <si>
    <t>NET</t>
  </si>
  <si>
    <t>+/-</t>
  </si>
  <si>
    <t>CENTROID</t>
  </si>
  <si>
    <t>FWHM</t>
  </si>
  <si>
    <t>FW(1/5)M</t>
  </si>
  <si>
    <t>LIBRARY</t>
  </si>
  <si>
    <t>Bq</t>
  </si>
  <si>
    <t>Nb-95</t>
  </si>
  <si>
    <t>W-187</t>
  </si>
  <si>
    <t>U-235</t>
  </si>
  <si>
    <t>Rh-106</t>
  </si>
  <si>
    <t>Kr-89</t>
  </si>
  <si>
    <t>Cs-134</t>
  </si>
  <si>
    <t>Cs-137</t>
  </si>
  <si>
    <t>Zr-95</t>
  </si>
  <si>
    <t>Tb-160</t>
  </si>
  <si>
    <t>Eu-154</t>
  </si>
  <si>
    <t>J-134</t>
  </si>
  <si>
    <t>Cs-138</t>
  </si>
  <si>
    <t>K-40</t>
  </si>
  <si>
    <t>Sb-124</t>
  </si>
  <si>
    <t>Pr-144</t>
  </si>
  <si>
    <t>GammaVision自动分析</t>
    <phoneticPr fontId="7" type="noConversion"/>
  </si>
  <si>
    <t>RANGE</t>
    <phoneticPr fontId="7" type="noConversion"/>
  </si>
  <si>
    <t>Y-88</t>
  </si>
  <si>
    <t>Sb-122</t>
  </si>
  <si>
    <t>Hf-181</t>
  </si>
  <si>
    <t>Sb-125</t>
  </si>
  <si>
    <t>Ru-103</t>
  </si>
  <si>
    <t>Mo-99</t>
  </si>
  <si>
    <t>Y-91</t>
  </si>
  <si>
    <t>Pr-144</t>
    <phoneticPr fontId="7" type="noConversion"/>
  </si>
  <si>
    <t>Nb-95</t>
    <phoneticPr fontId="7" type="noConversion"/>
  </si>
  <si>
    <t>Rh-106</t>
    <phoneticPr fontId="7" type="noConversion"/>
  </si>
  <si>
    <t>Ce-144</t>
  </si>
  <si>
    <t>Ce-144</t>
    <phoneticPr fontId="7" type="noConversion"/>
  </si>
  <si>
    <t>Nuclide</t>
  </si>
  <si>
    <t>Pa-234M</t>
  </si>
  <si>
    <t>Ce-141</t>
  </si>
  <si>
    <t>J-133</t>
  </si>
  <si>
    <t>J-135</t>
  </si>
  <si>
    <t>Ag-110M</t>
  </si>
  <si>
    <t>使用脚本寻峰，仅保留峰面积&gt;100的峰</t>
    <phoneticPr fontId="7" type="noConversion"/>
  </si>
  <si>
    <t>ROI</t>
    <phoneticPr fontId="7" type="noConversion"/>
  </si>
  <si>
    <t>核素识别</t>
    <phoneticPr fontId="7" type="noConversion"/>
  </si>
  <si>
    <t>Centroid</t>
    <phoneticPr fontId="7" type="noConversion"/>
  </si>
  <si>
    <t>不存在</t>
    <phoneticPr fontId="7" type="noConversion"/>
  </si>
  <si>
    <t>误差</t>
    <phoneticPr fontId="7" type="noConversion"/>
  </si>
  <si>
    <t>GammaVision</t>
    <phoneticPr fontId="7" type="noConversion"/>
  </si>
  <si>
    <t>Genie2000</t>
    <phoneticPr fontId="7" type="noConversion"/>
  </si>
  <si>
    <t>TPA Script</t>
    <phoneticPr fontId="7" type="noConversion"/>
  </si>
  <si>
    <t>核素活度</t>
    <phoneticPr fontId="7" type="noConversion"/>
  </si>
  <si>
    <t>Peakfit</t>
    <phoneticPr fontId="7" type="noConversion"/>
  </si>
  <si>
    <t>可能元素</t>
    <phoneticPr fontId="7" type="noConversion"/>
  </si>
  <si>
    <t>能量/keV</t>
    <phoneticPr fontId="7" type="noConversion"/>
  </si>
  <si>
    <t>峰位</t>
    <phoneticPr fontId="7" type="noConversion"/>
  </si>
  <si>
    <t>半衰期/y</t>
    <phoneticPr fontId="7" type="noConversion"/>
  </si>
  <si>
    <t>衰变系数</t>
    <phoneticPr fontId="7" type="noConversion"/>
  </si>
  <si>
    <t>绝对强度</t>
    <phoneticPr fontId="7" type="noConversion"/>
  </si>
  <si>
    <t>探测效率(拟合值)</t>
    <phoneticPr fontId="7" type="noConversion"/>
  </si>
  <si>
    <t>不确定度</t>
    <phoneticPr fontId="7" type="noConversion"/>
  </si>
  <si>
    <t>TPA活度不确定度</t>
    <phoneticPr fontId="7" type="noConversion"/>
  </si>
  <si>
    <t>Cs134</t>
    <phoneticPr fontId="7" type="noConversion"/>
  </si>
  <si>
    <t>Cs137</t>
    <phoneticPr fontId="7" type="noConversion"/>
  </si>
  <si>
    <t xml:space="preserve">Zr95 </t>
    <phoneticPr fontId="7" type="noConversion"/>
  </si>
  <si>
    <t>Nb95</t>
    <phoneticPr fontId="7" type="noConversion"/>
  </si>
  <si>
    <t>Pr144</t>
    <phoneticPr fontId="7" type="noConversion"/>
  </si>
  <si>
    <t>Rh106</t>
    <phoneticPr fontId="7" type="noConversion"/>
  </si>
  <si>
    <t>Sb125</t>
    <phoneticPr fontId="7" type="noConversion"/>
  </si>
  <si>
    <t>Ce144</t>
    <phoneticPr fontId="7" type="noConversion"/>
  </si>
  <si>
    <t>Ru103</t>
    <phoneticPr fontId="7" type="noConversion"/>
  </si>
  <si>
    <t>吸收修正因子</t>
    <phoneticPr fontId="7" type="noConversion"/>
  </si>
  <si>
    <t>Unknown</t>
  </si>
  <si>
    <t>Te-131</t>
  </si>
  <si>
    <t>J-132</t>
  </si>
  <si>
    <t>Sb-125</t>
    <phoneticPr fontId="7" type="noConversion"/>
  </si>
  <si>
    <t>峰区对应核素识别情况</t>
    <phoneticPr fontId="7" type="noConversion"/>
  </si>
  <si>
    <t>谱能量</t>
    <phoneticPr fontId="7" type="noConversion"/>
  </si>
  <si>
    <t>可能性</t>
    <phoneticPr fontId="7" type="noConversion"/>
  </si>
  <si>
    <t>可能核素</t>
    <phoneticPr fontId="7" type="noConversion"/>
  </si>
  <si>
    <t>峰能量</t>
    <phoneticPr fontId="7" type="noConversion"/>
  </si>
  <si>
    <t>其他峰存在情况</t>
    <phoneticPr fontId="7" type="noConversion"/>
  </si>
  <si>
    <t>Cl38</t>
    <phoneticPr fontId="7" type="noConversion"/>
  </si>
  <si>
    <t>NUIT模拟中产量为0，1643keV分支比稍小，谱上不存在</t>
    <phoneticPr fontId="7" type="noConversion"/>
  </si>
  <si>
    <t>能谱峰位和Pr144特征峰位有一定偏差，但是其他特征峰1489.16keV和696.51keV在谱上存在，且计算活度一致</t>
  </si>
  <si>
    <t>Kr88</t>
    <phoneticPr fontId="7" type="noConversion"/>
  </si>
  <si>
    <t>2392keV，1529keV分支比相似，不存在峰</t>
    <phoneticPr fontId="7" type="noConversion"/>
  </si>
  <si>
    <t>在非反康谱中已经出现过的峰区识别结果参考023-noanti-activity.xlsx表格</t>
    <phoneticPr fontId="7" type="noConversion"/>
  </si>
  <si>
    <t>为多能源核素，其他能量如635keV，427keV等均存在</t>
    <phoneticPr fontId="7" type="noConversion"/>
  </si>
  <si>
    <t>Ru-103</t>
    <phoneticPr fontId="7" type="noConversion"/>
  </si>
  <si>
    <t>Bi-214</t>
    <phoneticPr fontId="7" type="noConversion"/>
  </si>
  <si>
    <t>Ru-103的497keV为主峰，峰面积明显。此峰可计算得的峰面积与绝对强度相称</t>
    <phoneticPr fontId="7" type="noConversion"/>
  </si>
  <si>
    <t>相比Ru-103的610keV峰发射强度很小，可以视为一个峰</t>
    <phoneticPr fontId="7" type="noConversion"/>
  </si>
  <si>
    <t>Sb-122</t>
    <phoneticPr fontId="7" type="noConversion"/>
  </si>
  <si>
    <t>在1764keV处不存在峰。排除</t>
    <phoneticPr fontId="7" type="noConversion"/>
  </si>
  <si>
    <t>Sb-122在1140keV处发射强度更大但是不存在峰</t>
    <phoneticPr fontId="7" type="noConversion"/>
  </si>
  <si>
    <t>Hf-181</t>
    <phoneticPr fontId="7" type="noConversion"/>
  </si>
  <si>
    <t>W-187</t>
    <phoneticPr fontId="7" type="noConversion"/>
  </si>
  <si>
    <t>Br-82</t>
    <phoneticPr fontId="7" type="noConversion"/>
  </si>
  <si>
    <t>482keV主峰不存在</t>
    <phoneticPr fontId="7" type="noConversion"/>
  </si>
  <si>
    <t>其他主峰存在，且绝对强度相似</t>
    <phoneticPr fontId="7" type="noConversion"/>
  </si>
  <si>
    <t>其他能量的峰不存在</t>
    <phoneticPr fontId="7" type="noConversion"/>
  </si>
  <si>
    <t>其他能量的峰如685keV不存在</t>
    <phoneticPr fontId="7" type="noConversion"/>
  </si>
  <si>
    <t>相对Hf-181的615keV的峰强度太小，不是峰主要成分</t>
    <phoneticPr fontId="7" type="noConversion"/>
  </si>
  <si>
    <t>主峰776keV不存在</t>
    <phoneticPr fontId="7" type="noConversion"/>
  </si>
  <si>
    <t>As-76</t>
    <phoneticPr fontId="7" type="noConversion"/>
  </si>
  <si>
    <t>绝对强度相对As-76的559keV太小，且559keV处也不存在峰，排除</t>
    <phoneticPr fontId="7" type="noConversion"/>
  </si>
  <si>
    <t>距离峰位较远，不存在峰</t>
    <phoneticPr fontId="7" type="noConversion"/>
  </si>
  <si>
    <t>NB-95存在765keV主峰，绝对强度相差10000倍，而主峰面积约8E5，则面积&lt;100，不是主要成分</t>
    <phoneticPr fontId="7" type="noConversion"/>
  </si>
  <si>
    <t>Cs-134</t>
    <phoneticPr fontId="7" type="noConversion"/>
  </si>
  <si>
    <t>其他主峰存在，且绝对强度和峰面积之比相似</t>
    <phoneticPr fontId="7" type="noConversion"/>
  </si>
  <si>
    <t>相似发射强度1009keV的峰不存在</t>
    <phoneticPr fontId="7" type="noConversion"/>
  </si>
  <si>
    <t>Ac-228</t>
    <phoneticPr fontId="7" type="noConversion"/>
  </si>
  <si>
    <t>Pb-214</t>
    <phoneticPr fontId="7" type="noConversion"/>
  </si>
  <si>
    <t>强度更高的839keV处不存在峰</t>
    <phoneticPr fontId="7" type="noConversion"/>
  </si>
  <si>
    <t>911keV的主峰不存在</t>
    <phoneticPr fontId="7" type="noConversion"/>
  </si>
  <si>
    <t>600keV处峰存在，活度相近</t>
    <phoneticPr fontId="7" type="noConversion"/>
  </si>
  <si>
    <t>Yb-175</t>
    <phoneticPr fontId="7" type="noConversion"/>
  </si>
  <si>
    <t>Eu-155</t>
    <phoneticPr fontId="7" type="noConversion"/>
  </si>
  <si>
    <t>Te-131</t>
    <phoneticPr fontId="7" type="noConversion"/>
  </si>
  <si>
    <t>U-235</t>
    <phoneticPr fontId="7" type="noConversion"/>
  </si>
  <si>
    <t>其他主峰均存在</t>
    <phoneticPr fontId="7" type="noConversion"/>
  </si>
  <si>
    <t>Co-60</t>
    <phoneticPr fontId="7" type="noConversion"/>
  </si>
  <si>
    <t>Tb-160</t>
    <phoneticPr fontId="7" type="noConversion"/>
  </si>
  <si>
    <t>Co-56</t>
    <phoneticPr fontId="7" type="noConversion"/>
  </si>
  <si>
    <t>远</t>
    <phoneticPr fontId="7" type="noConversion"/>
  </si>
  <si>
    <t>1332keV处不存在峰</t>
    <phoneticPr fontId="7" type="noConversion"/>
  </si>
  <si>
    <t>1238keV处不存在峰</t>
    <phoneticPr fontId="7" type="noConversion"/>
  </si>
  <si>
    <t>Cs-138</t>
    <phoneticPr fontId="7" type="noConversion"/>
  </si>
  <si>
    <t>Y-91</t>
    <phoneticPr fontId="7" type="noConversion"/>
  </si>
  <si>
    <t>1177keV处绝对强度较大不存在峰</t>
    <phoneticPr fontId="7" type="noConversion"/>
  </si>
  <si>
    <t>1009keV处绝对强度较大不存在峰</t>
    <phoneticPr fontId="7" type="noConversion"/>
  </si>
  <si>
    <t>单能源，但在堆芯中产量较高，比Cs-137低一个量级</t>
    <phoneticPr fontId="7" type="noConversion"/>
  </si>
  <si>
    <t>正确识别核素</t>
    <phoneticPr fontId="7" type="noConversion"/>
  </si>
  <si>
    <t>核素不正确</t>
    <phoneticPr fontId="7" type="noConversion"/>
  </si>
  <si>
    <t>未识别出峰/假峰</t>
    <phoneticPr fontId="7" type="noConversion"/>
  </si>
  <si>
    <t>Kr-89</t>
    <phoneticPr fontId="7" type="noConversion"/>
  </si>
  <si>
    <t>Rb-89</t>
    <phoneticPr fontId="7" type="noConversion"/>
  </si>
  <si>
    <t>Nb-95符合峰</t>
    <phoneticPr fontId="7" type="noConversion"/>
  </si>
  <si>
    <t>NB-95的765keV主峰计数非常高，存在复合可能</t>
    <phoneticPr fontId="7" type="noConversion"/>
  </si>
  <si>
    <t>K-40</t>
    <phoneticPr fontId="7" type="noConversion"/>
  </si>
  <si>
    <t>需要判断的三个方面：1.峰面积计算是否准确；2.核素不同谱线之间差异是否合理；3.可以根据哪条计算活度</t>
    <phoneticPr fontId="7" type="noConversion"/>
  </si>
  <si>
    <t>最大似然估计</t>
    <phoneticPr fontId="7" type="noConversion"/>
  </si>
  <si>
    <t>R2</t>
    <phoneticPr fontId="7" type="noConversion"/>
  </si>
  <si>
    <t>面积</t>
    <phoneticPr fontId="7" type="noConversion"/>
  </si>
  <si>
    <t>-</t>
    <phoneticPr fontId="7" type="noConversion"/>
  </si>
  <si>
    <t>使用最大似然方法，结合多个射线峰能量确定活度。两部最大似然。但是存在两个问题：1.对于拟合的峰面积，只能给出R2而不能给出对每一个参数的拟合不确定度，需要使用特定方法建立两组数据关系；2.对于三种方法估计的数据或者是根据第一步最大似然估计得的峰面积数据，怎么估计这两个参数，并且引入源数据的误差做加权。</t>
    <phoneticPr fontId="7" type="noConversion"/>
  </si>
  <si>
    <t>点活度</t>
    <phoneticPr fontId="7" type="noConversion"/>
  </si>
  <si>
    <t>探测效率误差</t>
    <phoneticPr fontId="7" type="noConversion"/>
  </si>
  <si>
    <t>对数</t>
    <phoneticPr fontId="7" type="noConversion"/>
  </si>
  <si>
    <t>能量</t>
    <phoneticPr fontId="8" type="noConversion"/>
  </si>
  <si>
    <t>探测效率</t>
    <phoneticPr fontId="8" type="noConversion"/>
  </si>
  <si>
    <t>无吸收探测效率</t>
    <phoneticPr fontId="8" type="noConversion"/>
  </si>
  <si>
    <t>混合材料探测效率</t>
    <phoneticPr fontId="8" type="noConversion"/>
  </si>
  <si>
    <t>拟合探测效率</t>
    <phoneticPr fontId="7" type="noConversion"/>
  </si>
  <si>
    <t>*使用探测效率为拟合值，400keV以下不准确</t>
    <phoneticPr fontId="7" type="noConversion"/>
  </si>
  <si>
    <t>核素含量</t>
    <phoneticPr fontId="7" type="noConversion"/>
  </si>
  <si>
    <t>No.</t>
  </si>
  <si>
    <t>Channel</t>
  </si>
  <si>
    <t>Energy/keV</t>
  </si>
  <si>
    <t>Isotope</t>
  </si>
  <si>
    <t>Half_life(yrs)</t>
  </si>
  <si>
    <t>Intensity</t>
  </si>
  <si>
    <t>Net_area</t>
  </si>
  <si>
    <t>Error</t>
  </si>
  <si>
    <t>Total_area</t>
  </si>
  <si>
    <t>Peak</t>
  </si>
  <si>
    <t>boundaries</t>
  </si>
  <si>
    <t>Back</t>
  </si>
  <si>
    <t>Ba-140</t>
  </si>
  <si>
    <t>Sb-126</t>
  </si>
  <si>
    <t>La-140</t>
  </si>
  <si>
    <t>Eu-152</t>
  </si>
  <si>
    <t>Rb-89</t>
  </si>
  <si>
    <t>Bi-214</t>
  </si>
  <si>
    <t>Kr-88</t>
  </si>
  <si>
    <t>Bi-212</t>
  </si>
  <si>
    <t>Ac-228</t>
  </si>
  <si>
    <t>Sr-91</t>
  </si>
  <si>
    <t>Cs-136</t>
  </si>
  <si>
    <t>Yb-175</t>
  </si>
  <si>
    <t>Au-196</t>
  </si>
  <si>
    <t>As-76</t>
  </si>
  <si>
    <t>Rb-86</t>
  </si>
  <si>
    <t>Au-198</t>
  </si>
  <si>
    <t>Fe-59</t>
  </si>
  <si>
    <t>Zn-65</t>
  </si>
  <si>
    <t>Na-22</t>
  </si>
  <si>
    <t>Br-82</t>
  </si>
  <si>
    <t>Na-24</t>
  </si>
  <si>
    <t>K-42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</si>
</sst>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_);[Red]\(0.000\)"/>
    <numFmt numFmtId="177" formatCode="0.0000_);[Red]\(0.0000\)"/>
  </numFmts>
  <fonts count="10" x14ac:knownFonts="1">
    <font>
      <sz val="11"/>
      <color theme="1"/>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b/>
      <sz val="11"/>
      <color rgb="FF3F3F3F"/>
      <name val="等线"/>
      <family val="2"/>
      <charset val="134"/>
      <scheme val="minor"/>
    </font>
    <font>
      <b/>
      <sz val="11"/>
      <color theme="0"/>
      <name val="等线"/>
      <family val="2"/>
      <charset val="134"/>
      <scheme val="minor"/>
    </font>
    <font>
      <i/>
      <sz val="11"/>
      <color rgb="FF7F7F7F"/>
      <name val="等线"/>
      <family val="2"/>
      <charset val="134"/>
      <scheme val="minor"/>
    </font>
    <font>
      <sz val="9"/>
      <name val="等线"/>
      <family val="2"/>
      <charset val="134"/>
      <scheme val="minor"/>
    </font>
    <font>
      <sz val="9"/>
      <name val="等线"/>
      <family val="3"/>
      <charset val="134"/>
      <scheme val="minor"/>
    </font>
    <font>
      <sz val="7"/>
      <color rgb="FF333333"/>
      <name val="Consolas"/>
      <family val="3"/>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s>
  <borders count="16">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top style="thin">
        <color rgb="FF3F3F3F"/>
      </top>
      <bottom/>
      <diagonal/>
    </border>
    <border>
      <left/>
      <right/>
      <top style="thin">
        <color rgb="FF3F3F3F"/>
      </top>
      <bottom/>
      <diagonal/>
    </border>
    <border>
      <left/>
      <right style="thin">
        <color rgb="FF3F3F3F"/>
      </right>
      <top style="thin">
        <color rgb="FF3F3F3F"/>
      </top>
      <bottom/>
      <diagonal/>
    </border>
    <border>
      <left style="thin">
        <color rgb="FF3F3F3F"/>
      </left>
      <right/>
      <top/>
      <bottom style="thin">
        <color rgb="FF3F3F3F"/>
      </bottom>
      <diagonal/>
    </border>
    <border>
      <left/>
      <right/>
      <top/>
      <bottom style="thin">
        <color rgb="FF3F3F3F"/>
      </bottom>
      <diagonal/>
    </border>
    <border>
      <left/>
      <right style="thin">
        <color rgb="FF3F3F3F"/>
      </right>
      <top/>
      <bottom style="thin">
        <color rgb="FF3F3F3F"/>
      </bottom>
      <diagonal/>
    </border>
    <border>
      <left style="thin">
        <color rgb="FF3F3F3F"/>
      </left>
      <right style="thin">
        <color rgb="FF3F3F3F"/>
      </right>
      <top/>
      <bottom/>
      <diagonal/>
    </border>
    <border>
      <left/>
      <right/>
      <top style="thin">
        <color rgb="FF3F3F3F"/>
      </top>
      <bottom style="thin">
        <color rgb="FF3F3F3F"/>
      </bottom>
      <diagonal/>
    </border>
    <border>
      <left style="thin">
        <color rgb="FF3F3F3F"/>
      </left>
      <right style="thin">
        <color rgb="FF3F3F3F"/>
      </right>
      <top style="thin">
        <color rgb="FF3F3F3F"/>
      </top>
      <bottom/>
      <diagonal/>
    </border>
    <border>
      <left style="thin">
        <color rgb="FF3F3F3F"/>
      </left>
      <right style="thin">
        <color rgb="FF3F3F3F"/>
      </right>
      <top/>
      <bottom style="thin">
        <color rgb="FF3F3F3F"/>
      </bottom>
      <diagonal/>
    </border>
    <border>
      <left style="double">
        <color rgb="FF3F3F3F"/>
      </left>
      <right style="double">
        <color rgb="FF3F3F3F"/>
      </right>
      <top/>
      <bottom/>
      <diagonal/>
    </border>
  </borders>
  <cellStyleXfs count="7">
    <xf numFmtId="0" fontId="0" fillId="0" borderId="0">
      <alignment vertical="center"/>
    </xf>
    <xf numFmtId="0" fontId="1" fillId="2" borderId="0" applyNumberFormat="0" applyBorder="0" applyAlignment="0" applyProtection="0">
      <alignment vertical="center"/>
    </xf>
    <xf numFmtId="0" fontId="2" fillId="3" borderId="0" applyNumberFormat="0" applyBorder="0" applyAlignment="0" applyProtection="0">
      <alignment vertical="center"/>
    </xf>
    <xf numFmtId="0" fontId="3" fillId="4" borderId="0" applyNumberFormat="0" applyBorder="0" applyAlignment="0" applyProtection="0">
      <alignment vertical="center"/>
    </xf>
    <xf numFmtId="0" fontId="4" fillId="5" borderId="1" applyNumberFormat="0" applyAlignment="0" applyProtection="0">
      <alignment vertical="center"/>
    </xf>
    <xf numFmtId="0" fontId="5" fillId="6" borderId="2" applyNumberFormat="0" applyAlignment="0" applyProtection="0">
      <alignment vertical="center"/>
    </xf>
    <xf numFmtId="0" fontId="6" fillId="0" borderId="0" applyNumberFormat="0" applyFill="0" applyBorder="0" applyAlignment="0" applyProtection="0">
      <alignment vertical="center"/>
    </xf>
  </cellStyleXfs>
  <cellXfs count="67">
    <xf numFmtId="0" fontId="0" fillId="0" borderId="0" xfId="0">
      <alignment vertical="center"/>
    </xf>
    <xf numFmtId="0" fontId="0" fillId="0" borderId="0" xfId="0" applyAlignment="1">
      <alignment horizontal="center" vertical="center"/>
    </xf>
    <xf numFmtId="0" fontId="4" fillId="5" borderId="1" xfId="4" applyAlignment="1">
      <alignment horizontal="center" vertical="center"/>
    </xf>
    <xf numFmtId="0" fontId="1" fillId="2" borderId="1" xfId="1" applyBorder="1" applyAlignment="1">
      <alignment horizontal="center" vertical="center"/>
    </xf>
    <xf numFmtId="0" fontId="1" fillId="2" borderId="0" xfId="1">
      <alignment vertical="center"/>
    </xf>
    <xf numFmtId="0" fontId="4" fillId="5" borderId="1" xfId="4">
      <alignment vertical="center"/>
    </xf>
    <xf numFmtId="0" fontId="5" fillId="6" borderId="2" xfId="5" applyAlignment="1">
      <alignment horizontal="center" vertical="center"/>
    </xf>
    <xf numFmtId="0" fontId="5" fillId="6" borderId="2" xfId="5">
      <alignment vertical="center"/>
    </xf>
    <xf numFmtId="0" fontId="2" fillId="3" borderId="1" xfId="2" applyBorder="1" applyAlignment="1">
      <alignment horizontal="center" vertical="center"/>
    </xf>
    <xf numFmtId="0" fontId="3" fillId="4" borderId="1" xfId="3" applyBorder="1" applyAlignment="1">
      <alignment horizontal="center" vertical="center"/>
    </xf>
    <xf numFmtId="0" fontId="4" fillId="5" borderId="1" xfId="4" applyAlignment="1">
      <alignment vertical="center"/>
    </xf>
    <xf numFmtId="0" fontId="5" fillId="6" borderId="0" xfId="5" applyBorder="1" applyAlignment="1">
      <alignment horizontal="center" vertical="center"/>
    </xf>
    <xf numFmtId="10" fontId="4" fillId="5" borderId="1" xfId="4" applyNumberFormat="1" applyAlignment="1">
      <alignment horizontal="center" vertical="center"/>
    </xf>
    <xf numFmtId="0" fontId="6" fillId="5" borderId="1" xfId="6" applyFill="1" applyBorder="1" applyAlignment="1">
      <alignment vertical="center"/>
    </xf>
    <xf numFmtId="0" fontId="6" fillId="5" borderId="1" xfId="6" applyFill="1" applyBorder="1">
      <alignment vertical="center"/>
    </xf>
    <xf numFmtId="0" fontId="6" fillId="5" borderId="1" xfId="6" applyFill="1" applyBorder="1" applyAlignment="1">
      <alignment horizontal="center" vertical="center"/>
    </xf>
    <xf numFmtId="11" fontId="6" fillId="5" borderId="1" xfId="6" applyNumberFormat="1" applyFill="1" applyBorder="1">
      <alignment vertical="center"/>
    </xf>
    <xf numFmtId="11" fontId="6" fillId="5" borderId="1" xfId="6" applyNumberFormat="1" applyFill="1" applyBorder="1" applyAlignment="1">
      <alignment horizontal="center" vertical="center"/>
    </xf>
    <xf numFmtId="10" fontId="6" fillId="5" borderId="1" xfId="6" applyNumberFormat="1" applyFill="1" applyBorder="1" applyAlignment="1">
      <alignment horizontal="center" vertical="center"/>
    </xf>
    <xf numFmtId="11" fontId="4" fillId="5" borderId="1" xfId="4" applyNumberFormat="1" applyAlignment="1">
      <alignment horizontal="center" vertical="center"/>
    </xf>
    <xf numFmtId="176" fontId="6" fillId="5" borderId="1" xfId="6" applyNumberFormat="1" applyFill="1" applyBorder="1" applyAlignment="1">
      <alignment horizontal="center" vertical="center"/>
    </xf>
    <xf numFmtId="0" fontId="6" fillId="0" borderId="0" xfId="6" applyAlignment="1">
      <alignment horizontal="center" vertical="center"/>
    </xf>
    <xf numFmtId="0" fontId="6" fillId="0" borderId="0" xfId="6">
      <alignment vertical="center"/>
    </xf>
    <xf numFmtId="0" fontId="6" fillId="0" borderId="0" xfId="6" applyAlignment="1">
      <alignment vertical="center" wrapText="1"/>
    </xf>
    <xf numFmtId="0" fontId="5" fillId="6" borderId="15" xfId="5" applyBorder="1" applyAlignment="1">
      <alignment horizontal="center" vertical="center"/>
    </xf>
    <xf numFmtId="0" fontId="3" fillId="4" borderId="0" xfId="3">
      <alignment vertical="center"/>
    </xf>
    <xf numFmtId="0" fontId="2" fillId="3" borderId="0" xfId="2">
      <alignment vertical="center"/>
    </xf>
    <xf numFmtId="11" fontId="0" fillId="0" borderId="0" xfId="0" applyNumberFormat="1">
      <alignment vertical="center"/>
    </xf>
    <xf numFmtId="10" fontId="1" fillId="2" borderId="1" xfId="1" applyNumberFormat="1" applyBorder="1" applyAlignment="1">
      <alignment horizontal="center" vertical="center"/>
    </xf>
    <xf numFmtId="11" fontId="1" fillId="2" borderId="1" xfId="1" applyNumberFormat="1" applyBorder="1" applyAlignment="1">
      <alignment horizontal="center" vertical="center"/>
    </xf>
    <xf numFmtId="177" fontId="4" fillId="5" borderId="1" xfId="4" applyNumberFormat="1" applyAlignment="1">
      <alignment horizontal="center" vertical="center"/>
    </xf>
    <xf numFmtId="10" fontId="0" fillId="0" borderId="0" xfId="0" applyNumberFormat="1">
      <alignment vertical="center"/>
    </xf>
    <xf numFmtId="0" fontId="4" fillId="5" borderId="1" xfId="4" applyNumberFormat="1" applyAlignment="1">
      <alignment horizontal="center" vertical="center"/>
    </xf>
    <xf numFmtId="0" fontId="0" fillId="0" borderId="0" xfId="0" applyAlignment="1">
      <alignment vertical="center" wrapText="1"/>
    </xf>
    <xf numFmtId="0" fontId="4" fillId="5" borderId="1" xfId="4" applyAlignment="1">
      <alignment horizontal="center" vertical="top"/>
    </xf>
    <xf numFmtId="0" fontId="4" fillId="5" borderId="1" xfId="4" applyAlignment="1">
      <alignment horizontal="center"/>
    </xf>
    <xf numFmtId="11" fontId="4" fillId="5" borderId="1" xfId="4" applyNumberFormat="1" applyAlignment="1">
      <alignment vertical="center"/>
    </xf>
    <xf numFmtId="11" fontId="4" fillId="5" borderId="1" xfId="4" applyNumberFormat="1">
      <alignment vertical="center"/>
    </xf>
    <xf numFmtId="10" fontId="4" fillId="5" borderId="1" xfId="4" applyNumberFormat="1">
      <alignment vertical="center"/>
    </xf>
    <xf numFmtId="0" fontId="4" fillId="5" borderId="3" xfId="4" applyBorder="1" applyAlignment="1">
      <alignment horizontal="center" vertical="center"/>
    </xf>
    <xf numFmtId="0" fontId="4" fillId="5" borderId="4" xfId="4" applyBorder="1" applyAlignment="1">
      <alignment horizontal="center" vertical="center"/>
    </xf>
    <xf numFmtId="0" fontId="4" fillId="5" borderId="1" xfId="4" applyAlignment="1">
      <alignment horizontal="center" vertical="center"/>
    </xf>
    <xf numFmtId="0" fontId="6" fillId="0" borderId="0" xfId="6" applyAlignment="1">
      <alignment horizontal="center" vertical="center"/>
    </xf>
    <xf numFmtId="0" fontId="6" fillId="0" borderId="0" xfId="6" applyAlignment="1">
      <alignment vertical="center" wrapText="1"/>
    </xf>
    <xf numFmtId="0" fontId="6" fillId="0" borderId="0" xfId="6" applyAlignment="1">
      <alignment horizontal="center" vertical="center" wrapText="1"/>
    </xf>
    <xf numFmtId="0" fontId="0" fillId="0" borderId="0" xfId="0" applyAlignment="1">
      <alignment horizontal="center" vertical="center"/>
    </xf>
    <xf numFmtId="0" fontId="6" fillId="0" borderId="0" xfId="6">
      <alignment vertical="center"/>
    </xf>
    <xf numFmtId="0" fontId="4" fillId="5" borderId="5" xfId="4" applyBorder="1" applyAlignment="1">
      <alignment horizontal="center" vertical="center"/>
    </xf>
    <xf numFmtId="0" fontId="4" fillId="5" borderId="6" xfId="4" applyBorder="1" applyAlignment="1">
      <alignment horizontal="center" vertical="center"/>
    </xf>
    <xf numFmtId="0" fontId="4" fillId="5" borderId="7" xfId="4" applyBorder="1" applyAlignment="1">
      <alignment horizontal="center" vertical="center"/>
    </xf>
    <xf numFmtId="0" fontId="4" fillId="5" borderId="8" xfId="4" applyBorder="1" applyAlignment="1">
      <alignment horizontal="center" vertical="center"/>
    </xf>
    <xf numFmtId="0" fontId="4" fillId="5" borderId="9" xfId="4" applyBorder="1" applyAlignment="1">
      <alignment horizontal="center" vertical="center"/>
    </xf>
    <xf numFmtId="0" fontId="4" fillId="5" borderId="10" xfId="4" applyBorder="1" applyAlignment="1">
      <alignment horizontal="center" vertical="center"/>
    </xf>
    <xf numFmtId="11" fontId="4" fillId="5" borderId="13" xfId="4" applyNumberFormat="1" applyBorder="1" applyAlignment="1">
      <alignment horizontal="center" vertical="center"/>
    </xf>
    <xf numFmtId="11" fontId="4" fillId="5" borderId="14" xfId="4" applyNumberFormat="1" applyBorder="1" applyAlignment="1">
      <alignment horizontal="center" vertical="center"/>
    </xf>
    <xf numFmtId="11" fontId="4" fillId="5" borderId="11" xfId="4" applyNumberFormat="1" applyBorder="1" applyAlignment="1">
      <alignment horizontal="center" vertical="center"/>
    </xf>
    <xf numFmtId="0" fontId="4" fillId="5" borderId="12" xfId="4" applyBorder="1" applyAlignment="1">
      <alignment horizontal="center" vertical="center"/>
    </xf>
    <xf numFmtId="0" fontId="0" fillId="0" borderId="0" xfId="0" applyAlignment="1">
      <alignment horizontal="center" vertical="center" wrapText="1"/>
    </xf>
    <xf numFmtId="10" fontId="4" fillId="5" borderId="13" xfId="4" applyNumberFormat="1" applyBorder="1" applyAlignment="1">
      <alignment horizontal="center" vertical="center"/>
    </xf>
    <xf numFmtId="10" fontId="4" fillId="5" borderId="11" xfId="4" applyNumberFormat="1" applyBorder="1" applyAlignment="1">
      <alignment horizontal="center" vertical="center"/>
    </xf>
    <xf numFmtId="10" fontId="4" fillId="5" borderId="14" xfId="4" applyNumberFormat="1" applyBorder="1" applyAlignment="1">
      <alignment horizontal="center" vertical="center"/>
    </xf>
    <xf numFmtId="0" fontId="6" fillId="5" borderId="13" xfId="6" applyFill="1" applyBorder="1" applyAlignment="1">
      <alignment horizontal="center" vertical="center"/>
    </xf>
    <xf numFmtId="0" fontId="6" fillId="5" borderId="11" xfId="6" applyFill="1" applyBorder="1" applyAlignment="1">
      <alignment horizontal="center" vertical="center"/>
    </xf>
    <xf numFmtId="0" fontId="6" fillId="5" borderId="14" xfId="6" applyFill="1" applyBorder="1" applyAlignment="1">
      <alignment horizontal="center" vertical="center"/>
    </xf>
    <xf numFmtId="9" fontId="0" fillId="0" borderId="0" xfId="0" applyNumberFormat="1">
      <alignment vertical="center"/>
    </xf>
    <xf numFmtId="11" fontId="9" fillId="0" borderId="0" xfId="0" applyNumberFormat="1" applyFont="1">
      <alignment vertical="center"/>
    </xf>
    <xf numFmtId="0" fontId="0" fillId="0" borderId="0" xfId="0" applyNumberFormat="1">
      <alignment vertical="center"/>
    </xf>
  </cellXfs>
  <cellStyles count="7">
    <cellStyle name="差" xfId="2" builtinId="27"/>
    <cellStyle name="常规" xfId="0" builtinId="0"/>
    <cellStyle name="好" xfId="1" builtinId="26"/>
    <cellStyle name="检查单元格" xfId="5" builtinId="23"/>
    <cellStyle name="解释性文本" xfId="6" builtinId="53"/>
    <cellStyle name="适中" xfId="3" builtinId="28"/>
    <cellStyle name="输出" xfId="4"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8898C-3253-4DF8-9A0C-B7D3346621AA}">
  <dimension ref="A1:N30"/>
  <sheetViews>
    <sheetView workbookViewId="0">
      <selection activeCell="N24" sqref="N24"/>
    </sheetView>
  </sheetViews>
  <sheetFormatPr defaultRowHeight="14" x14ac:dyDescent="0.3"/>
  <sheetData>
    <row r="1" spans="1:14" x14ac:dyDescent="0.3">
      <c r="A1" s="41" t="s">
        <v>25</v>
      </c>
      <c r="B1" s="41"/>
      <c r="C1" s="41"/>
      <c r="D1" s="41"/>
      <c r="E1" s="41"/>
      <c r="F1" s="41"/>
      <c r="G1" s="41"/>
      <c r="H1" s="41"/>
      <c r="I1" s="41"/>
      <c r="J1" s="41"/>
      <c r="K1" s="41"/>
      <c r="L1" s="41"/>
      <c r="M1" s="41"/>
    </row>
    <row r="2" spans="1:14" ht="14.5" thickBot="1" x14ac:dyDescent="0.35">
      <c r="A2" s="41"/>
      <c r="B2" s="41"/>
      <c r="C2" s="41"/>
      <c r="D2" s="41"/>
      <c r="E2" s="41"/>
      <c r="F2" s="41"/>
      <c r="G2" s="41"/>
      <c r="H2" s="41"/>
      <c r="I2" s="41"/>
      <c r="J2" s="41"/>
      <c r="K2" s="41"/>
      <c r="L2" s="41"/>
      <c r="M2" s="41"/>
    </row>
    <row r="3" spans="1:14" ht="15" thickTop="1" thickBot="1" x14ac:dyDescent="0.35">
      <c r="A3" s="2" t="s">
        <v>1</v>
      </c>
      <c r="B3" s="39" t="s">
        <v>26</v>
      </c>
      <c r="C3" s="40"/>
      <c r="D3" s="2" t="s">
        <v>2</v>
      </c>
      <c r="E3" s="2" t="s">
        <v>3</v>
      </c>
      <c r="F3" s="2" t="s">
        <v>4</v>
      </c>
      <c r="G3" s="2" t="s">
        <v>5</v>
      </c>
      <c r="H3" s="2" t="s">
        <v>6</v>
      </c>
      <c r="I3" s="2" t="s">
        <v>7</v>
      </c>
      <c r="J3" s="39" t="s">
        <v>8</v>
      </c>
      <c r="K3" s="40"/>
      <c r="L3" s="2" t="s">
        <v>9</v>
      </c>
      <c r="M3" s="2" t="s">
        <v>4</v>
      </c>
      <c r="N3" s="6" t="s">
        <v>47</v>
      </c>
    </row>
    <row r="4" spans="1:14" ht="15" thickTop="1" thickBot="1" x14ac:dyDescent="0.35">
      <c r="A4" s="2">
        <v>1</v>
      </c>
      <c r="B4" s="2">
        <v>11.36</v>
      </c>
      <c r="C4" s="2">
        <v>18.43</v>
      </c>
      <c r="D4" s="2">
        <v>41525</v>
      </c>
      <c r="E4" s="2">
        <v>5592</v>
      </c>
      <c r="F4" s="2">
        <v>345</v>
      </c>
      <c r="G4" s="2">
        <v>15.74</v>
      </c>
      <c r="H4" s="2">
        <v>0.24</v>
      </c>
      <c r="I4" s="2">
        <v>2.39</v>
      </c>
      <c r="J4" s="2" t="s">
        <v>27</v>
      </c>
      <c r="K4" s="2">
        <v>15.8</v>
      </c>
      <c r="L4" s="2">
        <v>0</v>
      </c>
      <c r="M4" s="2">
        <v>0</v>
      </c>
      <c r="N4" s="6"/>
    </row>
    <row r="5" spans="1:14" ht="15" thickTop="1" thickBot="1" x14ac:dyDescent="0.35">
      <c r="A5" s="2">
        <v>2</v>
      </c>
      <c r="B5" s="2">
        <v>22.55</v>
      </c>
      <c r="C5" s="2">
        <v>127.34</v>
      </c>
      <c r="D5" s="2">
        <v>442228</v>
      </c>
      <c r="E5" s="2">
        <v>-291705</v>
      </c>
      <c r="F5" s="2">
        <v>6530</v>
      </c>
      <c r="G5" s="2">
        <v>25.2</v>
      </c>
      <c r="H5" s="2">
        <v>0.28999999999999998</v>
      </c>
      <c r="I5" s="2">
        <v>0.47</v>
      </c>
      <c r="J5" s="8" t="s">
        <v>28</v>
      </c>
      <c r="K5" s="2">
        <v>25.27</v>
      </c>
      <c r="L5" s="2">
        <v>0</v>
      </c>
      <c r="M5" s="2">
        <v>0</v>
      </c>
      <c r="N5" s="6"/>
    </row>
    <row r="6" spans="1:14" ht="15" thickTop="1" thickBot="1" x14ac:dyDescent="0.35">
      <c r="A6" s="2">
        <v>3</v>
      </c>
      <c r="B6" s="2">
        <v>129.69999999999999</v>
      </c>
      <c r="C6" s="2">
        <v>136.76</v>
      </c>
      <c r="D6" s="2">
        <v>57705</v>
      </c>
      <c r="E6" s="2">
        <v>24026</v>
      </c>
      <c r="F6" s="2">
        <v>361</v>
      </c>
      <c r="G6" s="2">
        <v>133.06</v>
      </c>
      <c r="H6" s="2">
        <v>1.92</v>
      </c>
      <c r="I6" s="2">
        <v>2.96</v>
      </c>
      <c r="J6" s="9" t="s">
        <v>29</v>
      </c>
      <c r="K6" s="2">
        <v>133.02000000000001</v>
      </c>
      <c r="L6" s="2">
        <v>0</v>
      </c>
      <c r="M6" s="2">
        <v>0</v>
      </c>
      <c r="N6" s="6" t="s">
        <v>38</v>
      </c>
    </row>
    <row r="7" spans="1:14" ht="15" thickTop="1" thickBot="1" x14ac:dyDescent="0.35">
      <c r="A7" s="2">
        <v>4</v>
      </c>
      <c r="B7" s="2">
        <v>140</v>
      </c>
      <c r="C7" s="2">
        <v>420.82</v>
      </c>
      <c r="D7" s="2">
        <v>1455625</v>
      </c>
      <c r="E7" s="2">
        <v>242297</v>
      </c>
      <c r="F7" s="2">
        <v>13861</v>
      </c>
      <c r="G7" s="2">
        <v>205.44</v>
      </c>
      <c r="H7" s="2">
        <v>72.25</v>
      </c>
      <c r="I7" s="2">
        <v>131.16999999999999</v>
      </c>
      <c r="J7" s="8" t="s">
        <v>12</v>
      </c>
      <c r="K7" s="2">
        <v>205.31</v>
      </c>
      <c r="L7" s="2">
        <v>0</v>
      </c>
      <c r="M7" s="2">
        <v>0</v>
      </c>
      <c r="N7" s="7"/>
    </row>
    <row r="8" spans="1:14" ht="15" thickTop="1" thickBot="1" x14ac:dyDescent="0.35">
      <c r="A8" s="2">
        <v>5</v>
      </c>
      <c r="B8" s="2">
        <v>424.05</v>
      </c>
      <c r="C8" s="2">
        <v>431.41</v>
      </c>
      <c r="D8" s="2">
        <v>34106</v>
      </c>
      <c r="E8" s="2">
        <v>2000</v>
      </c>
      <c r="F8" s="2">
        <v>330</v>
      </c>
      <c r="G8" s="2">
        <v>427.67</v>
      </c>
      <c r="H8" s="2">
        <v>1.91</v>
      </c>
      <c r="I8" s="2">
        <v>2.98</v>
      </c>
      <c r="J8" s="3" t="s">
        <v>30</v>
      </c>
      <c r="K8" s="2">
        <v>427.88</v>
      </c>
      <c r="L8" s="2">
        <v>0</v>
      </c>
      <c r="M8" s="2">
        <v>0</v>
      </c>
      <c r="N8" s="6" t="s">
        <v>30</v>
      </c>
    </row>
    <row r="9" spans="1:14" ht="15" thickTop="1" thickBot="1" x14ac:dyDescent="0.35">
      <c r="A9" s="2">
        <v>6</v>
      </c>
      <c r="B9" s="2">
        <v>493.23</v>
      </c>
      <c r="C9" s="2">
        <v>500.29</v>
      </c>
      <c r="D9" s="2">
        <v>52347</v>
      </c>
      <c r="E9" s="2">
        <v>20489</v>
      </c>
      <c r="F9" s="2">
        <v>348</v>
      </c>
      <c r="G9" s="2">
        <v>496.8</v>
      </c>
      <c r="H9" s="2">
        <v>2.0499999999999998</v>
      </c>
      <c r="I9" s="2">
        <v>3.09</v>
      </c>
      <c r="J9" s="3" t="s">
        <v>31</v>
      </c>
      <c r="K9" s="2">
        <v>497.08</v>
      </c>
      <c r="L9" s="2">
        <v>0</v>
      </c>
      <c r="M9" s="2">
        <v>0</v>
      </c>
      <c r="N9" s="6" t="s">
        <v>31</v>
      </c>
    </row>
    <row r="10" spans="1:14" ht="15" thickTop="1" thickBot="1" x14ac:dyDescent="0.35">
      <c r="A10" s="2">
        <v>7</v>
      </c>
      <c r="B10" s="2">
        <v>507.95</v>
      </c>
      <c r="C10" s="2">
        <v>515.01</v>
      </c>
      <c r="D10" s="2">
        <v>62902</v>
      </c>
      <c r="E10" s="2">
        <v>32548</v>
      </c>
      <c r="F10" s="2">
        <v>358</v>
      </c>
      <c r="G10" s="2">
        <v>511.58</v>
      </c>
      <c r="H10" s="2">
        <v>2.08</v>
      </c>
      <c r="I10" s="2">
        <v>3.15</v>
      </c>
      <c r="J10" s="9" t="s">
        <v>11</v>
      </c>
      <c r="K10" s="2">
        <v>511.66</v>
      </c>
      <c r="L10" s="2">
        <v>0</v>
      </c>
      <c r="M10" s="2">
        <v>0</v>
      </c>
      <c r="N10" s="6" t="s">
        <v>36</v>
      </c>
    </row>
    <row r="11" spans="1:14" ht="15" thickTop="1" thickBot="1" x14ac:dyDescent="0.35">
      <c r="A11" s="2">
        <v>8</v>
      </c>
      <c r="B11" s="2">
        <v>565.64</v>
      </c>
      <c r="C11" s="2">
        <v>572.70000000000005</v>
      </c>
      <c r="D11" s="2">
        <v>33052</v>
      </c>
      <c r="E11" s="2">
        <v>1619</v>
      </c>
      <c r="F11" s="2">
        <v>318</v>
      </c>
      <c r="G11" s="2">
        <v>569.13</v>
      </c>
      <c r="H11" s="2">
        <v>2.17</v>
      </c>
      <c r="I11" s="2">
        <v>3.38</v>
      </c>
      <c r="J11" s="3" t="s">
        <v>15</v>
      </c>
      <c r="K11" s="2">
        <v>569.33000000000004</v>
      </c>
      <c r="L11" s="2">
        <v>0</v>
      </c>
      <c r="M11" s="2">
        <v>0</v>
      </c>
      <c r="N11" s="6" t="s">
        <v>15</v>
      </c>
    </row>
    <row r="12" spans="1:14" ht="15" thickTop="1" thickBot="1" x14ac:dyDescent="0.35">
      <c r="A12" s="2">
        <v>9</v>
      </c>
      <c r="B12" s="2">
        <v>600.96</v>
      </c>
      <c r="C12" s="2">
        <v>608.03</v>
      </c>
      <c r="D12" s="2">
        <v>40471</v>
      </c>
      <c r="E12" s="2">
        <v>8413</v>
      </c>
      <c r="F12" s="2">
        <v>331</v>
      </c>
      <c r="G12" s="2">
        <v>604.47</v>
      </c>
      <c r="H12" s="2">
        <v>2.06</v>
      </c>
      <c r="I12" s="2">
        <v>3.12</v>
      </c>
      <c r="J12" s="3" t="s">
        <v>15</v>
      </c>
      <c r="K12" s="2">
        <v>604.72</v>
      </c>
      <c r="L12" s="2">
        <v>0</v>
      </c>
      <c r="M12" s="2">
        <v>0</v>
      </c>
      <c r="N12" s="6" t="s">
        <v>15</v>
      </c>
    </row>
    <row r="13" spans="1:14" ht="15" thickTop="1" thickBot="1" x14ac:dyDescent="0.35">
      <c r="A13" s="2">
        <v>10</v>
      </c>
      <c r="B13" s="2">
        <v>618.33000000000004</v>
      </c>
      <c r="C13" s="2">
        <v>625.39</v>
      </c>
      <c r="D13" s="2">
        <v>46402</v>
      </c>
      <c r="E13" s="2">
        <v>15598</v>
      </c>
      <c r="F13" s="2">
        <v>336</v>
      </c>
      <c r="G13" s="2">
        <v>621.73</v>
      </c>
      <c r="H13" s="2">
        <v>2.11</v>
      </c>
      <c r="I13" s="2">
        <v>3.19</v>
      </c>
      <c r="J13" s="9" t="s">
        <v>32</v>
      </c>
      <c r="K13" s="2">
        <v>621.77</v>
      </c>
      <c r="L13" s="2">
        <v>0</v>
      </c>
      <c r="M13" s="2">
        <v>0</v>
      </c>
      <c r="N13" s="6" t="s">
        <v>36</v>
      </c>
    </row>
    <row r="14" spans="1:14" ht="15" thickTop="1" thickBot="1" x14ac:dyDescent="0.35">
      <c r="A14" s="2">
        <v>11</v>
      </c>
      <c r="B14" s="2">
        <v>657.77</v>
      </c>
      <c r="C14" s="2">
        <v>664.84</v>
      </c>
      <c r="D14" s="2">
        <v>191872</v>
      </c>
      <c r="E14" s="2">
        <v>161243</v>
      </c>
      <c r="F14" s="2">
        <v>508</v>
      </c>
      <c r="G14" s="2">
        <v>661.36</v>
      </c>
      <c r="H14" s="2">
        <v>2.14</v>
      </c>
      <c r="I14" s="2">
        <v>3.29</v>
      </c>
      <c r="J14" s="3" t="s">
        <v>16</v>
      </c>
      <c r="K14" s="2">
        <v>661.66</v>
      </c>
      <c r="L14" s="2">
        <v>0</v>
      </c>
      <c r="M14" s="2">
        <v>0</v>
      </c>
      <c r="N14" s="6" t="s">
        <v>16</v>
      </c>
    </row>
    <row r="15" spans="1:14" ht="15" thickTop="1" thickBot="1" x14ac:dyDescent="0.35">
      <c r="A15" s="2">
        <v>12</v>
      </c>
      <c r="B15" s="2">
        <v>692.8</v>
      </c>
      <c r="C15" s="2">
        <v>699.86</v>
      </c>
      <c r="D15" s="2">
        <v>52999</v>
      </c>
      <c r="E15" s="2">
        <v>25520</v>
      </c>
      <c r="F15" s="2">
        <v>335</v>
      </c>
      <c r="G15" s="2">
        <v>696.2</v>
      </c>
      <c r="H15" s="2">
        <v>2.17</v>
      </c>
      <c r="I15" s="2">
        <v>3.29</v>
      </c>
      <c r="J15" s="9" t="s">
        <v>14</v>
      </c>
      <c r="K15" s="2">
        <v>696.24</v>
      </c>
      <c r="L15" s="2">
        <v>0</v>
      </c>
      <c r="M15" s="2">
        <v>0</v>
      </c>
      <c r="N15" s="6" t="s">
        <v>34</v>
      </c>
    </row>
    <row r="16" spans="1:14" ht="15" thickTop="1" thickBot="1" x14ac:dyDescent="0.35">
      <c r="A16" s="2">
        <v>13</v>
      </c>
      <c r="B16" s="2">
        <v>720.47</v>
      </c>
      <c r="C16" s="2">
        <v>727.53</v>
      </c>
      <c r="D16" s="2">
        <v>191597</v>
      </c>
      <c r="E16" s="2">
        <v>163122</v>
      </c>
      <c r="F16" s="2">
        <v>503</v>
      </c>
      <c r="G16" s="2">
        <v>723.9</v>
      </c>
      <c r="H16" s="2">
        <v>2.17</v>
      </c>
      <c r="I16" s="2">
        <v>3.31</v>
      </c>
      <c r="J16" s="3" t="s">
        <v>17</v>
      </c>
      <c r="K16" s="2">
        <v>724.2</v>
      </c>
      <c r="L16" s="2">
        <v>0</v>
      </c>
      <c r="M16" s="2">
        <v>0</v>
      </c>
      <c r="N16" s="6" t="s">
        <v>17</v>
      </c>
    </row>
    <row r="17" spans="1:14" ht="15" thickTop="1" thickBot="1" x14ac:dyDescent="0.35">
      <c r="A17" s="2">
        <v>14</v>
      </c>
      <c r="B17" s="2">
        <v>752.85</v>
      </c>
      <c r="C17" s="2">
        <v>759.91</v>
      </c>
      <c r="D17" s="2">
        <v>227284</v>
      </c>
      <c r="E17" s="2">
        <v>201651</v>
      </c>
      <c r="F17" s="2">
        <v>531</v>
      </c>
      <c r="G17" s="2">
        <v>756.43</v>
      </c>
      <c r="H17" s="2">
        <v>2.19</v>
      </c>
      <c r="I17" s="2">
        <v>3.36</v>
      </c>
      <c r="J17" s="3" t="s">
        <v>17</v>
      </c>
      <c r="K17" s="2">
        <v>756.73</v>
      </c>
      <c r="L17" s="2">
        <v>0</v>
      </c>
      <c r="M17" s="2">
        <v>0</v>
      </c>
      <c r="N17" s="6" t="s">
        <v>17</v>
      </c>
    </row>
    <row r="18" spans="1:14" ht="15" thickTop="1" thickBot="1" x14ac:dyDescent="0.35">
      <c r="A18" s="2">
        <v>15</v>
      </c>
      <c r="B18" s="2">
        <v>761.97</v>
      </c>
      <c r="C18" s="2">
        <v>769.04</v>
      </c>
      <c r="D18" s="2">
        <v>804325</v>
      </c>
      <c r="E18" s="2">
        <v>782775</v>
      </c>
      <c r="F18" s="2">
        <v>922</v>
      </c>
      <c r="G18" s="2">
        <v>765.5</v>
      </c>
      <c r="H18" s="2">
        <v>2.2000000000000002</v>
      </c>
      <c r="I18" s="2">
        <v>3.36</v>
      </c>
      <c r="J18" s="9" t="s">
        <v>18</v>
      </c>
      <c r="K18" s="2">
        <v>765.28</v>
      </c>
      <c r="L18" s="2">
        <v>0</v>
      </c>
      <c r="M18" s="2">
        <v>0</v>
      </c>
      <c r="N18" s="6" t="s">
        <v>35</v>
      </c>
    </row>
    <row r="19" spans="1:14" ht="15" thickTop="1" thickBot="1" x14ac:dyDescent="0.35">
      <c r="A19" s="2">
        <v>16</v>
      </c>
      <c r="B19" s="2">
        <v>792</v>
      </c>
      <c r="C19" s="2">
        <v>805.24</v>
      </c>
      <c r="D19" s="2">
        <v>10766</v>
      </c>
      <c r="E19" s="2">
        <v>8788</v>
      </c>
      <c r="F19" s="2">
        <v>148</v>
      </c>
      <c r="G19" s="2">
        <v>795.54</v>
      </c>
      <c r="H19" s="2">
        <v>2.2799999999999998</v>
      </c>
      <c r="I19" s="2">
        <v>3.43</v>
      </c>
      <c r="J19" s="3" t="s">
        <v>15</v>
      </c>
      <c r="K19" s="2">
        <v>795.86</v>
      </c>
      <c r="L19" s="2">
        <v>0</v>
      </c>
      <c r="M19" s="2">
        <v>0</v>
      </c>
      <c r="N19" s="6" t="s">
        <v>15</v>
      </c>
    </row>
    <row r="20" spans="1:14" ht="15" thickTop="1" thickBot="1" x14ac:dyDescent="0.35">
      <c r="A20" s="2">
        <v>17</v>
      </c>
      <c r="B20" s="2">
        <v>869.41</v>
      </c>
      <c r="C20" s="2">
        <v>876.77</v>
      </c>
      <c r="D20" s="2">
        <v>1583</v>
      </c>
      <c r="E20" s="2">
        <v>712</v>
      </c>
      <c r="F20" s="2">
        <v>60</v>
      </c>
      <c r="G20" s="2">
        <v>873.25</v>
      </c>
      <c r="H20" s="2">
        <v>2.33</v>
      </c>
      <c r="I20" s="2">
        <v>3.48</v>
      </c>
      <c r="J20" s="9" t="s">
        <v>19</v>
      </c>
      <c r="K20" s="2">
        <v>873.19</v>
      </c>
      <c r="L20" s="2">
        <v>0</v>
      </c>
      <c r="M20" s="2">
        <v>0</v>
      </c>
      <c r="N20" s="6" t="s">
        <v>36</v>
      </c>
    </row>
    <row r="21" spans="1:14" ht="15" thickTop="1" thickBot="1" x14ac:dyDescent="0.35">
      <c r="A21" s="2">
        <v>18</v>
      </c>
      <c r="B21" s="2">
        <v>878.54</v>
      </c>
      <c r="C21" s="2">
        <v>1040.43</v>
      </c>
      <c r="D21" s="2">
        <v>14843</v>
      </c>
      <c r="E21" s="2">
        <v>241</v>
      </c>
      <c r="F21" s="2">
        <v>1151</v>
      </c>
      <c r="G21" s="2">
        <v>1038.68</v>
      </c>
      <c r="H21" s="2">
        <v>1.46</v>
      </c>
      <c r="I21" s="2">
        <v>3.23</v>
      </c>
      <c r="J21" s="3" t="s">
        <v>15</v>
      </c>
      <c r="K21" s="2">
        <v>1038.6099999999999</v>
      </c>
      <c r="L21" s="2">
        <v>0</v>
      </c>
      <c r="M21" s="2">
        <v>0</v>
      </c>
      <c r="N21" s="6" t="s">
        <v>15</v>
      </c>
    </row>
    <row r="22" spans="1:14" ht="15" thickTop="1" thickBot="1" x14ac:dyDescent="0.35">
      <c r="A22" s="2">
        <v>19</v>
      </c>
      <c r="B22" s="2">
        <v>1046.32</v>
      </c>
      <c r="C22" s="2">
        <v>1053.67</v>
      </c>
      <c r="D22" s="2">
        <v>2774</v>
      </c>
      <c r="E22" s="2">
        <v>2176</v>
      </c>
      <c r="F22" s="2">
        <v>64</v>
      </c>
      <c r="G22" s="2">
        <v>1050.1300000000001</v>
      </c>
      <c r="H22" s="2">
        <v>2.39</v>
      </c>
      <c r="I22" s="2">
        <v>3.61</v>
      </c>
      <c r="J22" s="3" t="s">
        <v>13</v>
      </c>
      <c r="K22" s="2">
        <v>1050.4100000000001</v>
      </c>
      <c r="L22" s="2">
        <v>0</v>
      </c>
      <c r="M22" s="2">
        <v>0</v>
      </c>
      <c r="N22" s="6" t="s">
        <v>13</v>
      </c>
    </row>
    <row r="23" spans="1:14" ht="15" thickTop="1" thickBot="1" x14ac:dyDescent="0.35">
      <c r="A23" s="2">
        <v>20</v>
      </c>
      <c r="B23" s="2">
        <v>1124.02</v>
      </c>
      <c r="C23" s="2">
        <v>1131.0899999999999</v>
      </c>
      <c r="D23" s="2">
        <v>966</v>
      </c>
      <c r="E23" s="2">
        <v>524</v>
      </c>
      <c r="F23" s="2">
        <v>43</v>
      </c>
      <c r="G23" s="2">
        <v>1127.92</v>
      </c>
      <c r="H23" s="2">
        <v>2.2999999999999998</v>
      </c>
      <c r="I23" s="2">
        <v>3.81</v>
      </c>
      <c r="J23" s="3" t="s">
        <v>13</v>
      </c>
      <c r="K23" s="2">
        <v>1128.07</v>
      </c>
      <c r="L23" s="2">
        <v>0</v>
      </c>
      <c r="M23" s="2">
        <v>0</v>
      </c>
      <c r="N23" s="6" t="s">
        <v>13</v>
      </c>
    </row>
    <row r="24" spans="1:14" ht="15" thickTop="1" thickBot="1" x14ac:dyDescent="0.35">
      <c r="A24" s="2">
        <v>21</v>
      </c>
      <c r="B24" s="2">
        <v>1201.1400000000001</v>
      </c>
      <c r="C24" s="2">
        <v>1208.21</v>
      </c>
      <c r="D24" s="2">
        <v>942</v>
      </c>
      <c r="E24" s="2">
        <v>579</v>
      </c>
      <c r="F24" s="2">
        <v>41</v>
      </c>
      <c r="G24" s="2">
        <v>1204.3499999999999</v>
      </c>
      <c r="H24" s="2">
        <v>2.3199999999999998</v>
      </c>
      <c r="I24" s="2">
        <v>3.53</v>
      </c>
      <c r="J24" s="9" t="s">
        <v>33</v>
      </c>
      <c r="K24" s="2">
        <v>1204.67</v>
      </c>
      <c r="L24" s="2">
        <v>0</v>
      </c>
      <c r="M24" s="2">
        <v>0</v>
      </c>
      <c r="N24" s="6"/>
    </row>
    <row r="25" spans="1:14" ht="15" thickTop="1" thickBot="1" x14ac:dyDescent="0.35">
      <c r="A25" s="2">
        <v>22</v>
      </c>
      <c r="B25" s="2">
        <v>1211.44</v>
      </c>
      <c r="C25" s="2">
        <v>1451.04</v>
      </c>
      <c r="D25" s="2">
        <v>10665</v>
      </c>
      <c r="E25" s="2">
        <v>1292</v>
      </c>
      <c r="F25" s="2">
        <v>1124</v>
      </c>
      <c r="G25" s="2">
        <v>1365.21</v>
      </c>
      <c r="H25" s="2">
        <v>2.57</v>
      </c>
      <c r="I25" s="2">
        <v>4.13</v>
      </c>
      <c r="J25" s="3" t="s">
        <v>15</v>
      </c>
      <c r="K25" s="2">
        <v>1365.19</v>
      </c>
      <c r="L25" s="2">
        <v>0</v>
      </c>
      <c r="M25" s="2">
        <v>0</v>
      </c>
      <c r="N25" s="6" t="s">
        <v>15</v>
      </c>
    </row>
    <row r="26" spans="1:14" ht="15" thickTop="1" thickBot="1" x14ac:dyDescent="0.35">
      <c r="A26" s="2">
        <v>23</v>
      </c>
      <c r="B26" s="2">
        <v>1457.22</v>
      </c>
      <c r="C26" s="2">
        <v>1464.29</v>
      </c>
      <c r="D26" s="2">
        <v>1080</v>
      </c>
      <c r="E26" s="2">
        <v>780</v>
      </c>
      <c r="F26" s="2">
        <v>41</v>
      </c>
      <c r="G26" s="2">
        <v>1460.95</v>
      </c>
      <c r="H26" s="2">
        <v>2.64</v>
      </c>
      <c r="I26" s="2">
        <v>3.93</v>
      </c>
      <c r="J26" s="3" t="s">
        <v>22</v>
      </c>
      <c r="K26" s="2">
        <v>1461</v>
      </c>
      <c r="L26" s="2">
        <v>0</v>
      </c>
      <c r="M26" s="2">
        <v>0</v>
      </c>
      <c r="N26" s="6" t="s">
        <v>22</v>
      </c>
    </row>
    <row r="27" spans="1:14" ht="15" thickTop="1" thickBot="1" x14ac:dyDescent="0.35">
      <c r="A27" s="2">
        <v>24</v>
      </c>
      <c r="B27" s="2">
        <v>1485.19</v>
      </c>
      <c r="C27" s="2">
        <v>1492.54</v>
      </c>
      <c r="D27" s="2">
        <v>5061</v>
      </c>
      <c r="E27" s="2">
        <v>4636</v>
      </c>
      <c r="F27" s="2">
        <v>77</v>
      </c>
      <c r="G27" s="2">
        <v>1488.96</v>
      </c>
      <c r="H27" s="2">
        <v>2.62</v>
      </c>
      <c r="I27" s="2">
        <v>3.99</v>
      </c>
      <c r="J27" s="9" t="s">
        <v>23</v>
      </c>
      <c r="K27" s="2">
        <v>1488.89</v>
      </c>
      <c r="L27" s="2">
        <v>0</v>
      </c>
      <c r="M27" s="2">
        <v>0</v>
      </c>
      <c r="N27" s="6" t="s">
        <v>34</v>
      </c>
    </row>
    <row r="28" spans="1:14" ht="15" thickTop="1" thickBot="1" x14ac:dyDescent="0.35">
      <c r="A28" s="2">
        <v>25</v>
      </c>
      <c r="B28" s="2">
        <v>1501.37</v>
      </c>
      <c r="C28" s="2">
        <v>2166.29</v>
      </c>
      <c r="D28" s="2">
        <v>12129</v>
      </c>
      <c r="E28" s="2">
        <v>452</v>
      </c>
      <c r="F28" s="2">
        <v>2094</v>
      </c>
      <c r="G28" s="2">
        <v>1562.12</v>
      </c>
      <c r="H28" s="2">
        <v>2.31</v>
      </c>
      <c r="I28" s="2">
        <v>3.88</v>
      </c>
      <c r="J28" s="8" t="s">
        <v>13</v>
      </c>
      <c r="K28" s="2">
        <v>1562.25</v>
      </c>
      <c r="L28" s="2">
        <v>0</v>
      </c>
      <c r="M28" s="2">
        <v>0</v>
      </c>
      <c r="N28" s="7"/>
    </row>
    <row r="29" spans="1:14" ht="15" thickTop="1" thickBot="1" x14ac:dyDescent="0.35">
      <c r="A29" s="2">
        <v>26</v>
      </c>
      <c r="B29" s="2">
        <v>2182.1799999999998</v>
      </c>
      <c r="C29" s="2">
        <v>2189.25</v>
      </c>
      <c r="D29" s="2">
        <v>10513</v>
      </c>
      <c r="E29" s="2">
        <v>9159</v>
      </c>
      <c r="F29" s="2">
        <v>115</v>
      </c>
      <c r="G29" s="2">
        <v>2185.64</v>
      </c>
      <c r="H29" s="2">
        <v>2.93</v>
      </c>
      <c r="I29" s="2">
        <v>4.38</v>
      </c>
      <c r="J29" s="3" t="s">
        <v>24</v>
      </c>
      <c r="K29" s="2">
        <v>2185.66</v>
      </c>
      <c r="L29" s="2">
        <v>0</v>
      </c>
      <c r="M29" s="2">
        <v>0</v>
      </c>
      <c r="N29" s="6" t="s">
        <v>24</v>
      </c>
    </row>
    <row r="30" spans="1:14" ht="14.5" thickTop="1" x14ac:dyDescent="0.3"/>
  </sheetData>
  <mergeCells count="3">
    <mergeCell ref="B3:C3"/>
    <mergeCell ref="J3:K3"/>
    <mergeCell ref="A1:M2"/>
  </mergeCells>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2C73A-B938-473D-83D4-EEC6A4376D31}">
  <dimension ref="A1:N155"/>
  <sheetViews>
    <sheetView workbookViewId="0">
      <selection activeCell="B41" sqref="B41"/>
    </sheetView>
  </sheetViews>
  <sheetFormatPr defaultRowHeight="14" x14ac:dyDescent="0.3"/>
  <sheetData>
    <row r="1" spans="1:14" x14ac:dyDescent="0.3">
      <c r="A1" s="5" t="s">
        <v>160</v>
      </c>
      <c r="B1" s="5" t="s">
        <v>161</v>
      </c>
      <c r="C1" s="5" t="s">
        <v>162</v>
      </c>
      <c r="D1" s="5" t="s">
        <v>163</v>
      </c>
      <c r="E1" s="5" t="s">
        <v>162</v>
      </c>
      <c r="F1" s="5" t="s">
        <v>164</v>
      </c>
      <c r="G1" s="5" t="s">
        <v>165</v>
      </c>
      <c r="H1" s="5" t="s">
        <v>166</v>
      </c>
      <c r="I1" s="5" t="s">
        <v>167</v>
      </c>
      <c r="J1" s="5" t="s">
        <v>168</v>
      </c>
      <c r="K1" s="5" t="s">
        <v>169</v>
      </c>
      <c r="L1" s="5" t="s">
        <v>170</v>
      </c>
      <c r="M1" s="5" t="s">
        <v>171</v>
      </c>
      <c r="N1" s="5" t="s">
        <v>170</v>
      </c>
    </row>
    <row r="2" spans="1:14" x14ac:dyDescent="0.3">
      <c r="A2" s="5"/>
      <c r="B2" s="5"/>
      <c r="C2" s="5"/>
      <c r="D2" s="5"/>
      <c r="E2" s="5"/>
      <c r="F2" s="5"/>
      <c r="G2" s="5"/>
      <c r="H2" s="5"/>
      <c r="I2" s="5"/>
      <c r="J2" s="5"/>
      <c r="K2" s="5"/>
      <c r="L2" s="5"/>
      <c r="M2" s="5"/>
      <c r="N2" s="5"/>
    </row>
    <row r="3" spans="1:14" x14ac:dyDescent="0.3">
      <c r="A3" s="5">
        <v>0</v>
      </c>
      <c r="B3" s="5">
        <v>320</v>
      </c>
      <c r="C3" s="5">
        <v>93.98</v>
      </c>
      <c r="D3" s="37" t="s">
        <v>12</v>
      </c>
      <c r="E3" s="37">
        <v>94</v>
      </c>
      <c r="F3" s="37">
        <v>704000000</v>
      </c>
      <c r="G3" s="38">
        <v>4.0000000000000001E-3</v>
      </c>
      <c r="H3" s="37">
        <v>58.6</v>
      </c>
      <c r="I3" s="38">
        <v>2.0918999999999999</v>
      </c>
      <c r="J3" s="37">
        <v>7550</v>
      </c>
      <c r="K3" s="5">
        <v>316</v>
      </c>
      <c r="L3" s="5">
        <v>325</v>
      </c>
      <c r="M3" s="5">
        <v>293</v>
      </c>
      <c r="N3" s="5">
        <v>347</v>
      </c>
    </row>
    <row r="4" spans="1:14" x14ac:dyDescent="0.3">
      <c r="A4" s="5">
        <v>1</v>
      </c>
      <c r="B4" s="5">
        <v>334</v>
      </c>
      <c r="C4" s="5">
        <v>98.1</v>
      </c>
      <c r="D4" s="5" t="s">
        <v>40</v>
      </c>
      <c r="E4" s="37">
        <v>98.44</v>
      </c>
      <c r="F4" s="37">
        <v>2.2199999999999999E-6</v>
      </c>
      <c r="G4" s="38">
        <v>2.3E-3</v>
      </c>
      <c r="H4" s="37">
        <v>773</v>
      </c>
      <c r="I4" s="38">
        <v>0.1825</v>
      </c>
      <c r="J4" s="37">
        <v>10300</v>
      </c>
      <c r="K4" s="5">
        <v>329</v>
      </c>
      <c r="L4" s="5">
        <v>340</v>
      </c>
      <c r="M4" s="5">
        <v>329</v>
      </c>
      <c r="N4" s="5">
        <v>347</v>
      </c>
    </row>
    <row r="5" spans="1:14" x14ac:dyDescent="0.3">
      <c r="A5" s="5">
        <v>2</v>
      </c>
      <c r="B5" s="5">
        <v>375</v>
      </c>
      <c r="C5" s="5">
        <v>110.18</v>
      </c>
      <c r="D5" s="37" t="s">
        <v>182</v>
      </c>
      <c r="E5" s="37">
        <v>109.68</v>
      </c>
      <c r="F5" s="37">
        <v>3.5999999999999997E-2</v>
      </c>
      <c r="G5" s="38">
        <v>2.0999999999999999E-3</v>
      </c>
      <c r="H5" s="37">
        <v>1140</v>
      </c>
      <c r="I5" s="38">
        <v>0.12859999999999999</v>
      </c>
      <c r="J5" s="37">
        <v>11300</v>
      </c>
      <c r="K5" s="5">
        <v>373</v>
      </c>
      <c r="L5" s="5">
        <v>382</v>
      </c>
      <c r="M5" s="5">
        <v>358</v>
      </c>
      <c r="N5" s="5">
        <v>397</v>
      </c>
    </row>
    <row r="6" spans="1:14" x14ac:dyDescent="0.3">
      <c r="A6" s="5">
        <v>3</v>
      </c>
      <c r="B6" s="5">
        <v>453</v>
      </c>
      <c r="C6" s="5">
        <v>133.16</v>
      </c>
      <c r="D6" s="5" t="s">
        <v>37</v>
      </c>
      <c r="E6" s="37">
        <v>133.51</v>
      </c>
      <c r="F6" s="37">
        <v>0.78</v>
      </c>
      <c r="G6" s="38">
        <v>0.1109</v>
      </c>
      <c r="H6" s="37">
        <v>24100</v>
      </c>
      <c r="I6" s="38">
        <v>1.2999999999999999E-2</v>
      </c>
      <c r="J6" s="37">
        <v>60900</v>
      </c>
      <c r="K6" s="5">
        <v>436</v>
      </c>
      <c r="L6" s="5">
        <v>462</v>
      </c>
      <c r="M6" s="5">
        <v>429</v>
      </c>
      <c r="N6" s="5">
        <v>462</v>
      </c>
    </row>
    <row r="7" spans="1:14" x14ac:dyDescent="0.3">
      <c r="A7" s="5">
        <v>4</v>
      </c>
      <c r="B7" s="5">
        <v>494</v>
      </c>
      <c r="C7" s="5">
        <v>145.24</v>
      </c>
      <c r="D7" s="37" t="s">
        <v>41</v>
      </c>
      <c r="E7" s="37">
        <v>145.44</v>
      </c>
      <c r="F7" s="37">
        <v>8.8999999999999996E-2</v>
      </c>
      <c r="G7" s="38">
        <v>0.48199999999999998</v>
      </c>
      <c r="H7" s="37">
        <v>720</v>
      </c>
      <c r="I7" s="38">
        <v>0.23580000000000001</v>
      </c>
      <c r="J7" s="37">
        <v>14800</v>
      </c>
      <c r="K7" s="5">
        <v>492</v>
      </c>
      <c r="L7" s="5">
        <v>501</v>
      </c>
      <c r="M7" s="5">
        <v>475</v>
      </c>
      <c r="N7" s="5">
        <v>506</v>
      </c>
    </row>
    <row r="8" spans="1:14" x14ac:dyDescent="0.3">
      <c r="A8" s="5">
        <v>5</v>
      </c>
      <c r="B8" s="5">
        <v>839</v>
      </c>
      <c r="C8" s="5">
        <v>246.87</v>
      </c>
      <c r="D8" s="5" t="s">
        <v>11</v>
      </c>
      <c r="E8" s="37">
        <v>246.28</v>
      </c>
      <c r="F8" s="37">
        <v>2.7100000000000002E-3</v>
      </c>
      <c r="G8" s="38">
        <v>1.1999999999999999E-3</v>
      </c>
      <c r="H8" s="37">
        <v>7.38</v>
      </c>
      <c r="I8" s="38">
        <v>26.974799999999998</v>
      </c>
      <c r="J8" s="37">
        <v>19800</v>
      </c>
      <c r="K8" s="5">
        <v>837</v>
      </c>
      <c r="L8" s="5">
        <v>848</v>
      </c>
      <c r="M8" s="5">
        <v>837</v>
      </c>
      <c r="N8" s="5">
        <v>858</v>
      </c>
    </row>
    <row r="9" spans="1:14" x14ac:dyDescent="0.3">
      <c r="A9" s="5">
        <v>6</v>
      </c>
      <c r="B9" s="5">
        <v>852</v>
      </c>
      <c r="C9" s="5">
        <v>250.7</v>
      </c>
      <c r="D9" s="37" t="s">
        <v>183</v>
      </c>
      <c r="E9" s="37">
        <v>251.47</v>
      </c>
      <c r="F9" s="37">
        <v>1.15E-2</v>
      </c>
      <c r="G9" s="38">
        <v>8.0000000000000004E-4</v>
      </c>
      <c r="H9" s="37">
        <v>159</v>
      </c>
      <c r="I9" s="38">
        <v>1.1344000000000001</v>
      </c>
      <c r="J9" s="37">
        <v>16400</v>
      </c>
      <c r="K9" s="5">
        <v>850</v>
      </c>
      <c r="L9" s="5">
        <v>859</v>
      </c>
      <c r="M9" s="5">
        <v>838</v>
      </c>
      <c r="N9" s="5">
        <v>859</v>
      </c>
    </row>
    <row r="10" spans="1:14" x14ac:dyDescent="0.3">
      <c r="A10" s="5">
        <v>7</v>
      </c>
      <c r="B10" s="5">
        <v>1032</v>
      </c>
      <c r="C10" s="5">
        <v>303.73</v>
      </c>
      <c r="D10" s="5" t="s">
        <v>172</v>
      </c>
      <c r="E10" s="37">
        <v>304.85000000000002</v>
      </c>
      <c r="F10" s="37">
        <v>3.49E-2</v>
      </c>
      <c r="G10" s="38">
        <v>4.2900000000000001E-2</v>
      </c>
      <c r="H10" s="37">
        <v>18</v>
      </c>
      <c r="I10" s="38">
        <v>6.5732999999999997</v>
      </c>
      <c r="J10" s="37">
        <v>6980</v>
      </c>
      <c r="K10" s="5">
        <v>1030</v>
      </c>
      <c r="L10" s="5">
        <v>1034</v>
      </c>
      <c r="M10" s="5">
        <v>1017</v>
      </c>
      <c r="N10" s="5">
        <v>1034</v>
      </c>
    </row>
    <row r="11" spans="1:14" x14ac:dyDescent="0.3">
      <c r="A11" s="5">
        <v>8</v>
      </c>
      <c r="B11" s="5">
        <v>1130</v>
      </c>
      <c r="C11" s="5">
        <v>332.6</v>
      </c>
      <c r="D11" s="37" t="s">
        <v>184</v>
      </c>
      <c r="E11" s="37">
        <v>333.03</v>
      </c>
      <c r="F11" s="37">
        <v>1.6899999999999998E-2</v>
      </c>
      <c r="G11" s="38">
        <v>0.22900000000000001</v>
      </c>
      <c r="H11" s="37">
        <v>76.900000000000006</v>
      </c>
      <c r="I11" s="38">
        <v>2.0947</v>
      </c>
      <c r="J11" s="37">
        <v>13000</v>
      </c>
      <c r="K11" s="5">
        <v>1128</v>
      </c>
      <c r="L11" s="5">
        <v>1137</v>
      </c>
      <c r="M11" s="5">
        <v>1123</v>
      </c>
      <c r="N11" s="5">
        <v>1144</v>
      </c>
    </row>
    <row r="12" spans="1:14" x14ac:dyDescent="0.3">
      <c r="A12" s="5">
        <v>9</v>
      </c>
      <c r="B12" s="5">
        <v>1342</v>
      </c>
      <c r="C12" s="5">
        <v>395.05</v>
      </c>
      <c r="D12" s="5" t="s">
        <v>183</v>
      </c>
      <c r="E12" s="37">
        <v>396.33</v>
      </c>
      <c r="F12" s="37">
        <v>1.15E-2</v>
      </c>
      <c r="G12" s="38">
        <v>6.4000000000000001E-2</v>
      </c>
      <c r="H12" s="37">
        <v>184</v>
      </c>
      <c r="I12" s="38">
        <v>0.98450000000000004</v>
      </c>
      <c r="J12" s="37">
        <v>16500</v>
      </c>
      <c r="K12" s="5">
        <v>1340</v>
      </c>
      <c r="L12" s="5">
        <v>1352</v>
      </c>
      <c r="M12" s="5">
        <v>1340</v>
      </c>
      <c r="N12" s="5">
        <v>1364</v>
      </c>
    </row>
    <row r="13" spans="1:14" x14ac:dyDescent="0.3">
      <c r="A13" s="5">
        <v>10</v>
      </c>
      <c r="B13" s="5">
        <v>1407</v>
      </c>
      <c r="C13" s="5">
        <v>414.2</v>
      </c>
      <c r="D13" s="5" t="s">
        <v>173</v>
      </c>
      <c r="E13" s="5">
        <v>414.8</v>
      </c>
      <c r="F13" s="37">
        <v>3.4099999999999998E-2</v>
      </c>
      <c r="G13" s="38">
        <v>0.83299999999999996</v>
      </c>
      <c r="H13" s="37">
        <v>53.9</v>
      </c>
      <c r="I13" s="38">
        <v>2.0815999999999999</v>
      </c>
      <c r="J13" s="37">
        <v>6330</v>
      </c>
      <c r="K13" s="5">
        <v>1405</v>
      </c>
      <c r="L13" s="5">
        <v>1409</v>
      </c>
      <c r="M13" s="5">
        <v>1389</v>
      </c>
      <c r="N13" s="5">
        <v>1409</v>
      </c>
    </row>
    <row r="14" spans="1:14" x14ac:dyDescent="0.3">
      <c r="A14" s="5">
        <v>11</v>
      </c>
      <c r="B14" s="5">
        <v>1416</v>
      </c>
      <c r="C14" s="5">
        <v>416.85</v>
      </c>
      <c r="D14" s="5" t="s">
        <v>42</v>
      </c>
      <c r="E14" s="5">
        <v>417.6</v>
      </c>
      <c r="F14" s="37">
        <v>2.3700000000000001E-3</v>
      </c>
      <c r="G14" s="38">
        <v>1.5E-3</v>
      </c>
      <c r="H14" s="37">
        <v>105</v>
      </c>
      <c r="I14" s="38">
        <v>1.1684000000000001</v>
      </c>
      <c r="J14" s="37">
        <v>7630</v>
      </c>
      <c r="K14" s="5">
        <v>1414</v>
      </c>
      <c r="L14" s="5">
        <v>1419</v>
      </c>
      <c r="M14" s="5">
        <v>1414</v>
      </c>
      <c r="N14" s="5">
        <v>1419</v>
      </c>
    </row>
    <row r="15" spans="1:14" x14ac:dyDescent="0.3">
      <c r="A15" s="5">
        <v>12</v>
      </c>
      <c r="B15" s="5">
        <v>1454</v>
      </c>
      <c r="C15" s="5">
        <v>428.05</v>
      </c>
      <c r="D15" s="5" t="s">
        <v>30</v>
      </c>
      <c r="E15" s="5">
        <v>427.88</v>
      </c>
      <c r="F15" s="37">
        <v>2.76</v>
      </c>
      <c r="G15" s="38">
        <v>0.29599999999999999</v>
      </c>
      <c r="H15" s="37">
        <v>1580</v>
      </c>
      <c r="I15" s="38">
        <v>0.12130000000000001</v>
      </c>
      <c r="J15" s="37">
        <v>19200</v>
      </c>
      <c r="K15" s="5">
        <v>1447</v>
      </c>
      <c r="L15" s="5">
        <v>1460</v>
      </c>
      <c r="M15" s="5">
        <v>1447</v>
      </c>
      <c r="N15" s="5">
        <v>1460</v>
      </c>
    </row>
    <row r="16" spans="1:14" x14ac:dyDescent="0.3">
      <c r="A16" s="5">
        <v>13</v>
      </c>
      <c r="B16" s="5">
        <v>1688</v>
      </c>
      <c r="C16" s="5">
        <v>496.98</v>
      </c>
      <c r="D16" s="5" t="s">
        <v>31</v>
      </c>
      <c r="E16" s="5">
        <v>497.08</v>
      </c>
      <c r="F16" s="37">
        <v>0.107</v>
      </c>
      <c r="G16" s="38">
        <v>0.91</v>
      </c>
      <c r="H16" s="37">
        <v>20300</v>
      </c>
      <c r="I16" s="38">
        <v>1.34E-2</v>
      </c>
      <c r="J16" s="37">
        <v>47200</v>
      </c>
      <c r="K16" s="5">
        <v>1679</v>
      </c>
      <c r="L16" s="5">
        <v>1699</v>
      </c>
      <c r="M16" s="5">
        <v>1677</v>
      </c>
      <c r="N16" s="5">
        <v>1711</v>
      </c>
    </row>
    <row r="17" spans="1:14" x14ac:dyDescent="0.3">
      <c r="A17" s="5">
        <v>14</v>
      </c>
      <c r="B17" s="5">
        <v>1738</v>
      </c>
      <c r="C17" s="5">
        <v>511.71</v>
      </c>
      <c r="D17" s="5" t="s">
        <v>13</v>
      </c>
      <c r="E17" s="5">
        <v>511.86</v>
      </c>
      <c r="F17" s="37">
        <v>9.4399999999999998E-7</v>
      </c>
      <c r="G17" s="38">
        <v>0.20399999999999999</v>
      </c>
      <c r="H17" s="37">
        <v>32000</v>
      </c>
      <c r="I17" s="38">
        <v>9.2999999999999992E-3</v>
      </c>
      <c r="J17" s="37">
        <v>60500</v>
      </c>
      <c r="K17" s="5">
        <v>1727</v>
      </c>
      <c r="L17" s="5">
        <v>1749</v>
      </c>
      <c r="M17" s="5">
        <v>1720</v>
      </c>
      <c r="N17" s="5">
        <v>1749</v>
      </c>
    </row>
    <row r="18" spans="1:14" x14ac:dyDescent="0.3">
      <c r="A18" s="5">
        <v>15</v>
      </c>
      <c r="B18" s="5">
        <v>1790</v>
      </c>
      <c r="C18" s="5">
        <v>527.03</v>
      </c>
      <c r="D18" s="5" t="s">
        <v>32</v>
      </c>
      <c r="E18" s="5">
        <v>528.79</v>
      </c>
      <c r="F18" s="37">
        <v>7.5199999999999998E-3</v>
      </c>
      <c r="G18" s="38">
        <v>5.9999999999999995E-4</v>
      </c>
      <c r="H18" s="37">
        <v>8.0299999999999994</v>
      </c>
      <c r="I18" s="38">
        <v>15.004799999999999</v>
      </c>
      <c r="J18" s="37">
        <v>7260</v>
      </c>
      <c r="K18" s="5">
        <v>1788</v>
      </c>
      <c r="L18" s="5">
        <v>1793</v>
      </c>
      <c r="M18" s="5">
        <v>1788</v>
      </c>
      <c r="N18" s="5">
        <v>1824</v>
      </c>
    </row>
    <row r="19" spans="1:14" x14ac:dyDescent="0.3">
      <c r="A19" s="5">
        <v>16</v>
      </c>
      <c r="B19" s="5">
        <v>1912</v>
      </c>
      <c r="C19" s="5">
        <v>562.97</v>
      </c>
      <c r="D19" s="5" t="s">
        <v>10</v>
      </c>
      <c r="E19" s="5">
        <v>561.88</v>
      </c>
      <c r="F19" s="37">
        <v>9.5799999999999996E-2</v>
      </c>
      <c r="G19" s="38">
        <v>1E-4</v>
      </c>
      <c r="H19" s="37">
        <v>650</v>
      </c>
      <c r="I19" s="38">
        <v>0.33889999999999998</v>
      </c>
      <c r="J19" s="37">
        <v>24600</v>
      </c>
      <c r="K19" s="5">
        <v>1909</v>
      </c>
      <c r="L19" s="5">
        <v>1927</v>
      </c>
      <c r="M19" s="5">
        <v>1905</v>
      </c>
      <c r="N19" s="5">
        <v>1937</v>
      </c>
    </row>
    <row r="20" spans="1:14" x14ac:dyDescent="0.3">
      <c r="A20" s="5">
        <v>17</v>
      </c>
      <c r="B20" s="5">
        <v>1933</v>
      </c>
      <c r="C20" s="5">
        <v>569.16</v>
      </c>
      <c r="D20" s="5" t="s">
        <v>185</v>
      </c>
      <c r="E20" s="5">
        <v>571.5</v>
      </c>
      <c r="F20" s="37">
        <v>2.9499999999999999E-3</v>
      </c>
      <c r="G20" s="38">
        <v>1.4E-3</v>
      </c>
      <c r="H20" s="37">
        <v>1480</v>
      </c>
      <c r="I20" s="38">
        <v>0.1343</v>
      </c>
      <c r="J20" s="37">
        <v>20400</v>
      </c>
      <c r="K20" s="5">
        <v>1931</v>
      </c>
      <c r="L20" s="5">
        <v>1945</v>
      </c>
      <c r="M20" s="5">
        <v>1905</v>
      </c>
      <c r="N20" s="5">
        <v>1952</v>
      </c>
    </row>
    <row r="21" spans="1:14" x14ac:dyDescent="0.3">
      <c r="A21" s="5">
        <v>18</v>
      </c>
      <c r="B21" s="5">
        <v>2040</v>
      </c>
      <c r="C21" s="5">
        <v>600.67999999999995</v>
      </c>
      <c r="D21" s="5" t="s">
        <v>30</v>
      </c>
      <c r="E21" s="5">
        <v>600.6</v>
      </c>
      <c r="F21" s="37">
        <v>2.76</v>
      </c>
      <c r="G21" s="38">
        <v>0.17899999999999999</v>
      </c>
      <c r="H21" s="37">
        <v>1020</v>
      </c>
      <c r="I21" s="38">
        <v>0.157</v>
      </c>
      <c r="J21" s="37">
        <v>13300</v>
      </c>
      <c r="K21" s="5">
        <v>2036</v>
      </c>
      <c r="L21" s="5">
        <v>2045</v>
      </c>
      <c r="M21" s="5">
        <v>2036</v>
      </c>
      <c r="N21" s="5">
        <v>2130</v>
      </c>
    </row>
    <row r="22" spans="1:14" x14ac:dyDescent="0.3">
      <c r="A22" s="5">
        <v>19</v>
      </c>
      <c r="B22" s="5">
        <v>2054</v>
      </c>
      <c r="C22" s="5">
        <v>604.79999999999995</v>
      </c>
      <c r="D22" s="5" t="s">
        <v>30</v>
      </c>
      <c r="E22" s="5">
        <v>606.72</v>
      </c>
      <c r="F22" s="37">
        <v>2.76</v>
      </c>
      <c r="G22" s="38">
        <v>5.0299999999999997E-2</v>
      </c>
      <c r="H22" s="37">
        <v>9240</v>
      </c>
      <c r="I22" s="38">
        <v>2.5700000000000001E-2</v>
      </c>
      <c r="J22" s="37">
        <v>32700</v>
      </c>
      <c r="K22" s="5">
        <v>2046</v>
      </c>
      <c r="L22" s="5">
        <v>2064</v>
      </c>
      <c r="M22" s="5">
        <v>2037</v>
      </c>
      <c r="N22" s="5">
        <v>2130</v>
      </c>
    </row>
    <row r="23" spans="1:14" x14ac:dyDescent="0.3">
      <c r="A23" s="5">
        <v>20</v>
      </c>
      <c r="B23" s="5">
        <v>2073</v>
      </c>
      <c r="C23" s="5">
        <v>610.4</v>
      </c>
      <c r="D23" s="5" t="s">
        <v>31</v>
      </c>
      <c r="E23" s="5">
        <v>610.33000000000004</v>
      </c>
      <c r="F23" s="37">
        <v>0.107</v>
      </c>
      <c r="G23" s="38">
        <v>5.7599999999999998E-2</v>
      </c>
      <c r="H23" s="37">
        <v>943</v>
      </c>
      <c r="I23" s="38">
        <v>0.18609999999999999</v>
      </c>
      <c r="J23" s="37">
        <v>15900</v>
      </c>
      <c r="K23" s="5">
        <v>2066</v>
      </c>
      <c r="L23" s="5">
        <v>2077</v>
      </c>
      <c r="M23" s="5">
        <v>2037</v>
      </c>
      <c r="N23" s="5">
        <v>2130</v>
      </c>
    </row>
    <row r="24" spans="1:14" x14ac:dyDescent="0.3">
      <c r="A24" s="5">
        <v>21</v>
      </c>
      <c r="B24" s="5">
        <v>2092</v>
      </c>
      <c r="C24" s="5">
        <v>616</v>
      </c>
      <c r="D24" s="5" t="s">
        <v>42</v>
      </c>
      <c r="E24" s="5">
        <v>617.97</v>
      </c>
      <c r="F24" s="37">
        <v>2.3700000000000001E-3</v>
      </c>
      <c r="G24" s="38">
        <v>5.4000000000000003E-3</v>
      </c>
      <c r="H24" s="37">
        <v>463</v>
      </c>
      <c r="I24" s="38">
        <v>0.37959999999999999</v>
      </c>
      <c r="J24" s="37">
        <v>15700</v>
      </c>
      <c r="K24" s="5">
        <v>2087</v>
      </c>
      <c r="L24" s="5">
        <v>2098</v>
      </c>
      <c r="M24" s="5">
        <v>2037</v>
      </c>
      <c r="N24" s="5">
        <v>2130</v>
      </c>
    </row>
    <row r="25" spans="1:14" x14ac:dyDescent="0.3">
      <c r="A25" s="5">
        <v>22</v>
      </c>
      <c r="B25" s="5">
        <v>2113</v>
      </c>
      <c r="C25" s="5">
        <v>622.17999999999995</v>
      </c>
      <c r="D25" s="5" t="s">
        <v>77</v>
      </c>
      <c r="E25" s="5">
        <v>621.20000000000005</v>
      </c>
      <c r="F25" s="37">
        <v>2.6200000000000003E-4</v>
      </c>
      <c r="G25" s="38">
        <v>1.5800000000000002E-2</v>
      </c>
      <c r="H25" s="37">
        <v>15000</v>
      </c>
      <c r="I25" s="38">
        <v>1.89E-2</v>
      </c>
      <c r="J25" s="37">
        <v>47600</v>
      </c>
      <c r="K25" s="5">
        <v>2103</v>
      </c>
      <c r="L25" s="5">
        <v>2128</v>
      </c>
      <c r="M25" s="5">
        <v>2037</v>
      </c>
      <c r="N25" s="5">
        <v>2130</v>
      </c>
    </row>
    <row r="26" spans="1:14" x14ac:dyDescent="0.3">
      <c r="A26" s="5">
        <v>23</v>
      </c>
      <c r="B26" s="5">
        <v>2247</v>
      </c>
      <c r="C26" s="5">
        <v>661.66</v>
      </c>
      <c r="D26" s="5" t="s">
        <v>16</v>
      </c>
      <c r="E26" s="5">
        <v>661.66</v>
      </c>
      <c r="F26" s="37">
        <v>30.1</v>
      </c>
      <c r="G26" s="38">
        <v>0.85099999999999998</v>
      </c>
      <c r="H26" s="37">
        <v>163000</v>
      </c>
      <c r="I26" s="38">
        <v>2.8999999999999998E-3</v>
      </c>
      <c r="J26" s="37">
        <v>192000</v>
      </c>
      <c r="K26" s="5">
        <v>2235</v>
      </c>
      <c r="L26" s="5">
        <v>2259</v>
      </c>
      <c r="M26" s="5">
        <v>2225</v>
      </c>
      <c r="N26" s="5">
        <v>2266</v>
      </c>
    </row>
    <row r="27" spans="1:14" x14ac:dyDescent="0.3">
      <c r="A27" s="5">
        <v>24</v>
      </c>
      <c r="B27" s="5">
        <v>2366</v>
      </c>
      <c r="C27" s="5">
        <v>696.72</v>
      </c>
      <c r="D27" s="5" t="s">
        <v>24</v>
      </c>
      <c r="E27" s="5">
        <v>696.51</v>
      </c>
      <c r="F27" s="37">
        <v>3.29E-5</v>
      </c>
      <c r="G27" s="38">
        <v>1.34E-2</v>
      </c>
      <c r="H27" s="37">
        <v>25200</v>
      </c>
      <c r="I27" s="38">
        <v>1.17E-2</v>
      </c>
      <c r="J27" s="37">
        <v>56200</v>
      </c>
      <c r="K27" s="5">
        <v>2354</v>
      </c>
      <c r="L27" s="5">
        <v>2381</v>
      </c>
      <c r="M27" s="5">
        <v>2340</v>
      </c>
      <c r="N27" s="5">
        <v>2381</v>
      </c>
    </row>
    <row r="28" spans="1:14" x14ac:dyDescent="0.3">
      <c r="A28" s="5">
        <v>25</v>
      </c>
      <c r="B28" s="5">
        <v>2460</v>
      </c>
      <c r="C28" s="5">
        <v>724.41</v>
      </c>
      <c r="D28" s="5" t="s">
        <v>77</v>
      </c>
      <c r="E28" s="5">
        <v>727.2</v>
      </c>
      <c r="F28" s="37">
        <v>2.6200000000000003E-4</v>
      </c>
      <c r="G28" s="38">
        <v>3.2000000000000001E-2</v>
      </c>
      <c r="H28" s="37">
        <v>166000</v>
      </c>
      <c r="I28" s="38">
        <v>2.8E-3</v>
      </c>
      <c r="J28" s="37">
        <v>193000</v>
      </c>
      <c r="K28" s="5">
        <v>2447</v>
      </c>
      <c r="L28" s="5">
        <v>2472</v>
      </c>
      <c r="M28" s="5">
        <v>2414</v>
      </c>
      <c r="N28" s="5">
        <v>2472</v>
      </c>
    </row>
    <row r="29" spans="1:14" x14ac:dyDescent="0.3">
      <c r="A29" s="5">
        <v>26</v>
      </c>
      <c r="B29" s="5">
        <v>2570</v>
      </c>
      <c r="C29" s="5">
        <v>756.81</v>
      </c>
      <c r="D29" s="5" t="s">
        <v>17</v>
      </c>
      <c r="E29" s="5">
        <v>756.73</v>
      </c>
      <c r="F29" s="37">
        <v>0.17499999999999999</v>
      </c>
      <c r="G29" s="38">
        <v>0.54459999999999997</v>
      </c>
      <c r="H29" s="37">
        <v>205000</v>
      </c>
      <c r="I29" s="38">
        <v>2.3999999999999998E-3</v>
      </c>
      <c r="J29" s="37">
        <v>227000</v>
      </c>
      <c r="K29" s="5">
        <v>2558</v>
      </c>
      <c r="L29" s="5">
        <v>2582</v>
      </c>
      <c r="M29" s="5">
        <v>2557</v>
      </c>
      <c r="N29" s="5">
        <v>2687</v>
      </c>
    </row>
    <row r="30" spans="1:14" x14ac:dyDescent="0.3">
      <c r="A30" s="5">
        <v>27</v>
      </c>
      <c r="B30" s="5">
        <v>2601</v>
      </c>
      <c r="C30" s="5">
        <v>765.95</v>
      </c>
      <c r="D30" s="5" t="s">
        <v>10</v>
      </c>
      <c r="E30" s="5">
        <v>765.81</v>
      </c>
      <c r="F30" s="37">
        <v>9.5799999999999996E-2</v>
      </c>
      <c r="G30" s="38">
        <v>0.99809999999999999</v>
      </c>
      <c r="H30" s="37">
        <v>789000</v>
      </c>
      <c r="I30" s="38">
        <v>1.1000000000000001E-3</v>
      </c>
      <c r="J30" s="37">
        <v>804000</v>
      </c>
      <c r="K30" s="5">
        <v>2589</v>
      </c>
      <c r="L30" s="5">
        <v>2614</v>
      </c>
      <c r="M30" s="5">
        <v>2557</v>
      </c>
      <c r="N30" s="5">
        <v>2687</v>
      </c>
    </row>
    <row r="31" spans="1:14" x14ac:dyDescent="0.3">
      <c r="A31" s="5">
        <v>28</v>
      </c>
      <c r="B31" s="5">
        <v>2704</v>
      </c>
      <c r="C31" s="5">
        <v>796.29</v>
      </c>
      <c r="D31" s="5" t="s">
        <v>28</v>
      </c>
      <c r="E31" s="5">
        <v>793.3</v>
      </c>
      <c r="F31" s="37">
        <v>7.4599999999999996E-3</v>
      </c>
      <c r="G31" s="38">
        <v>2.0000000000000001E-4</v>
      </c>
      <c r="H31" s="37">
        <v>7930</v>
      </c>
      <c r="I31" s="38">
        <v>1.2699999999999999E-2</v>
      </c>
      <c r="J31" s="37">
        <v>9070</v>
      </c>
      <c r="K31" s="5">
        <v>2693</v>
      </c>
      <c r="L31" s="5">
        <v>2716</v>
      </c>
      <c r="M31" s="5">
        <v>2693</v>
      </c>
      <c r="N31" s="5">
        <v>2810</v>
      </c>
    </row>
    <row r="32" spans="1:14" x14ac:dyDescent="0.3">
      <c r="A32" s="5">
        <v>29</v>
      </c>
      <c r="B32" s="5">
        <v>2724</v>
      </c>
      <c r="C32" s="5">
        <v>802.18</v>
      </c>
      <c r="D32" s="5" t="s">
        <v>15</v>
      </c>
      <c r="E32" s="5">
        <v>801.95</v>
      </c>
      <c r="F32" s="37">
        <v>2.06</v>
      </c>
      <c r="G32" s="38">
        <v>8.6900000000000005E-2</v>
      </c>
      <c r="H32" s="37">
        <v>793</v>
      </c>
      <c r="I32" s="38">
        <v>5.8000000000000003E-2</v>
      </c>
      <c r="J32" s="37">
        <v>1460</v>
      </c>
      <c r="K32" s="5">
        <v>2716</v>
      </c>
      <c r="L32" s="5">
        <v>2731</v>
      </c>
      <c r="M32" s="5">
        <v>2693</v>
      </c>
      <c r="N32" s="5">
        <v>2810</v>
      </c>
    </row>
    <row r="33" spans="1:14" x14ac:dyDescent="0.3">
      <c r="A33" s="5">
        <v>30</v>
      </c>
      <c r="B33" s="5">
        <v>2966</v>
      </c>
      <c r="C33" s="5">
        <v>873.47</v>
      </c>
      <c r="D33" s="5" t="s">
        <v>42</v>
      </c>
      <c r="E33" s="5">
        <v>875.33</v>
      </c>
      <c r="F33" s="37">
        <v>2.3700000000000001E-3</v>
      </c>
      <c r="G33" s="38">
        <v>4.5100000000000001E-2</v>
      </c>
      <c r="H33" s="37">
        <v>762</v>
      </c>
      <c r="I33" s="38">
        <v>5.5599999999999997E-2</v>
      </c>
      <c r="J33" s="37">
        <v>1280</v>
      </c>
      <c r="K33" s="5">
        <v>2960</v>
      </c>
      <c r="L33" s="5">
        <v>2976</v>
      </c>
      <c r="M33" s="5">
        <v>2905</v>
      </c>
      <c r="N33" s="5">
        <v>2981</v>
      </c>
    </row>
    <row r="34" spans="1:14" x14ac:dyDescent="0.3">
      <c r="A34" s="5">
        <v>31</v>
      </c>
      <c r="B34" s="5">
        <v>3070</v>
      </c>
      <c r="C34" s="5">
        <v>904.11</v>
      </c>
      <c r="D34" s="5" t="s">
        <v>19</v>
      </c>
      <c r="E34" s="5">
        <v>904.08</v>
      </c>
      <c r="F34" s="37">
        <v>8.59</v>
      </c>
      <c r="G34" s="38">
        <v>8.8999999999999999E-3</v>
      </c>
      <c r="H34" s="37">
        <v>1.71</v>
      </c>
      <c r="I34" s="38">
        <v>12.2784</v>
      </c>
      <c r="J34" s="37">
        <v>221</v>
      </c>
      <c r="K34" s="5">
        <v>3068</v>
      </c>
      <c r="L34" s="5">
        <v>3074</v>
      </c>
      <c r="M34" s="5">
        <v>3060</v>
      </c>
      <c r="N34" s="5">
        <v>3074</v>
      </c>
    </row>
    <row r="35" spans="1:14" x14ac:dyDescent="0.3">
      <c r="A35" s="5">
        <v>32</v>
      </c>
      <c r="B35" s="5">
        <v>3117</v>
      </c>
      <c r="C35" s="5">
        <v>917.96</v>
      </c>
      <c r="D35" s="5" t="s">
        <v>174</v>
      </c>
      <c r="E35" s="5">
        <v>919.55</v>
      </c>
      <c r="F35" s="37">
        <v>4.5900000000000003E-3</v>
      </c>
      <c r="G35" s="38">
        <v>2.6599999999999999E-2</v>
      </c>
      <c r="H35" s="37">
        <v>3.05</v>
      </c>
      <c r="I35" s="38">
        <v>6.8940000000000001</v>
      </c>
      <c r="J35" s="37">
        <v>222</v>
      </c>
      <c r="K35" s="5">
        <v>3113</v>
      </c>
      <c r="L35" s="5">
        <v>3119</v>
      </c>
      <c r="M35" s="5">
        <v>3113</v>
      </c>
      <c r="N35" s="5">
        <v>3130</v>
      </c>
    </row>
    <row r="36" spans="1:14" x14ac:dyDescent="0.3">
      <c r="A36" s="5">
        <v>33</v>
      </c>
      <c r="B36" s="5">
        <v>3250</v>
      </c>
      <c r="C36" s="5">
        <v>957.14</v>
      </c>
      <c r="D36" s="5" t="s">
        <v>77</v>
      </c>
      <c r="E36" s="5">
        <v>954.55</v>
      </c>
      <c r="F36" s="37">
        <v>2.6200000000000003E-4</v>
      </c>
      <c r="G36" s="38">
        <v>0.17599999999999999</v>
      </c>
      <c r="H36" s="37">
        <v>57.4</v>
      </c>
      <c r="I36" s="38">
        <v>0.41789999999999999</v>
      </c>
      <c r="J36" s="37">
        <v>316</v>
      </c>
      <c r="K36" s="5">
        <v>3248</v>
      </c>
      <c r="L36" s="5">
        <v>3258</v>
      </c>
      <c r="M36" s="5">
        <v>3232</v>
      </c>
      <c r="N36" s="5">
        <v>3258</v>
      </c>
    </row>
    <row r="37" spans="1:14" x14ac:dyDescent="0.3">
      <c r="A37" s="5">
        <v>34</v>
      </c>
      <c r="B37" s="5">
        <v>3303</v>
      </c>
      <c r="C37" s="5">
        <v>972.75</v>
      </c>
      <c r="D37" s="5" t="s">
        <v>43</v>
      </c>
      <c r="E37" s="5">
        <v>972.6</v>
      </c>
      <c r="F37" s="37">
        <v>7.4899999999999999E-4</v>
      </c>
      <c r="G37" s="38">
        <v>1.21E-2</v>
      </c>
      <c r="H37" s="37">
        <v>28.9</v>
      </c>
      <c r="I37" s="38">
        <v>0.85050000000000003</v>
      </c>
      <c r="J37" s="37">
        <v>318</v>
      </c>
      <c r="K37" s="5">
        <v>3301</v>
      </c>
      <c r="L37" s="5">
        <v>3313</v>
      </c>
      <c r="M37" s="5">
        <v>3294</v>
      </c>
      <c r="N37" s="5">
        <v>3313</v>
      </c>
    </row>
    <row r="38" spans="1:14" x14ac:dyDescent="0.3">
      <c r="A38" s="5">
        <v>35</v>
      </c>
      <c r="B38" s="5">
        <v>3444</v>
      </c>
      <c r="C38" s="5">
        <v>1014.29</v>
      </c>
      <c r="D38" s="5" t="s">
        <v>21</v>
      </c>
      <c r="E38" s="5">
        <v>1009.78</v>
      </c>
      <c r="F38" s="37">
        <v>6.3499999999999999E-5</v>
      </c>
      <c r="G38" s="38">
        <v>0.29799999999999999</v>
      </c>
      <c r="H38" s="37">
        <v>3.75</v>
      </c>
      <c r="I38" s="38">
        <v>8.1480999999999995</v>
      </c>
      <c r="J38" s="37">
        <v>468</v>
      </c>
      <c r="K38" s="5">
        <v>3442</v>
      </c>
      <c r="L38" s="5">
        <v>3461</v>
      </c>
      <c r="M38" s="5">
        <v>3437</v>
      </c>
      <c r="N38" s="5">
        <v>3461</v>
      </c>
    </row>
    <row r="39" spans="1:14" x14ac:dyDescent="0.3">
      <c r="A39" s="5">
        <v>36</v>
      </c>
      <c r="B39" s="5">
        <v>3567</v>
      </c>
      <c r="C39" s="5">
        <v>1050.52</v>
      </c>
      <c r="D39" s="5" t="s">
        <v>13</v>
      </c>
      <c r="E39" s="5">
        <v>1050.4100000000001</v>
      </c>
      <c r="F39" s="37">
        <v>9.4399999999999998E-7</v>
      </c>
      <c r="G39" s="38">
        <v>1.5599999999999999E-2</v>
      </c>
      <c r="H39" s="37">
        <v>2210</v>
      </c>
      <c r="I39" s="38">
        <v>2.6100000000000002E-2</v>
      </c>
      <c r="J39" s="37">
        <v>2770</v>
      </c>
      <c r="K39" s="5">
        <v>3555</v>
      </c>
      <c r="L39" s="5">
        <v>3580</v>
      </c>
      <c r="M39" s="5">
        <v>3555</v>
      </c>
      <c r="N39" s="5">
        <v>3622</v>
      </c>
    </row>
    <row r="40" spans="1:14" x14ac:dyDescent="0.3">
      <c r="A40" s="5">
        <v>37</v>
      </c>
      <c r="B40" s="5">
        <v>3652</v>
      </c>
      <c r="C40" s="5">
        <v>1075.56</v>
      </c>
      <c r="D40" s="5" t="s">
        <v>186</v>
      </c>
      <c r="E40" s="5">
        <v>1077</v>
      </c>
      <c r="F40" s="37">
        <v>5.0999999999999997E-2</v>
      </c>
      <c r="G40" s="38">
        <v>8.6400000000000005E-2</v>
      </c>
      <c r="H40" s="37">
        <v>26.2</v>
      </c>
      <c r="I40" s="38">
        <v>0.64159999999999995</v>
      </c>
      <c r="J40" s="37">
        <v>154</v>
      </c>
      <c r="K40" s="5">
        <v>3649</v>
      </c>
      <c r="L40" s="5">
        <v>3655</v>
      </c>
      <c r="M40" s="5">
        <v>3649</v>
      </c>
      <c r="N40" s="5">
        <v>3658</v>
      </c>
    </row>
    <row r="41" spans="1:14" x14ac:dyDescent="0.3">
      <c r="A41" s="5">
        <v>38</v>
      </c>
      <c r="B41" s="5">
        <v>3694</v>
      </c>
      <c r="C41" s="5">
        <v>1087.94</v>
      </c>
      <c r="D41" s="5" t="s">
        <v>187</v>
      </c>
      <c r="E41" s="5">
        <v>1087.68</v>
      </c>
      <c r="F41" s="37">
        <v>7.3800000000000003E-3</v>
      </c>
      <c r="G41" s="38">
        <v>1.6000000000000001E-3</v>
      </c>
      <c r="H41" s="37">
        <v>18.2</v>
      </c>
      <c r="I41" s="38">
        <v>1.0096000000000001</v>
      </c>
      <c r="J41" s="37">
        <v>177</v>
      </c>
      <c r="K41" s="5">
        <v>3691</v>
      </c>
      <c r="L41" s="5">
        <v>3698</v>
      </c>
      <c r="M41" s="5">
        <v>3675</v>
      </c>
      <c r="N41" s="5">
        <v>3703</v>
      </c>
    </row>
    <row r="42" spans="1:14" x14ac:dyDescent="0.3">
      <c r="A42" s="5">
        <v>39</v>
      </c>
      <c r="B42" s="5">
        <v>3732</v>
      </c>
      <c r="C42" s="5">
        <v>1099.1300000000001</v>
      </c>
      <c r="D42" s="5" t="s">
        <v>188</v>
      </c>
      <c r="E42" s="5">
        <v>1099.25</v>
      </c>
      <c r="F42" s="37">
        <v>0.122</v>
      </c>
      <c r="G42" s="38">
        <v>0.56499999999999995</v>
      </c>
      <c r="H42" s="37">
        <v>16.399999999999999</v>
      </c>
      <c r="I42" s="38">
        <v>1.651</v>
      </c>
      <c r="J42" s="37">
        <v>376</v>
      </c>
      <c r="K42" s="5">
        <v>3730</v>
      </c>
      <c r="L42" s="5">
        <v>3748</v>
      </c>
      <c r="M42" s="5">
        <v>3730</v>
      </c>
      <c r="N42" s="5">
        <v>3748</v>
      </c>
    </row>
    <row r="43" spans="1:14" x14ac:dyDescent="0.3">
      <c r="A43" s="5">
        <v>40</v>
      </c>
      <c r="B43" s="5">
        <v>3787</v>
      </c>
      <c r="C43" s="5">
        <v>1115.33</v>
      </c>
      <c r="D43" s="5" t="s">
        <v>189</v>
      </c>
      <c r="E43" s="5">
        <v>1115.55</v>
      </c>
      <c r="F43" s="37">
        <v>0.66900000000000004</v>
      </c>
      <c r="G43" s="38">
        <v>0.50600000000000001</v>
      </c>
      <c r="H43" s="37">
        <v>0.373</v>
      </c>
      <c r="I43" s="38">
        <v>48.417999999999999</v>
      </c>
      <c r="J43" s="37">
        <v>163</v>
      </c>
      <c r="K43" s="5">
        <v>3785</v>
      </c>
      <c r="L43" s="5">
        <v>3793</v>
      </c>
      <c r="M43" s="5">
        <v>3767</v>
      </c>
      <c r="N43" s="5">
        <v>3793</v>
      </c>
    </row>
    <row r="44" spans="1:14" x14ac:dyDescent="0.3">
      <c r="A44" s="5">
        <v>41</v>
      </c>
      <c r="B44" s="5">
        <v>3832</v>
      </c>
      <c r="C44" s="5">
        <v>1128.5899999999999</v>
      </c>
      <c r="D44" s="5" t="s">
        <v>13</v>
      </c>
      <c r="E44" s="5">
        <v>1128.07</v>
      </c>
      <c r="F44" s="37">
        <v>9.4399999999999998E-7</v>
      </c>
      <c r="G44" s="38">
        <v>4.0000000000000001E-3</v>
      </c>
      <c r="H44" s="37">
        <v>493</v>
      </c>
      <c r="I44" s="38">
        <v>6.9099999999999995E-2</v>
      </c>
      <c r="J44" s="37">
        <v>827</v>
      </c>
      <c r="K44" s="5">
        <v>3827</v>
      </c>
      <c r="L44" s="5">
        <v>3845</v>
      </c>
      <c r="M44" s="5">
        <v>3818</v>
      </c>
      <c r="N44" s="5">
        <v>3860</v>
      </c>
    </row>
    <row r="45" spans="1:14" x14ac:dyDescent="0.3">
      <c r="A45" s="5">
        <v>42</v>
      </c>
      <c r="B45" s="5">
        <v>3875</v>
      </c>
      <c r="C45" s="5">
        <v>1141.26</v>
      </c>
      <c r="D45" s="5" t="s">
        <v>28</v>
      </c>
      <c r="E45" s="5">
        <v>1140.67</v>
      </c>
      <c r="F45" s="37">
        <v>7.4599999999999996E-3</v>
      </c>
      <c r="G45" s="38">
        <v>7.6E-3</v>
      </c>
      <c r="H45" s="37">
        <v>24.1</v>
      </c>
      <c r="I45" s="38">
        <v>1.0570999999999999</v>
      </c>
      <c r="J45" s="37">
        <v>337</v>
      </c>
      <c r="K45" s="5">
        <v>3869</v>
      </c>
      <c r="L45" s="5">
        <v>3886</v>
      </c>
      <c r="M45" s="5">
        <v>3869</v>
      </c>
      <c r="N45" s="5">
        <v>3896</v>
      </c>
    </row>
    <row r="46" spans="1:14" x14ac:dyDescent="0.3">
      <c r="A46" s="5">
        <v>43</v>
      </c>
      <c r="B46" s="5">
        <v>3914</v>
      </c>
      <c r="C46" s="5">
        <v>1152.75</v>
      </c>
      <c r="D46" s="5" t="s">
        <v>177</v>
      </c>
      <c r="E46" s="5">
        <v>1155.19</v>
      </c>
      <c r="F46" s="37">
        <v>3.7799999999999997E-5</v>
      </c>
      <c r="G46" s="38">
        <v>1.6400000000000001E-2</v>
      </c>
      <c r="H46" s="37">
        <v>4.93</v>
      </c>
      <c r="I46" s="38">
        <v>3.6880000000000002</v>
      </c>
      <c r="J46" s="37">
        <v>168</v>
      </c>
      <c r="K46" s="5">
        <v>3912</v>
      </c>
      <c r="L46" s="5">
        <v>3921</v>
      </c>
      <c r="M46" s="5">
        <v>3902</v>
      </c>
      <c r="N46" s="5">
        <v>3936</v>
      </c>
    </row>
    <row r="47" spans="1:14" x14ac:dyDescent="0.3">
      <c r="A47" s="5">
        <v>44</v>
      </c>
      <c r="B47" s="5">
        <v>3953</v>
      </c>
      <c r="C47" s="5">
        <v>1164.24</v>
      </c>
      <c r="D47" s="5" t="s">
        <v>15</v>
      </c>
      <c r="E47" s="5">
        <v>1167.97</v>
      </c>
      <c r="F47" s="37">
        <v>2.06</v>
      </c>
      <c r="G47" s="38">
        <v>1.7899999999999999E-2</v>
      </c>
      <c r="H47" s="37">
        <v>85.4</v>
      </c>
      <c r="I47" s="38">
        <v>0.28589999999999999</v>
      </c>
      <c r="J47" s="37">
        <v>341</v>
      </c>
      <c r="K47" s="5">
        <v>3951</v>
      </c>
      <c r="L47" s="5">
        <v>3966</v>
      </c>
      <c r="M47" s="5">
        <v>3944</v>
      </c>
      <c r="N47" s="5">
        <v>3966</v>
      </c>
    </row>
    <row r="48" spans="1:14" x14ac:dyDescent="0.3">
      <c r="A48" s="5">
        <v>45</v>
      </c>
      <c r="B48" s="5">
        <v>3966</v>
      </c>
      <c r="C48" s="5">
        <v>1168.06</v>
      </c>
      <c r="D48" s="5" t="s">
        <v>15</v>
      </c>
      <c r="E48" s="5">
        <v>1167.97</v>
      </c>
      <c r="F48" s="37">
        <v>2.06</v>
      </c>
      <c r="G48" s="38">
        <v>1.7899999999999999E-2</v>
      </c>
      <c r="H48" s="37">
        <v>153</v>
      </c>
      <c r="I48" s="38">
        <v>0.1517</v>
      </c>
      <c r="J48" s="37">
        <v>346</v>
      </c>
      <c r="K48" s="5">
        <v>3961</v>
      </c>
      <c r="L48" s="5">
        <v>3972</v>
      </c>
      <c r="M48" s="5">
        <v>3944</v>
      </c>
      <c r="N48" s="5">
        <v>3978</v>
      </c>
    </row>
    <row r="49" spans="1:14" x14ac:dyDescent="0.3">
      <c r="A49" s="5">
        <v>46</v>
      </c>
      <c r="B49" s="5">
        <v>4058</v>
      </c>
      <c r="C49" s="5">
        <v>1195.17</v>
      </c>
      <c r="D49" s="5" t="s">
        <v>13</v>
      </c>
      <c r="E49" s="5">
        <v>1194.54</v>
      </c>
      <c r="F49" s="37">
        <v>9.4399999999999998E-7</v>
      </c>
      <c r="G49" s="38">
        <v>5.9999999999999995E-4</v>
      </c>
      <c r="H49" s="37">
        <v>65.599999999999994</v>
      </c>
      <c r="I49" s="38">
        <v>0.379</v>
      </c>
      <c r="J49" s="37">
        <v>342</v>
      </c>
      <c r="K49" s="5">
        <v>4056</v>
      </c>
      <c r="L49" s="5">
        <v>4076</v>
      </c>
      <c r="M49" s="5">
        <v>4048</v>
      </c>
      <c r="N49" s="5">
        <v>4107</v>
      </c>
    </row>
    <row r="50" spans="1:14" x14ac:dyDescent="0.3">
      <c r="A50" s="5">
        <v>47</v>
      </c>
      <c r="B50" s="5">
        <v>4093</v>
      </c>
      <c r="C50" s="5">
        <v>1205.48</v>
      </c>
      <c r="D50" s="5" t="s">
        <v>33</v>
      </c>
      <c r="E50" s="5">
        <v>1204.67</v>
      </c>
      <c r="F50" s="37">
        <v>0.16</v>
      </c>
      <c r="G50" s="38">
        <v>3.0000000000000001E-3</v>
      </c>
      <c r="H50" s="37">
        <v>609</v>
      </c>
      <c r="I50" s="38">
        <v>5.8000000000000003E-2</v>
      </c>
      <c r="J50" s="37">
        <v>929</v>
      </c>
      <c r="K50" s="5">
        <v>4085</v>
      </c>
      <c r="L50" s="5">
        <v>4108</v>
      </c>
      <c r="M50" s="5">
        <v>4064</v>
      </c>
      <c r="N50" s="5">
        <v>4108</v>
      </c>
    </row>
    <row r="51" spans="1:14" x14ac:dyDescent="0.3">
      <c r="A51" s="5">
        <v>48</v>
      </c>
      <c r="B51" s="5">
        <v>4243</v>
      </c>
      <c r="C51" s="5">
        <v>1249.67</v>
      </c>
      <c r="D51" s="5" t="s">
        <v>178</v>
      </c>
      <c r="E51" s="5">
        <v>1250.67</v>
      </c>
      <c r="F51" s="37">
        <v>3.2400000000000001E-4</v>
      </c>
      <c r="G51" s="38">
        <v>1.12E-2</v>
      </c>
      <c r="H51" s="37">
        <v>14.6</v>
      </c>
      <c r="I51" s="38">
        <v>0.95530000000000004</v>
      </c>
      <c r="J51" s="37">
        <v>104</v>
      </c>
      <c r="K51" s="5">
        <v>4241</v>
      </c>
      <c r="L51" s="5">
        <v>4246</v>
      </c>
      <c r="M51" s="5">
        <v>4235</v>
      </c>
      <c r="N51" s="5">
        <v>4246</v>
      </c>
    </row>
    <row r="52" spans="1:14" x14ac:dyDescent="0.3">
      <c r="A52" s="5">
        <v>49</v>
      </c>
      <c r="B52" s="5">
        <v>4329</v>
      </c>
      <c r="C52" s="5">
        <v>1275</v>
      </c>
      <c r="D52" s="5" t="s">
        <v>190</v>
      </c>
      <c r="E52" s="5">
        <v>1274.53</v>
      </c>
      <c r="F52" s="37">
        <v>2.6</v>
      </c>
      <c r="G52" s="38">
        <v>0.99939999999999996</v>
      </c>
      <c r="H52" s="37">
        <v>77.599999999999994</v>
      </c>
      <c r="I52" s="38">
        <v>0.31080000000000002</v>
      </c>
      <c r="J52" s="37">
        <v>330</v>
      </c>
      <c r="K52" s="5">
        <v>4324</v>
      </c>
      <c r="L52" s="5">
        <v>4340</v>
      </c>
      <c r="M52" s="5">
        <v>4324</v>
      </c>
      <c r="N52" s="5">
        <v>4352</v>
      </c>
    </row>
    <row r="53" spans="1:14" x14ac:dyDescent="0.3">
      <c r="A53" s="5">
        <v>50</v>
      </c>
      <c r="B53" s="5">
        <v>4460</v>
      </c>
      <c r="C53" s="5">
        <v>1313.59</v>
      </c>
      <c r="D53" s="5" t="s">
        <v>191</v>
      </c>
      <c r="E53" s="5">
        <v>1317.47</v>
      </c>
      <c r="F53" s="37">
        <v>4.0299999999999997E-3</v>
      </c>
      <c r="G53" s="38">
        <v>0.26500000000000001</v>
      </c>
      <c r="H53" s="37">
        <v>16.3</v>
      </c>
      <c r="I53" s="38">
        <v>1.1372</v>
      </c>
      <c r="J53" s="37">
        <v>179</v>
      </c>
      <c r="K53" s="5">
        <v>4458</v>
      </c>
      <c r="L53" s="5">
        <v>4470</v>
      </c>
      <c r="M53" s="5">
        <v>4445</v>
      </c>
      <c r="N53" s="5">
        <v>4481</v>
      </c>
    </row>
    <row r="54" spans="1:14" x14ac:dyDescent="0.3">
      <c r="A54" s="5">
        <v>51</v>
      </c>
      <c r="B54" s="5">
        <v>4638</v>
      </c>
      <c r="C54" s="5">
        <v>1366.03</v>
      </c>
      <c r="D54" s="5" t="s">
        <v>192</v>
      </c>
      <c r="E54" s="5">
        <v>1369</v>
      </c>
      <c r="F54" s="37">
        <v>1.7099999999999999E-3</v>
      </c>
      <c r="G54" s="38">
        <v>1</v>
      </c>
      <c r="H54" s="37">
        <v>263</v>
      </c>
      <c r="I54" s="38">
        <v>9.9000000000000005E-2</v>
      </c>
      <c r="J54" s="37">
        <v>470</v>
      </c>
      <c r="K54" s="5">
        <v>4631</v>
      </c>
      <c r="L54" s="5">
        <v>4650</v>
      </c>
      <c r="M54" s="5">
        <v>4626</v>
      </c>
      <c r="N54" s="5">
        <v>4673</v>
      </c>
    </row>
    <row r="55" spans="1:14" x14ac:dyDescent="0.3">
      <c r="A55" s="5">
        <v>52</v>
      </c>
      <c r="B55" s="5">
        <v>4715</v>
      </c>
      <c r="C55" s="5">
        <v>1388.71</v>
      </c>
      <c r="D55" s="5" t="s">
        <v>44</v>
      </c>
      <c r="E55" s="5">
        <v>1384.3</v>
      </c>
      <c r="F55" s="37">
        <v>0.68400000000000005</v>
      </c>
      <c r="G55" s="38">
        <v>0.2412</v>
      </c>
      <c r="H55" s="37">
        <v>142</v>
      </c>
      <c r="I55" s="38">
        <v>0.15890000000000001</v>
      </c>
      <c r="J55" s="37">
        <v>325</v>
      </c>
      <c r="K55" s="5">
        <v>4706</v>
      </c>
      <c r="L55" s="5">
        <v>4724</v>
      </c>
      <c r="M55" s="5">
        <v>4691</v>
      </c>
      <c r="N55" s="5">
        <v>4724</v>
      </c>
    </row>
    <row r="56" spans="1:14" x14ac:dyDescent="0.3">
      <c r="A56" s="5">
        <v>53</v>
      </c>
      <c r="B56" s="5">
        <v>4778</v>
      </c>
      <c r="C56" s="5">
        <v>1407.27</v>
      </c>
      <c r="D56" s="5" t="s">
        <v>175</v>
      </c>
      <c r="E56" s="5">
        <v>1408.01</v>
      </c>
      <c r="F56" s="37">
        <v>13.5</v>
      </c>
      <c r="G56" s="38">
        <v>0.2087</v>
      </c>
      <c r="H56" s="37">
        <v>39.299999999999997</v>
      </c>
      <c r="I56" s="38">
        <v>0.38140000000000002</v>
      </c>
      <c r="J56" s="37">
        <v>132</v>
      </c>
      <c r="K56" s="5">
        <v>4775</v>
      </c>
      <c r="L56" s="5">
        <v>4786</v>
      </c>
      <c r="M56" s="5">
        <v>4754</v>
      </c>
      <c r="N56" s="5">
        <v>4805</v>
      </c>
    </row>
    <row r="57" spans="1:14" x14ac:dyDescent="0.3">
      <c r="A57" s="5">
        <v>54</v>
      </c>
      <c r="B57" s="5">
        <v>4963</v>
      </c>
      <c r="C57" s="5">
        <v>1461.77</v>
      </c>
      <c r="D57" s="5" t="s">
        <v>43</v>
      </c>
      <c r="E57" s="5">
        <v>1457.56</v>
      </c>
      <c r="F57" s="37">
        <v>7.4899999999999999E-4</v>
      </c>
      <c r="G57" s="38">
        <v>8.7300000000000003E-2</v>
      </c>
      <c r="H57" s="37">
        <v>845</v>
      </c>
      <c r="I57" s="38">
        <v>4.2900000000000001E-2</v>
      </c>
      <c r="J57" s="37">
        <v>1080</v>
      </c>
      <c r="K57" s="5">
        <v>4953</v>
      </c>
      <c r="L57" s="5">
        <v>4977</v>
      </c>
      <c r="M57" s="5">
        <v>4953</v>
      </c>
      <c r="N57" s="5">
        <v>4977</v>
      </c>
    </row>
    <row r="58" spans="1:14" x14ac:dyDescent="0.3">
      <c r="A58" s="5">
        <v>55</v>
      </c>
      <c r="B58" s="5">
        <v>5006</v>
      </c>
      <c r="C58" s="5">
        <v>1474.44</v>
      </c>
      <c r="D58" s="5" t="s">
        <v>181</v>
      </c>
      <c r="E58" s="5">
        <v>1473.8</v>
      </c>
      <c r="F58" s="37">
        <v>1.1000000000000001E-3</v>
      </c>
      <c r="G58" s="38">
        <v>1.6999999999999999E-3</v>
      </c>
      <c r="H58" s="37">
        <v>11.3</v>
      </c>
      <c r="I58" s="38">
        <v>0.87760000000000005</v>
      </c>
      <c r="J58" s="37">
        <v>55</v>
      </c>
      <c r="K58" s="5">
        <v>5004</v>
      </c>
      <c r="L58" s="5">
        <v>5008</v>
      </c>
      <c r="M58" s="5">
        <v>5004</v>
      </c>
      <c r="N58" s="5">
        <v>5008</v>
      </c>
    </row>
    <row r="59" spans="1:14" x14ac:dyDescent="0.3">
      <c r="A59" s="5">
        <v>56</v>
      </c>
      <c r="B59" s="5">
        <v>5058</v>
      </c>
      <c r="C59" s="5">
        <v>1489.76</v>
      </c>
      <c r="D59" s="5" t="s">
        <v>24</v>
      </c>
      <c r="E59" s="5">
        <v>1489.16</v>
      </c>
      <c r="F59" s="37">
        <v>3.29E-5</v>
      </c>
      <c r="G59" s="38">
        <v>2.8E-3</v>
      </c>
      <c r="H59" s="37">
        <v>4850</v>
      </c>
      <c r="I59" s="38">
        <v>1.4999999999999999E-2</v>
      </c>
      <c r="J59" s="37">
        <v>5060</v>
      </c>
      <c r="K59" s="5">
        <v>5047</v>
      </c>
      <c r="L59" s="5">
        <v>5072</v>
      </c>
      <c r="M59" s="5">
        <v>5014</v>
      </c>
      <c r="N59" s="5">
        <v>5075</v>
      </c>
    </row>
    <row r="60" spans="1:14" x14ac:dyDescent="0.3">
      <c r="A60" s="5">
        <v>57</v>
      </c>
      <c r="B60" s="5">
        <v>5173</v>
      </c>
      <c r="C60" s="5">
        <v>1523.64</v>
      </c>
      <c r="D60" s="5" t="s">
        <v>193</v>
      </c>
      <c r="E60" s="5">
        <v>1525</v>
      </c>
      <c r="F60" s="37">
        <v>1.41E-3</v>
      </c>
      <c r="G60" s="38">
        <v>0.18079999999999999</v>
      </c>
      <c r="H60" s="37">
        <v>66.599999999999994</v>
      </c>
      <c r="I60" s="38">
        <v>0.27850000000000003</v>
      </c>
      <c r="J60" s="37">
        <v>205</v>
      </c>
      <c r="K60" s="5">
        <v>5167</v>
      </c>
      <c r="L60" s="5">
        <v>5183</v>
      </c>
      <c r="M60" s="5">
        <v>5167</v>
      </c>
      <c r="N60" s="5">
        <v>5183</v>
      </c>
    </row>
    <row r="61" spans="1:14" x14ac:dyDescent="0.3">
      <c r="A61" s="5">
        <v>58</v>
      </c>
      <c r="B61" s="5">
        <v>5284</v>
      </c>
      <c r="C61" s="5">
        <v>1556.34</v>
      </c>
      <c r="D61" s="5" t="s">
        <v>75</v>
      </c>
      <c r="E61" s="5">
        <v>0</v>
      </c>
      <c r="F61" s="37">
        <v>0</v>
      </c>
      <c r="G61" s="38">
        <v>0</v>
      </c>
      <c r="H61" s="37">
        <v>29.6</v>
      </c>
      <c r="I61" s="38">
        <v>0.40579999999999999</v>
      </c>
      <c r="J61" s="37">
        <v>87.2</v>
      </c>
      <c r="K61" s="5">
        <v>5279</v>
      </c>
      <c r="L61" s="5">
        <v>5291</v>
      </c>
      <c r="M61" s="5">
        <v>5267</v>
      </c>
      <c r="N61" s="5">
        <v>5291</v>
      </c>
    </row>
    <row r="62" spans="1:14" x14ac:dyDescent="0.3">
      <c r="A62" s="5">
        <v>59</v>
      </c>
      <c r="B62" s="5">
        <v>5424</v>
      </c>
      <c r="C62" s="5">
        <v>1597.58</v>
      </c>
      <c r="D62" s="5" t="s">
        <v>174</v>
      </c>
      <c r="E62" s="5">
        <v>1596.21</v>
      </c>
      <c r="F62" s="37">
        <v>4.5900000000000003E-3</v>
      </c>
      <c r="G62" s="38">
        <v>0.95399999999999996</v>
      </c>
      <c r="H62" s="37">
        <v>8.66</v>
      </c>
      <c r="I62" s="38">
        <v>0.89900000000000002</v>
      </c>
      <c r="J62" s="37">
        <v>34.700000000000003</v>
      </c>
      <c r="K62" s="5">
        <v>5422</v>
      </c>
      <c r="L62" s="5">
        <v>5426</v>
      </c>
      <c r="M62" s="5">
        <v>5385</v>
      </c>
      <c r="N62" s="5">
        <v>5443</v>
      </c>
    </row>
    <row r="63" spans="1:14" x14ac:dyDescent="0.3">
      <c r="A63" s="5">
        <v>60</v>
      </c>
      <c r="B63" s="5">
        <v>5508</v>
      </c>
      <c r="C63" s="5">
        <v>1622.33</v>
      </c>
      <c r="D63" s="5" t="s">
        <v>179</v>
      </c>
      <c r="E63" s="5">
        <v>1620.5</v>
      </c>
      <c r="F63" s="37">
        <v>1.15E-4</v>
      </c>
      <c r="G63" s="38">
        <v>1.49E-2</v>
      </c>
      <c r="H63" s="37">
        <v>20.399999999999999</v>
      </c>
      <c r="I63" s="38">
        <v>0.47439999999999999</v>
      </c>
      <c r="J63" s="37">
        <v>56.9</v>
      </c>
      <c r="K63" s="5">
        <v>5505</v>
      </c>
      <c r="L63" s="5">
        <v>5514</v>
      </c>
      <c r="M63" s="5">
        <v>5497</v>
      </c>
      <c r="N63" s="5">
        <v>5530</v>
      </c>
    </row>
    <row r="64" spans="1:14" x14ac:dyDescent="0.3">
      <c r="A64" s="5">
        <v>61</v>
      </c>
      <c r="B64" s="5">
        <v>5541</v>
      </c>
      <c r="C64" s="5">
        <v>1632.05</v>
      </c>
      <c r="D64" s="5" t="s">
        <v>180</v>
      </c>
      <c r="E64" s="5">
        <v>1630.63</v>
      </c>
      <c r="F64" s="37">
        <v>7.0200000000000004E-4</v>
      </c>
      <c r="G64" s="38">
        <v>1.6E-2</v>
      </c>
      <c r="H64" s="37">
        <v>17.899999999999999</v>
      </c>
      <c r="I64" s="38">
        <v>0.45169999999999999</v>
      </c>
      <c r="J64" s="37">
        <v>41.7</v>
      </c>
      <c r="K64" s="5">
        <v>5539</v>
      </c>
      <c r="L64" s="5">
        <v>5544</v>
      </c>
      <c r="M64" s="5">
        <v>5539</v>
      </c>
      <c r="N64" s="5">
        <v>5550</v>
      </c>
    </row>
    <row r="65" spans="1:14" x14ac:dyDescent="0.3">
      <c r="A65" s="5">
        <v>62</v>
      </c>
      <c r="B65" s="5">
        <v>5633</v>
      </c>
      <c r="C65" s="5">
        <v>1659.15</v>
      </c>
      <c r="D65" s="5" t="s">
        <v>177</v>
      </c>
      <c r="E65" s="5">
        <v>1661.28</v>
      </c>
      <c r="F65" s="37">
        <v>3.7799999999999997E-5</v>
      </c>
      <c r="G65" s="38">
        <v>1.14E-2</v>
      </c>
      <c r="H65" s="37">
        <v>6.07</v>
      </c>
      <c r="I65" s="38">
        <v>2.2561</v>
      </c>
      <c r="J65" s="37">
        <v>96.8</v>
      </c>
      <c r="K65" s="5">
        <v>5631</v>
      </c>
      <c r="L65" s="5">
        <v>5648</v>
      </c>
      <c r="M65" s="5">
        <v>5631</v>
      </c>
      <c r="N65" s="5">
        <v>5723</v>
      </c>
    </row>
    <row r="66" spans="1:14" x14ac:dyDescent="0.3">
      <c r="A66" s="5">
        <v>63</v>
      </c>
      <c r="B66" s="5">
        <v>5714</v>
      </c>
      <c r="C66" s="5">
        <v>1683.01</v>
      </c>
      <c r="D66" s="5" t="s">
        <v>43</v>
      </c>
      <c r="E66" s="5">
        <v>1678.03</v>
      </c>
      <c r="F66" s="37">
        <v>7.4899999999999999E-4</v>
      </c>
      <c r="G66" s="38">
        <v>9.6199999999999994E-2</v>
      </c>
      <c r="H66" s="37">
        <v>1.54</v>
      </c>
      <c r="I66" s="38">
        <v>5.7709000000000001</v>
      </c>
      <c r="J66" s="37">
        <v>40.5</v>
      </c>
      <c r="K66" s="5">
        <v>5712</v>
      </c>
      <c r="L66" s="5">
        <v>5718</v>
      </c>
      <c r="M66" s="5">
        <v>5643</v>
      </c>
      <c r="N66" s="5">
        <v>5723</v>
      </c>
    </row>
    <row r="67" spans="1:14" x14ac:dyDescent="0.3">
      <c r="A67" s="5">
        <v>64</v>
      </c>
      <c r="B67" s="5">
        <v>5819</v>
      </c>
      <c r="C67" s="5">
        <v>1713.95</v>
      </c>
      <c r="D67" s="5" t="s">
        <v>75</v>
      </c>
      <c r="E67" s="5">
        <v>0</v>
      </c>
      <c r="F67" s="37">
        <v>0</v>
      </c>
      <c r="G67" s="38">
        <v>0</v>
      </c>
      <c r="H67" s="37">
        <v>24.4</v>
      </c>
      <c r="I67" s="38">
        <v>0.69910000000000005</v>
      </c>
      <c r="J67" s="37">
        <v>158</v>
      </c>
      <c r="K67" s="5">
        <v>5817</v>
      </c>
      <c r="L67" s="5">
        <v>5846</v>
      </c>
      <c r="M67" s="5">
        <v>5815</v>
      </c>
      <c r="N67" s="5">
        <v>5848</v>
      </c>
    </row>
    <row r="68" spans="1:14" x14ac:dyDescent="0.3">
      <c r="A68" s="5">
        <v>65</v>
      </c>
      <c r="B68" s="5">
        <v>5917</v>
      </c>
      <c r="C68" s="5">
        <v>1742.82</v>
      </c>
      <c r="D68" s="5" t="s">
        <v>20</v>
      </c>
      <c r="E68" s="5">
        <v>1741.49</v>
      </c>
      <c r="F68" s="37">
        <v>9.98E-5</v>
      </c>
      <c r="G68" s="38">
        <v>2.5600000000000001E-2</v>
      </c>
      <c r="H68" s="37">
        <v>11.4</v>
      </c>
      <c r="I68" s="38">
        <v>0.70369999999999999</v>
      </c>
      <c r="J68" s="37">
        <v>37.799999999999997</v>
      </c>
      <c r="K68" s="5">
        <v>5913</v>
      </c>
      <c r="L68" s="5">
        <v>5919</v>
      </c>
      <c r="M68" s="5">
        <v>5913</v>
      </c>
      <c r="N68" s="5">
        <v>5919</v>
      </c>
    </row>
    <row r="69" spans="1:14" x14ac:dyDescent="0.3">
      <c r="A69" s="5">
        <v>66</v>
      </c>
      <c r="B69" s="5">
        <v>5929</v>
      </c>
      <c r="C69" s="5">
        <v>1746.35</v>
      </c>
      <c r="D69" s="5" t="s">
        <v>20</v>
      </c>
      <c r="E69" s="5">
        <v>1741.49</v>
      </c>
      <c r="F69" s="37">
        <v>9.98E-5</v>
      </c>
      <c r="G69" s="38">
        <v>2.5600000000000001E-2</v>
      </c>
      <c r="H69" s="37">
        <v>20.8</v>
      </c>
      <c r="I69" s="38">
        <v>0.45090000000000002</v>
      </c>
      <c r="J69" s="37">
        <v>54.3</v>
      </c>
      <c r="K69" s="5">
        <v>5924</v>
      </c>
      <c r="L69" s="5">
        <v>5932</v>
      </c>
      <c r="M69" s="5">
        <v>5924</v>
      </c>
      <c r="N69" s="5">
        <v>5936</v>
      </c>
    </row>
    <row r="70" spans="1:14" x14ac:dyDescent="0.3">
      <c r="A70" s="5">
        <v>67</v>
      </c>
      <c r="B70" s="5">
        <v>6180</v>
      </c>
      <c r="C70" s="5">
        <v>1820.29</v>
      </c>
      <c r="D70" s="5" t="s">
        <v>75</v>
      </c>
      <c r="E70" s="5">
        <v>0</v>
      </c>
      <c r="F70" s="37">
        <v>0</v>
      </c>
      <c r="G70" s="38">
        <v>0</v>
      </c>
      <c r="H70" s="37">
        <v>4.72</v>
      </c>
      <c r="I70" s="38">
        <v>1.7186999999999999</v>
      </c>
      <c r="J70" s="37">
        <v>35.299999999999997</v>
      </c>
      <c r="K70" s="5">
        <v>6178</v>
      </c>
      <c r="L70" s="5">
        <v>6183</v>
      </c>
      <c r="M70" s="5">
        <v>6170</v>
      </c>
      <c r="N70" s="5">
        <v>6183</v>
      </c>
    </row>
    <row r="71" spans="1:14" x14ac:dyDescent="0.3">
      <c r="A71" s="5">
        <v>68</v>
      </c>
      <c r="B71" s="5">
        <v>6585</v>
      </c>
      <c r="C71" s="5">
        <v>1939.6</v>
      </c>
      <c r="D71" s="5" t="s">
        <v>176</v>
      </c>
      <c r="E71" s="5">
        <v>1939.95</v>
      </c>
      <c r="F71" s="37">
        <v>2.8799999999999999E-5</v>
      </c>
      <c r="G71" s="38">
        <v>3.3E-3</v>
      </c>
      <c r="H71" s="37">
        <v>9.44</v>
      </c>
      <c r="I71" s="38">
        <v>1.3569</v>
      </c>
      <c r="J71" s="37">
        <v>86.8</v>
      </c>
      <c r="K71" s="5">
        <v>6582</v>
      </c>
      <c r="L71" s="5">
        <v>6600</v>
      </c>
      <c r="M71" s="5">
        <v>6582</v>
      </c>
      <c r="N71" s="5">
        <v>6618</v>
      </c>
    </row>
    <row r="72" spans="1:14" x14ac:dyDescent="0.3">
      <c r="A72" s="5">
        <v>69</v>
      </c>
      <c r="B72" s="5">
        <v>6632</v>
      </c>
      <c r="C72" s="5">
        <v>1953.45</v>
      </c>
      <c r="D72" s="5" t="s">
        <v>75</v>
      </c>
      <c r="E72" s="5">
        <v>0</v>
      </c>
      <c r="F72" s="37">
        <v>0</v>
      </c>
      <c r="G72" s="38">
        <v>0</v>
      </c>
      <c r="H72" s="37">
        <v>6.68</v>
      </c>
      <c r="I72" s="38">
        <v>1.1164000000000001</v>
      </c>
      <c r="J72" s="37">
        <v>31.2</v>
      </c>
      <c r="K72" s="5">
        <v>6630</v>
      </c>
      <c r="L72" s="5">
        <v>6635</v>
      </c>
      <c r="M72" s="5">
        <v>6625</v>
      </c>
      <c r="N72" s="5">
        <v>6643</v>
      </c>
    </row>
    <row r="73" spans="1:14" x14ac:dyDescent="0.3">
      <c r="A73" s="5">
        <v>70</v>
      </c>
      <c r="B73" s="5">
        <v>6943</v>
      </c>
      <c r="C73" s="5">
        <v>2045.07</v>
      </c>
      <c r="D73" s="5" t="s">
        <v>75</v>
      </c>
      <c r="E73" s="5">
        <v>0</v>
      </c>
      <c r="F73" s="37">
        <v>0</v>
      </c>
      <c r="G73" s="38">
        <v>0</v>
      </c>
      <c r="H73" s="37">
        <v>3.37</v>
      </c>
      <c r="I73" s="38">
        <v>2.6471</v>
      </c>
      <c r="J73" s="37">
        <v>41.4</v>
      </c>
      <c r="K73" s="5">
        <v>6940</v>
      </c>
      <c r="L73" s="5">
        <v>6947</v>
      </c>
      <c r="M73" s="5">
        <v>6922</v>
      </c>
      <c r="N73" s="5">
        <v>6947</v>
      </c>
    </row>
    <row r="74" spans="1:14" x14ac:dyDescent="0.3">
      <c r="A74" s="5">
        <v>71</v>
      </c>
      <c r="B74" s="5">
        <v>6969</v>
      </c>
      <c r="C74" s="5">
        <v>2052.73</v>
      </c>
      <c r="D74" s="5" t="s">
        <v>75</v>
      </c>
      <c r="E74" s="5">
        <v>0</v>
      </c>
      <c r="F74" s="37">
        <v>0</v>
      </c>
      <c r="G74" s="38">
        <v>0</v>
      </c>
      <c r="H74" s="37">
        <v>0.32</v>
      </c>
      <c r="I74" s="38">
        <v>45.13</v>
      </c>
      <c r="J74" s="37">
        <v>104</v>
      </c>
      <c r="K74" s="5">
        <v>6966</v>
      </c>
      <c r="L74" s="5">
        <v>6986</v>
      </c>
      <c r="M74" s="5">
        <v>6966</v>
      </c>
      <c r="N74" s="5">
        <v>6986</v>
      </c>
    </row>
    <row r="75" spans="1:14" x14ac:dyDescent="0.3">
      <c r="A75" s="5">
        <v>72</v>
      </c>
      <c r="B75" s="5">
        <v>7202</v>
      </c>
      <c r="C75" s="5">
        <v>2121.37</v>
      </c>
      <c r="D75" s="5" t="s">
        <v>177</v>
      </c>
      <c r="E75" s="5">
        <v>2118.5500000000002</v>
      </c>
      <c r="F75" s="37">
        <v>3.7799999999999997E-5</v>
      </c>
      <c r="G75" s="38">
        <v>1.14E-2</v>
      </c>
      <c r="H75" s="37">
        <v>5.61</v>
      </c>
      <c r="I75" s="38">
        <v>1.6265000000000001</v>
      </c>
      <c r="J75" s="37">
        <v>44.5</v>
      </c>
      <c r="K75" s="5">
        <v>7196</v>
      </c>
      <c r="L75" s="5">
        <v>7207</v>
      </c>
      <c r="M75" s="5">
        <v>7192</v>
      </c>
      <c r="N75" s="5">
        <v>7241</v>
      </c>
    </row>
    <row r="76" spans="1:14" x14ac:dyDescent="0.3">
      <c r="A76" s="5">
        <v>73</v>
      </c>
      <c r="B76" s="5">
        <v>7327</v>
      </c>
      <c r="C76" s="5">
        <v>2158.19</v>
      </c>
      <c r="D76" s="5" t="s">
        <v>75</v>
      </c>
      <c r="E76" s="5">
        <v>0</v>
      </c>
      <c r="F76" s="37">
        <v>0</v>
      </c>
      <c r="G76" s="38">
        <v>0</v>
      </c>
      <c r="H76" s="37">
        <v>1.19</v>
      </c>
      <c r="I76" s="38">
        <v>5.4907000000000004</v>
      </c>
      <c r="J76" s="37">
        <v>21.8</v>
      </c>
      <c r="K76" s="5">
        <v>7325</v>
      </c>
      <c r="L76" s="5">
        <v>7330</v>
      </c>
      <c r="M76" s="5">
        <v>7301</v>
      </c>
      <c r="N76" s="5">
        <v>7330</v>
      </c>
    </row>
    <row r="77" spans="1:14" x14ac:dyDescent="0.3">
      <c r="A77" s="5">
        <v>74</v>
      </c>
      <c r="B77" s="5">
        <v>7389</v>
      </c>
      <c r="C77" s="5">
        <v>2176.46</v>
      </c>
      <c r="D77" s="5" t="s">
        <v>75</v>
      </c>
      <c r="E77" s="5">
        <v>0</v>
      </c>
      <c r="F77" s="37">
        <v>0</v>
      </c>
      <c r="G77" s="38">
        <v>0</v>
      </c>
      <c r="H77" s="37">
        <v>6.73</v>
      </c>
      <c r="I77" s="38">
        <v>1.3632</v>
      </c>
      <c r="J77" s="37">
        <v>45.5</v>
      </c>
      <c r="K77" s="5">
        <v>7387</v>
      </c>
      <c r="L77" s="5">
        <v>7396</v>
      </c>
      <c r="M77" s="5">
        <v>7346</v>
      </c>
      <c r="N77" s="5">
        <v>8187</v>
      </c>
    </row>
    <row r="78" spans="1:14" x14ac:dyDescent="0.3">
      <c r="A78" s="5">
        <v>75</v>
      </c>
      <c r="B78" s="5">
        <v>7426</v>
      </c>
      <c r="C78" s="5">
        <v>2187.36</v>
      </c>
      <c r="D78" s="5" t="s">
        <v>24</v>
      </c>
      <c r="E78" s="5">
        <v>2185.66</v>
      </c>
      <c r="F78" s="37">
        <v>3.29E-5</v>
      </c>
      <c r="G78" s="38">
        <v>6.8999999999999999E-3</v>
      </c>
      <c r="H78" s="37">
        <v>10500</v>
      </c>
      <c r="I78" s="38">
        <v>9.7999999999999997E-3</v>
      </c>
      <c r="J78" s="37">
        <v>10600</v>
      </c>
      <c r="K78" s="5">
        <v>7408</v>
      </c>
      <c r="L78" s="5">
        <v>7439</v>
      </c>
      <c r="M78" s="5">
        <v>7346</v>
      </c>
      <c r="N78" s="5">
        <v>8187</v>
      </c>
    </row>
    <row r="79" spans="1:14" x14ac:dyDescent="0.3">
      <c r="A79" s="5">
        <v>76</v>
      </c>
      <c r="B79" s="5">
        <v>1574</v>
      </c>
      <c r="C79" s="5">
        <v>463.4</v>
      </c>
      <c r="D79" s="5" t="s">
        <v>30</v>
      </c>
      <c r="E79" s="5">
        <v>463.36</v>
      </c>
      <c r="F79" s="37">
        <v>2.76</v>
      </c>
      <c r="G79" s="38">
        <v>0.105</v>
      </c>
      <c r="H79" s="37">
        <v>296</v>
      </c>
      <c r="I79" s="38">
        <v>0.51770000000000005</v>
      </c>
      <c r="J79" s="37">
        <v>11900</v>
      </c>
      <c r="K79" s="5">
        <v>1573</v>
      </c>
      <c r="L79" s="5">
        <v>1581</v>
      </c>
      <c r="M79" s="5">
        <v>1569</v>
      </c>
      <c r="N79" s="5">
        <v>1616</v>
      </c>
    </row>
    <row r="81" spans="6:10" x14ac:dyDescent="0.3">
      <c r="F81" s="27"/>
      <c r="G81" s="31"/>
      <c r="H81" s="27"/>
      <c r="I81" s="31"/>
      <c r="J81" s="27"/>
    </row>
    <row r="83" spans="6:10" x14ac:dyDescent="0.3">
      <c r="F83" s="27"/>
      <c r="G83" s="31"/>
      <c r="H83" s="27"/>
      <c r="I83" s="31"/>
      <c r="J83" s="27"/>
    </row>
    <row r="85" spans="6:10" x14ac:dyDescent="0.3">
      <c r="F85" s="27"/>
      <c r="G85" s="31"/>
      <c r="H85" s="27"/>
      <c r="I85" s="31"/>
      <c r="J85" s="27"/>
    </row>
    <row r="87" spans="6:10" x14ac:dyDescent="0.3">
      <c r="F87" s="27"/>
      <c r="G87" s="31"/>
      <c r="H87" s="27"/>
      <c r="I87" s="31"/>
      <c r="J87" s="27"/>
    </row>
    <row r="89" spans="6:10" x14ac:dyDescent="0.3">
      <c r="F89" s="27"/>
      <c r="G89" s="31"/>
      <c r="H89" s="27"/>
      <c r="I89" s="31"/>
      <c r="J89" s="27"/>
    </row>
    <row r="91" spans="6:10" x14ac:dyDescent="0.3">
      <c r="F91" s="27"/>
      <c r="G91" s="31"/>
      <c r="H91" s="27"/>
      <c r="I91" s="31"/>
      <c r="J91" s="27"/>
    </row>
    <row r="93" spans="6:10" x14ac:dyDescent="0.3">
      <c r="F93" s="27"/>
      <c r="G93" s="31"/>
      <c r="H93" s="27"/>
      <c r="I93" s="31"/>
      <c r="J93" s="27"/>
    </row>
    <row r="95" spans="6:10" x14ac:dyDescent="0.3">
      <c r="F95" s="27"/>
      <c r="G95" s="31"/>
      <c r="H95" s="27"/>
      <c r="I95" s="31"/>
      <c r="J95" s="27"/>
    </row>
    <row r="97" spans="6:10" x14ac:dyDescent="0.3">
      <c r="F97" s="27"/>
      <c r="G97" s="31"/>
      <c r="H97" s="27"/>
      <c r="I97" s="31"/>
      <c r="J97" s="27"/>
    </row>
    <row r="99" spans="6:10" x14ac:dyDescent="0.3">
      <c r="F99" s="27"/>
      <c r="G99" s="31"/>
      <c r="H99" s="27"/>
      <c r="I99" s="31"/>
      <c r="J99" s="27"/>
    </row>
    <row r="101" spans="6:10" x14ac:dyDescent="0.3">
      <c r="F101" s="27"/>
      <c r="G101" s="31"/>
      <c r="H101" s="27"/>
      <c r="I101" s="31"/>
      <c r="J101" s="27"/>
    </row>
    <row r="103" spans="6:10" x14ac:dyDescent="0.3">
      <c r="F103" s="27"/>
      <c r="G103" s="31"/>
      <c r="H103" s="27"/>
      <c r="I103" s="31"/>
      <c r="J103" s="27"/>
    </row>
    <row r="105" spans="6:10" x14ac:dyDescent="0.3">
      <c r="F105" s="27"/>
      <c r="G105" s="31"/>
      <c r="H105" s="27"/>
      <c r="I105" s="31"/>
      <c r="J105" s="27"/>
    </row>
    <row r="107" spans="6:10" x14ac:dyDescent="0.3">
      <c r="F107" s="27"/>
      <c r="G107" s="31"/>
      <c r="H107" s="27"/>
      <c r="I107" s="31"/>
      <c r="J107" s="27"/>
    </row>
    <row r="109" spans="6:10" x14ac:dyDescent="0.3">
      <c r="F109" s="27"/>
      <c r="G109" s="31"/>
      <c r="H109" s="27"/>
      <c r="I109" s="31"/>
      <c r="J109" s="27"/>
    </row>
    <row r="111" spans="6:10" x14ac:dyDescent="0.3">
      <c r="F111" s="27"/>
      <c r="G111" s="31"/>
      <c r="H111" s="27"/>
      <c r="I111" s="31"/>
      <c r="J111" s="27"/>
    </row>
    <row r="113" spans="6:10" x14ac:dyDescent="0.3">
      <c r="F113" s="27"/>
      <c r="G113" s="31"/>
      <c r="H113" s="27"/>
      <c r="I113" s="31"/>
      <c r="J113" s="27"/>
    </row>
    <row r="115" spans="6:10" x14ac:dyDescent="0.3">
      <c r="F115" s="27"/>
      <c r="G115" s="31"/>
      <c r="H115" s="27"/>
      <c r="I115" s="31"/>
      <c r="J115" s="27"/>
    </row>
    <row r="117" spans="6:10" x14ac:dyDescent="0.3">
      <c r="F117" s="27"/>
      <c r="G117" s="31"/>
      <c r="H117" s="27"/>
      <c r="I117" s="31"/>
      <c r="J117" s="27"/>
    </row>
    <row r="119" spans="6:10" x14ac:dyDescent="0.3">
      <c r="F119" s="27"/>
      <c r="G119" s="31"/>
      <c r="H119" s="27"/>
      <c r="I119" s="31"/>
      <c r="J119" s="27"/>
    </row>
    <row r="121" spans="6:10" x14ac:dyDescent="0.3">
      <c r="F121" s="27"/>
      <c r="G121" s="31"/>
      <c r="H121" s="27"/>
      <c r="I121" s="31"/>
      <c r="J121" s="27"/>
    </row>
    <row r="123" spans="6:10" x14ac:dyDescent="0.3">
      <c r="F123" s="27"/>
      <c r="G123" s="31"/>
      <c r="H123" s="27"/>
      <c r="I123" s="31"/>
      <c r="J123" s="27"/>
    </row>
    <row r="125" spans="6:10" x14ac:dyDescent="0.3">
      <c r="F125" s="27"/>
      <c r="G125" s="31"/>
      <c r="H125" s="27"/>
      <c r="I125" s="31"/>
      <c r="J125" s="27"/>
    </row>
    <row r="127" spans="6:10" x14ac:dyDescent="0.3">
      <c r="F127" s="27"/>
      <c r="G127" s="31"/>
      <c r="H127" s="27"/>
      <c r="I127" s="31"/>
      <c r="J127" s="27"/>
    </row>
    <row r="129" spans="6:10" x14ac:dyDescent="0.3">
      <c r="F129" s="27"/>
      <c r="G129" s="31"/>
      <c r="H129" s="27"/>
      <c r="I129" s="31"/>
      <c r="J129" s="27"/>
    </row>
    <row r="131" spans="6:10" x14ac:dyDescent="0.3">
      <c r="F131" s="27"/>
      <c r="G131" s="31"/>
      <c r="H131" s="27"/>
      <c r="I131" s="31"/>
      <c r="J131" s="27"/>
    </row>
    <row r="133" spans="6:10" x14ac:dyDescent="0.3">
      <c r="F133" s="27"/>
      <c r="G133" s="31"/>
      <c r="H133" s="27"/>
      <c r="I133" s="31"/>
      <c r="J133" s="27"/>
    </row>
    <row r="135" spans="6:10" x14ac:dyDescent="0.3">
      <c r="F135" s="27"/>
      <c r="G135" s="31"/>
      <c r="H135" s="27"/>
      <c r="I135" s="31"/>
      <c r="J135" s="27"/>
    </row>
    <row r="137" spans="6:10" x14ac:dyDescent="0.3">
      <c r="F137" s="27"/>
      <c r="G137" s="31"/>
      <c r="H137" s="27"/>
      <c r="I137" s="31"/>
      <c r="J137" s="27"/>
    </row>
    <row r="139" spans="6:10" x14ac:dyDescent="0.3">
      <c r="F139" s="27"/>
      <c r="G139" s="31"/>
      <c r="H139" s="27"/>
      <c r="I139" s="31"/>
      <c r="J139" s="27"/>
    </row>
    <row r="141" spans="6:10" x14ac:dyDescent="0.3">
      <c r="F141" s="27"/>
      <c r="G141" s="31"/>
      <c r="H141" s="27"/>
      <c r="I141" s="31"/>
      <c r="J141" s="27"/>
    </row>
    <row r="143" spans="6:10" x14ac:dyDescent="0.3">
      <c r="F143" s="27"/>
      <c r="G143" s="31"/>
      <c r="H143" s="27"/>
      <c r="I143" s="31"/>
      <c r="J143" s="27"/>
    </row>
    <row r="145" spans="6:10" x14ac:dyDescent="0.3">
      <c r="F145" s="27"/>
      <c r="G145" s="31"/>
      <c r="H145" s="27"/>
      <c r="I145" s="31"/>
      <c r="J145" s="27"/>
    </row>
    <row r="147" spans="6:10" x14ac:dyDescent="0.3">
      <c r="F147" s="27"/>
      <c r="G147" s="31"/>
      <c r="H147" s="27"/>
      <c r="I147" s="31"/>
      <c r="J147" s="27"/>
    </row>
    <row r="149" spans="6:10" x14ac:dyDescent="0.3">
      <c r="F149" s="27"/>
      <c r="G149" s="31"/>
      <c r="H149" s="27"/>
      <c r="I149" s="31"/>
      <c r="J149" s="27"/>
    </row>
    <row r="151" spans="6:10" x14ac:dyDescent="0.3">
      <c r="F151" s="27"/>
      <c r="G151" s="31"/>
      <c r="H151" s="27"/>
      <c r="I151" s="31"/>
      <c r="J151" s="27"/>
    </row>
    <row r="153" spans="6:10" x14ac:dyDescent="0.3">
      <c r="F153" s="27"/>
      <c r="G153" s="31"/>
      <c r="H153" s="27"/>
      <c r="I153" s="31"/>
      <c r="J153" s="27"/>
    </row>
    <row r="155" spans="6:10" x14ac:dyDescent="0.3">
      <c r="F155" s="27"/>
      <c r="G155" s="31"/>
      <c r="H155" s="27"/>
      <c r="I155" s="31"/>
      <c r="J155" s="27"/>
    </row>
  </sheetData>
  <phoneticPr fontId="7" type="noConversion"/>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B9EC5-70F9-4AFF-8868-A9B29BC64D4A}">
  <dimension ref="A1:F46"/>
  <sheetViews>
    <sheetView workbookViewId="0">
      <selection activeCell="D54" sqref="D54"/>
    </sheetView>
  </sheetViews>
  <sheetFormatPr defaultRowHeight="14" x14ac:dyDescent="0.3"/>
  <cols>
    <col min="6" max="6" width="51.08203125" customWidth="1"/>
  </cols>
  <sheetData>
    <row r="1" spans="1:6" x14ac:dyDescent="0.3">
      <c r="A1" s="42" t="s">
        <v>79</v>
      </c>
      <c r="B1" s="42"/>
      <c r="C1" s="42"/>
      <c r="D1" s="42"/>
      <c r="E1" s="42"/>
      <c r="F1" s="42"/>
    </row>
    <row r="2" spans="1:6" x14ac:dyDescent="0.3">
      <c r="A2" s="22" t="s">
        <v>46</v>
      </c>
      <c r="B2" s="23" t="s">
        <v>80</v>
      </c>
      <c r="C2" s="23" t="s">
        <v>81</v>
      </c>
      <c r="D2" s="23" t="s">
        <v>82</v>
      </c>
      <c r="E2" s="23" t="s">
        <v>83</v>
      </c>
      <c r="F2" s="23" t="s">
        <v>84</v>
      </c>
    </row>
    <row r="3" spans="1:6" x14ac:dyDescent="0.3">
      <c r="A3" s="42">
        <v>1</v>
      </c>
      <c r="B3" s="43">
        <v>2181.56</v>
      </c>
      <c r="C3" s="44" t="s">
        <v>69</v>
      </c>
      <c r="D3" s="23" t="s">
        <v>85</v>
      </c>
      <c r="E3" s="23">
        <v>2167</v>
      </c>
      <c r="F3" s="23" t="s">
        <v>86</v>
      </c>
    </row>
    <row r="4" spans="1:6" ht="28" x14ac:dyDescent="0.3">
      <c r="A4" s="42"/>
      <c r="B4" s="43"/>
      <c r="C4" s="44"/>
      <c r="D4" s="23" t="s">
        <v>69</v>
      </c>
      <c r="E4" s="23">
        <v>2185.66</v>
      </c>
      <c r="F4" s="23" t="s">
        <v>87</v>
      </c>
    </row>
    <row r="5" spans="1:6" x14ac:dyDescent="0.3">
      <c r="A5" s="42"/>
      <c r="B5" s="43"/>
      <c r="C5" s="44"/>
      <c r="D5" s="23" t="s">
        <v>88</v>
      </c>
      <c r="E5" s="23">
        <v>2195.84</v>
      </c>
      <c r="F5" s="23" t="s">
        <v>89</v>
      </c>
    </row>
    <row r="6" spans="1:6" x14ac:dyDescent="0.3">
      <c r="A6" s="45" t="s">
        <v>90</v>
      </c>
      <c r="B6" s="45"/>
      <c r="C6" s="45"/>
      <c r="D6" s="45"/>
      <c r="E6" s="45"/>
      <c r="F6" s="45"/>
    </row>
    <row r="7" spans="1:6" x14ac:dyDescent="0.3">
      <c r="A7" s="42">
        <v>1</v>
      </c>
      <c r="B7" s="42">
        <v>145.36000000000001</v>
      </c>
      <c r="C7" s="42"/>
      <c r="D7" s="22" t="s">
        <v>123</v>
      </c>
      <c r="E7" s="22">
        <v>143.76</v>
      </c>
      <c r="F7" s="22"/>
    </row>
    <row r="8" spans="1:6" x14ac:dyDescent="0.3">
      <c r="A8" s="42"/>
      <c r="B8" s="42"/>
      <c r="C8" s="42"/>
      <c r="D8" s="22" t="s">
        <v>120</v>
      </c>
      <c r="E8" s="22">
        <v>144.86000000000001</v>
      </c>
      <c r="F8" s="22"/>
    </row>
    <row r="9" spans="1:6" x14ac:dyDescent="0.3">
      <c r="A9" s="42"/>
      <c r="B9" s="42"/>
      <c r="C9" s="42"/>
      <c r="D9" s="22" t="s">
        <v>41</v>
      </c>
      <c r="E9" s="22">
        <v>145.44</v>
      </c>
      <c r="F9" s="22"/>
    </row>
    <row r="10" spans="1:6" x14ac:dyDescent="0.3">
      <c r="A10" s="42"/>
      <c r="B10" s="42"/>
      <c r="C10" s="42"/>
      <c r="D10" s="22" t="s">
        <v>121</v>
      </c>
      <c r="E10" s="22">
        <v>146.06</v>
      </c>
      <c r="F10" s="22"/>
    </row>
    <row r="11" spans="1:6" x14ac:dyDescent="0.3">
      <c r="A11" s="42"/>
      <c r="B11" s="42"/>
      <c r="C11" s="42"/>
      <c r="D11" s="22" t="s">
        <v>122</v>
      </c>
      <c r="E11" s="22">
        <v>149.72</v>
      </c>
      <c r="F11" s="22"/>
    </row>
    <row r="12" spans="1:6" x14ac:dyDescent="0.3">
      <c r="A12" s="42">
        <v>2</v>
      </c>
      <c r="B12" s="42">
        <v>463.3</v>
      </c>
      <c r="C12" s="42" t="s">
        <v>78</v>
      </c>
      <c r="D12" s="22" t="s">
        <v>116</v>
      </c>
      <c r="E12" s="22">
        <v>462.1</v>
      </c>
      <c r="F12" s="22" t="s">
        <v>117</v>
      </c>
    </row>
    <row r="13" spans="1:6" x14ac:dyDescent="0.3">
      <c r="A13" s="42"/>
      <c r="B13" s="42"/>
      <c r="C13" s="42"/>
      <c r="D13" s="22" t="s">
        <v>21</v>
      </c>
      <c r="E13" s="22">
        <v>462.8</v>
      </c>
      <c r="F13" s="22" t="s">
        <v>114</v>
      </c>
    </row>
    <row r="14" spans="1:6" x14ac:dyDescent="0.3">
      <c r="A14" s="42"/>
      <c r="B14" s="42"/>
      <c r="C14" s="42"/>
      <c r="D14" s="22" t="s">
        <v>115</v>
      </c>
      <c r="E14" s="22">
        <v>463.01</v>
      </c>
      <c r="F14" s="22" t="s">
        <v>118</v>
      </c>
    </row>
    <row r="15" spans="1:6" x14ac:dyDescent="0.3">
      <c r="A15" s="42"/>
      <c r="B15" s="42"/>
      <c r="C15" s="42"/>
      <c r="D15" s="22" t="s">
        <v>78</v>
      </c>
      <c r="E15" s="22">
        <v>463.36</v>
      </c>
      <c r="F15" s="22" t="s">
        <v>119</v>
      </c>
    </row>
    <row r="16" spans="1:6" x14ac:dyDescent="0.3">
      <c r="A16" s="42">
        <v>3</v>
      </c>
      <c r="B16" s="46">
        <v>563.16999999999996</v>
      </c>
      <c r="C16" s="46" t="s">
        <v>112</v>
      </c>
      <c r="D16" s="22" t="s">
        <v>108</v>
      </c>
      <c r="E16" s="22">
        <v>559.1</v>
      </c>
      <c r="F16" s="22" t="s">
        <v>110</v>
      </c>
    </row>
    <row r="17" spans="1:6" x14ac:dyDescent="0.3">
      <c r="A17" s="42"/>
      <c r="B17" s="46"/>
      <c r="C17" s="46"/>
      <c r="D17" s="22" t="s">
        <v>10</v>
      </c>
      <c r="E17" s="22">
        <v>561.88</v>
      </c>
      <c r="F17" s="22" t="s">
        <v>111</v>
      </c>
    </row>
    <row r="18" spans="1:6" x14ac:dyDescent="0.3">
      <c r="A18" s="42"/>
      <c r="B18" s="46"/>
      <c r="C18" s="46"/>
      <c r="D18" s="22" t="s">
        <v>108</v>
      </c>
      <c r="E18" s="22">
        <v>563.23</v>
      </c>
      <c r="F18" s="22" t="s">
        <v>109</v>
      </c>
    </row>
    <row r="19" spans="1:6" x14ac:dyDescent="0.3">
      <c r="A19" s="42"/>
      <c r="B19" s="46"/>
      <c r="C19" s="46"/>
      <c r="D19" s="22" t="s">
        <v>112</v>
      </c>
      <c r="E19" s="22">
        <v>563.25</v>
      </c>
      <c r="F19" s="22" t="s">
        <v>113</v>
      </c>
    </row>
    <row r="20" spans="1:6" x14ac:dyDescent="0.3">
      <c r="A20" s="21">
        <v>4</v>
      </c>
      <c r="B20" s="22">
        <v>600.87</v>
      </c>
      <c r="C20" s="22" t="s">
        <v>78</v>
      </c>
      <c r="D20" s="22" t="s">
        <v>78</v>
      </c>
      <c r="E20" s="22">
        <v>600.6</v>
      </c>
      <c r="F20" s="22" t="s">
        <v>91</v>
      </c>
    </row>
    <row r="21" spans="1:6" x14ac:dyDescent="0.3">
      <c r="A21" s="42">
        <v>5</v>
      </c>
      <c r="B21" s="46">
        <v>610.59</v>
      </c>
      <c r="C21" s="46" t="s">
        <v>92</v>
      </c>
      <c r="D21" s="22" t="s">
        <v>93</v>
      </c>
      <c r="E21" s="22">
        <v>609.30999999999995</v>
      </c>
      <c r="F21" s="22" t="s">
        <v>97</v>
      </c>
    </row>
    <row r="22" spans="1:6" x14ac:dyDescent="0.3">
      <c r="A22" s="42"/>
      <c r="B22" s="46"/>
      <c r="C22" s="46"/>
      <c r="D22" s="22" t="s">
        <v>92</v>
      </c>
      <c r="E22" s="22">
        <v>610.33000000000004</v>
      </c>
      <c r="F22" s="22" t="s">
        <v>94</v>
      </c>
    </row>
    <row r="23" spans="1:6" x14ac:dyDescent="0.3">
      <c r="A23" s="42"/>
      <c r="B23" s="46"/>
      <c r="C23" s="46"/>
      <c r="D23" s="22" t="s">
        <v>92</v>
      </c>
      <c r="E23" s="22">
        <v>612.02</v>
      </c>
      <c r="F23" s="22" t="s">
        <v>95</v>
      </c>
    </row>
    <row r="24" spans="1:6" x14ac:dyDescent="0.3">
      <c r="A24" s="42"/>
      <c r="B24" s="46"/>
      <c r="C24" s="46"/>
      <c r="D24" s="22" t="s">
        <v>96</v>
      </c>
      <c r="E24" s="22">
        <v>615</v>
      </c>
      <c r="F24" s="22" t="s">
        <v>98</v>
      </c>
    </row>
    <row r="25" spans="1:6" x14ac:dyDescent="0.3">
      <c r="A25" s="42">
        <v>7</v>
      </c>
      <c r="B25" s="42">
        <v>616.19000000000005</v>
      </c>
      <c r="C25" s="46" t="s">
        <v>36</v>
      </c>
      <c r="D25" s="22" t="s">
        <v>96</v>
      </c>
      <c r="E25" s="22">
        <v>615</v>
      </c>
      <c r="F25" s="22" t="s">
        <v>98</v>
      </c>
    </row>
    <row r="26" spans="1:6" x14ac:dyDescent="0.3">
      <c r="A26" s="42"/>
      <c r="B26" s="42"/>
      <c r="C26" s="46"/>
      <c r="D26" s="22" t="s">
        <v>99</v>
      </c>
      <c r="E26" s="22">
        <v>615.16999999999996</v>
      </c>
      <c r="F26" s="22" t="s">
        <v>102</v>
      </c>
    </row>
    <row r="27" spans="1:6" x14ac:dyDescent="0.3">
      <c r="A27" s="42"/>
      <c r="B27" s="42"/>
      <c r="C27" s="46"/>
      <c r="D27" s="22" t="s">
        <v>36</v>
      </c>
      <c r="E27" s="22">
        <v>616.22</v>
      </c>
      <c r="F27" s="22" t="s">
        <v>103</v>
      </c>
    </row>
    <row r="28" spans="1:6" x14ac:dyDescent="0.3">
      <c r="A28" s="42"/>
      <c r="B28" s="42"/>
      <c r="C28" s="46"/>
      <c r="D28" s="22" t="s">
        <v>42</v>
      </c>
      <c r="E28" s="22">
        <v>617.97</v>
      </c>
      <c r="F28" s="22" t="s">
        <v>104</v>
      </c>
    </row>
    <row r="29" spans="1:6" x14ac:dyDescent="0.3">
      <c r="A29" s="42"/>
      <c r="B29" s="42"/>
      <c r="C29" s="46"/>
      <c r="D29" s="22" t="s">
        <v>100</v>
      </c>
      <c r="E29" s="22">
        <v>618.26</v>
      </c>
      <c r="F29" s="22" t="s">
        <v>105</v>
      </c>
    </row>
    <row r="30" spans="1:6" x14ac:dyDescent="0.3">
      <c r="A30" s="42"/>
      <c r="B30" s="42"/>
      <c r="C30" s="46"/>
      <c r="D30" s="22" t="s">
        <v>99</v>
      </c>
      <c r="E30" s="22">
        <v>618.66</v>
      </c>
      <c r="F30" s="22" t="s">
        <v>106</v>
      </c>
    </row>
    <row r="31" spans="1:6" x14ac:dyDescent="0.3">
      <c r="A31" s="42"/>
      <c r="B31" s="42"/>
      <c r="C31" s="46"/>
      <c r="D31" s="22" t="s">
        <v>101</v>
      </c>
      <c r="E31" s="22">
        <v>619.11</v>
      </c>
      <c r="F31" s="22" t="s">
        <v>107</v>
      </c>
    </row>
    <row r="32" spans="1:6" x14ac:dyDescent="0.3">
      <c r="A32" s="42">
        <v>8</v>
      </c>
      <c r="B32" s="46">
        <v>1168.03</v>
      </c>
      <c r="C32" s="46" t="s">
        <v>112</v>
      </c>
      <c r="D32" s="22" t="s">
        <v>93</v>
      </c>
      <c r="E32" s="22">
        <v>1155.19</v>
      </c>
      <c r="F32" s="22" t="s">
        <v>128</v>
      </c>
    </row>
    <row r="33" spans="1:6" x14ac:dyDescent="0.3">
      <c r="A33" s="42"/>
      <c r="B33" s="46"/>
      <c r="C33" s="46"/>
      <c r="D33" s="22" t="s">
        <v>112</v>
      </c>
      <c r="E33" s="22">
        <v>1167.97</v>
      </c>
      <c r="F33" s="22" t="s">
        <v>124</v>
      </c>
    </row>
    <row r="34" spans="1:6" x14ac:dyDescent="0.3">
      <c r="A34" s="42"/>
      <c r="B34" s="46"/>
      <c r="C34" s="46"/>
      <c r="D34" s="22" t="s">
        <v>125</v>
      </c>
      <c r="E34" s="22">
        <v>1173.3399999999999</v>
      </c>
      <c r="F34" s="22" t="s">
        <v>129</v>
      </c>
    </row>
    <row r="35" spans="1:6" x14ac:dyDescent="0.3">
      <c r="A35" s="42"/>
      <c r="B35" s="46"/>
      <c r="C35" s="46"/>
      <c r="D35" s="22" t="s">
        <v>126</v>
      </c>
      <c r="E35" s="22">
        <v>1177.96</v>
      </c>
      <c r="F35" s="22" t="s">
        <v>128</v>
      </c>
    </row>
    <row r="36" spans="1:6" x14ac:dyDescent="0.3">
      <c r="A36" s="42"/>
      <c r="B36" s="46"/>
      <c r="C36" s="46"/>
      <c r="D36" s="22" t="s">
        <v>127</v>
      </c>
      <c r="E36" s="22">
        <v>1175.0999999999999</v>
      </c>
      <c r="F36" s="22" t="s">
        <v>130</v>
      </c>
    </row>
    <row r="37" spans="1:6" x14ac:dyDescent="0.3">
      <c r="A37" s="42">
        <v>9</v>
      </c>
      <c r="B37" s="46">
        <v>1205</v>
      </c>
      <c r="C37" s="46" t="s">
        <v>132</v>
      </c>
      <c r="D37" s="22" t="s">
        <v>126</v>
      </c>
      <c r="E37" s="22">
        <v>1199.8900000000001</v>
      </c>
      <c r="F37" s="22" t="s">
        <v>133</v>
      </c>
    </row>
    <row r="38" spans="1:6" x14ac:dyDescent="0.3">
      <c r="A38" s="42"/>
      <c r="B38" s="46"/>
      <c r="C38" s="46"/>
      <c r="D38" s="22" t="s">
        <v>131</v>
      </c>
      <c r="E38" s="22">
        <v>1203.69</v>
      </c>
      <c r="F38" s="22" t="s">
        <v>134</v>
      </c>
    </row>
    <row r="39" spans="1:6" x14ac:dyDescent="0.3">
      <c r="A39" s="42"/>
      <c r="B39" s="46"/>
      <c r="C39" s="46"/>
      <c r="D39" s="22" t="s">
        <v>132</v>
      </c>
      <c r="E39" s="22">
        <v>1204.67</v>
      </c>
      <c r="F39" s="22" t="s">
        <v>135</v>
      </c>
    </row>
    <row r="40" spans="1:6" x14ac:dyDescent="0.3">
      <c r="A40" s="42"/>
      <c r="B40" s="46"/>
      <c r="C40" s="46"/>
      <c r="D40" s="22" t="s">
        <v>108</v>
      </c>
      <c r="E40" s="22">
        <v>1212.92</v>
      </c>
      <c r="F40" s="22" t="s">
        <v>128</v>
      </c>
    </row>
    <row r="41" spans="1:6" x14ac:dyDescent="0.3">
      <c r="A41" s="42">
        <v>10</v>
      </c>
      <c r="B41" s="46">
        <v>1532</v>
      </c>
      <c r="C41" s="46" t="s">
        <v>35</v>
      </c>
      <c r="D41" s="22" t="s">
        <v>139</v>
      </c>
      <c r="E41" s="22">
        <v>1529.77</v>
      </c>
      <c r="F41" s="22"/>
    </row>
    <row r="42" spans="1:6" x14ac:dyDescent="0.3">
      <c r="A42" s="42"/>
      <c r="B42" s="46"/>
      <c r="C42" s="46"/>
      <c r="D42" s="22" t="s">
        <v>139</v>
      </c>
      <c r="E42" s="22">
        <v>1533.68</v>
      </c>
      <c r="F42" s="22"/>
    </row>
    <row r="43" spans="1:6" x14ac:dyDescent="0.3">
      <c r="A43" s="42"/>
      <c r="B43" s="46"/>
      <c r="C43" s="46"/>
      <c r="D43" s="22" t="s">
        <v>139</v>
      </c>
      <c r="E43" s="22">
        <v>1536.3</v>
      </c>
      <c r="F43" s="22"/>
    </row>
    <row r="44" spans="1:6" x14ac:dyDescent="0.3">
      <c r="A44" s="42"/>
      <c r="B44" s="46"/>
      <c r="C44" s="46"/>
      <c r="D44" s="22" t="s">
        <v>140</v>
      </c>
      <c r="E44" s="22">
        <v>1538.07</v>
      </c>
      <c r="F44" s="22"/>
    </row>
    <row r="45" spans="1:6" x14ac:dyDescent="0.3">
      <c r="A45" s="42"/>
      <c r="B45" s="46"/>
      <c r="C45" s="46"/>
      <c r="D45" s="22" t="s">
        <v>141</v>
      </c>
      <c r="E45" s="22">
        <f>2*765.81</f>
        <v>1531.62</v>
      </c>
      <c r="F45" s="22" t="s">
        <v>142</v>
      </c>
    </row>
    <row r="46" spans="1:6" x14ac:dyDescent="0.3">
      <c r="A46" s="22"/>
      <c r="B46" s="22"/>
      <c r="C46" s="22"/>
      <c r="D46" s="22"/>
      <c r="E46" s="22"/>
      <c r="F46" s="22"/>
    </row>
  </sheetData>
  <mergeCells count="29">
    <mergeCell ref="C41:C45"/>
    <mergeCell ref="B41:B45"/>
    <mergeCell ref="A41:A45"/>
    <mergeCell ref="A25:A31"/>
    <mergeCell ref="B25:B31"/>
    <mergeCell ref="A32:A36"/>
    <mergeCell ref="B32:B36"/>
    <mergeCell ref="C32:C36"/>
    <mergeCell ref="C37:C40"/>
    <mergeCell ref="B37:B40"/>
    <mergeCell ref="A37:A40"/>
    <mergeCell ref="A12:A15"/>
    <mergeCell ref="C12:C15"/>
    <mergeCell ref="B12:B15"/>
    <mergeCell ref="A7:A11"/>
    <mergeCell ref="B7:B11"/>
    <mergeCell ref="C7:C11"/>
    <mergeCell ref="A21:A24"/>
    <mergeCell ref="B21:B24"/>
    <mergeCell ref="C21:C24"/>
    <mergeCell ref="C25:C31"/>
    <mergeCell ref="C16:C19"/>
    <mergeCell ref="B16:B19"/>
    <mergeCell ref="A16:A19"/>
    <mergeCell ref="A1:F1"/>
    <mergeCell ref="A3:A5"/>
    <mergeCell ref="B3:B5"/>
    <mergeCell ref="C3:C5"/>
    <mergeCell ref="A6:F6"/>
  </mergeCells>
  <phoneticPr fontId="7" type="noConversion"/>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D7D4A-9011-4FA3-9910-4861FBDA64BC}">
  <dimension ref="A1:P45"/>
  <sheetViews>
    <sheetView zoomScaleNormal="100" workbookViewId="0">
      <selection activeCell="N43" sqref="N43"/>
    </sheetView>
  </sheetViews>
  <sheetFormatPr defaultRowHeight="14" x14ac:dyDescent="0.3"/>
  <cols>
    <col min="2" max="4" width="8.6640625" hidden="1" customWidth="1"/>
    <col min="6" max="7" width="8.6640625" hidden="1" customWidth="1"/>
    <col min="9" max="11" width="0" hidden="1" customWidth="1"/>
    <col min="16" max="16" width="16" customWidth="1"/>
  </cols>
  <sheetData>
    <row r="1" spans="1:16" x14ac:dyDescent="0.3">
      <c r="A1" s="47" t="s">
        <v>25</v>
      </c>
      <c r="B1" s="48"/>
      <c r="C1" s="48"/>
      <c r="D1" s="48"/>
      <c r="E1" s="48"/>
      <c r="F1" s="48"/>
      <c r="G1" s="48"/>
      <c r="H1" s="48"/>
      <c r="I1" s="48"/>
      <c r="J1" s="48"/>
      <c r="K1" s="49"/>
      <c r="M1" s="41" t="s">
        <v>45</v>
      </c>
      <c r="N1" s="41"/>
    </row>
    <row r="2" spans="1:16" ht="14.5" thickBot="1" x14ac:dyDescent="0.35">
      <c r="A2" s="50"/>
      <c r="B2" s="51"/>
      <c r="C2" s="51"/>
      <c r="D2" s="51"/>
      <c r="E2" s="51"/>
      <c r="F2" s="51"/>
      <c r="G2" s="51"/>
      <c r="H2" s="51"/>
      <c r="I2" s="51"/>
      <c r="J2" s="51"/>
      <c r="K2" s="52"/>
      <c r="M2" s="41"/>
      <c r="N2" s="41"/>
    </row>
    <row r="3" spans="1:16" ht="15" thickTop="1" thickBot="1" x14ac:dyDescent="0.35">
      <c r="A3" s="2" t="s">
        <v>1</v>
      </c>
      <c r="B3" s="39" t="s">
        <v>26</v>
      </c>
      <c r="C3" s="40"/>
      <c r="D3" s="2" t="s">
        <v>2</v>
      </c>
      <c r="E3" s="2" t="s">
        <v>5</v>
      </c>
      <c r="F3" s="2" t="s">
        <v>6</v>
      </c>
      <c r="G3" s="2" t="s">
        <v>7</v>
      </c>
      <c r="H3" s="39" t="s">
        <v>8</v>
      </c>
      <c r="I3" s="40"/>
      <c r="J3" s="2" t="s">
        <v>9</v>
      </c>
      <c r="K3" s="2" t="s">
        <v>4</v>
      </c>
      <c r="L3" s="6" t="s">
        <v>47</v>
      </c>
      <c r="M3" s="2" t="s">
        <v>39</v>
      </c>
      <c r="N3" s="2" t="s">
        <v>48</v>
      </c>
      <c r="P3" s="4" t="s">
        <v>136</v>
      </c>
    </row>
    <row r="4" spans="1:16" ht="15" thickTop="1" thickBot="1" x14ac:dyDescent="0.35">
      <c r="A4" s="2">
        <v>1</v>
      </c>
      <c r="B4" s="2">
        <v>11.36</v>
      </c>
      <c r="C4" s="2">
        <v>18.43</v>
      </c>
      <c r="D4" s="2">
        <v>41525</v>
      </c>
      <c r="E4" s="2">
        <v>15.74</v>
      </c>
      <c r="F4" s="2">
        <v>0.24</v>
      </c>
      <c r="G4" s="2">
        <v>2.39</v>
      </c>
      <c r="H4" s="2" t="s">
        <v>27</v>
      </c>
      <c r="I4" s="2">
        <v>15.8</v>
      </c>
      <c r="J4" s="2">
        <v>0</v>
      </c>
      <c r="K4" s="2">
        <v>0</v>
      </c>
      <c r="L4" s="6"/>
      <c r="M4" s="2" t="s">
        <v>75</v>
      </c>
      <c r="N4" s="5">
        <v>15.08</v>
      </c>
      <c r="P4" s="25" t="s">
        <v>137</v>
      </c>
    </row>
    <row r="5" spans="1:16" ht="15" thickTop="1" thickBot="1" x14ac:dyDescent="0.35">
      <c r="A5" s="2">
        <v>2</v>
      </c>
      <c r="B5" s="2">
        <v>22.55</v>
      </c>
      <c r="C5" s="2">
        <v>127.34</v>
      </c>
      <c r="D5" s="2">
        <v>442228</v>
      </c>
      <c r="E5" s="2">
        <v>25.2</v>
      </c>
      <c r="F5" s="2">
        <v>0.28999999999999998</v>
      </c>
      <c r="G5" s="2">
        <v>0.47</v>
      </c>
      <c r="H5" s="2" t="s">
        <v>28</v>
      </c>
      <c r="I5" s="2">
        <v>25.27</v>
      </c>
      <c r="J5" s="2">
        <v>0</v>
      </c>
      <c r="K5" s="2">
        <v>0</v>
      </c>
      <c r="L5" s="6"/>
      <c r="M5" s="2" t="s">
        <v>40</v>
      </c>
      <c r="N5" s="5">
        <v>98.2</v>
      </c>
      <c r="P5" s="26" t="s">
        <v>138</v>
      </c>
    </row>
    <row r="6" spans="1:16" ht="15" thickTop="1" thickBot="1" x14ac:dyDescent="0.35">
      <c r="L6" s="11"/>
      <c r="M6" s="2" t="s">
        <v>40</v>
      </c>
      <c r="N6" s="5">
        <v>110.58</v>
      </c>
    </row>
    <row r="7" spans="1:16" ht="15" thickTop="1" thickBot="1" x14ac:dyDescent="0.35">
      <c r="A7" s="2">
        <v>3</v>
      </c>
      <c r="B7" s="2">
        <v>129.69999999999999</v>
      </c>
      <c r="C7" s="2">
        <v>136.76</v>
      </c>
      <c r="D7" s="2">
        <v>57705</v>
      </c>
      <c r="E7" s="2">
        <v>133.06</v>
      </c>
      <c r="F7" s="2">
        <v>1.92</v>
      </c>
      <c r="G7" s="2">
        <v>2.96</v>
      </c>
      <c r="H7" s="8" t="s">
        <v>29</v>
      </c>
      <c r="I7" s="2">
        <v>133.02000000000001</v>
      </c>
      <c r="J7" s="2">
        <v>0</v>
      </c>
      <c r="K7" s="2">
        <v>0</v>
      </c>
      <c r="L7" s="6" t="s">
        <v>38</v>
      </c>
      <c r="M7" s="3" t="s">
        <v>37</v>
      </c>
      <c r="N7" s="5">
        <v>132.97999999999999</v>
      </c>
    </row>
    <row r="8" spans="1:16" ht="15" thickTop="1" thickBot="1" x14ac:dyDescent="0.35">
      <c r="L8" s="6"/>
      <c r="M8" s="9" t="s">
        <v>41</v>
      </c>
      <c r="N8" s="5">
        <v>145.36000000000001</v>
      </c>
    </row>
    <row r="9" spans="1:16" ht="15" thickTop="1" thickBot="1" x14ac:dyDescent="0.35">
      <c r="A9" s="2">
        <v>4</v>
      </c>
      <c r="B9" s="2">
        <v>140</v>
      </c>
      <c r="C9" s="2">
        <v>420.82</v>
      </c>
      <c r="D9" s="2">
        <v>1455625</v>
      </c>
      <c r="E9" s="2">
        <v>205.44</v>
      </c>
      <c r="F9" s="2">
        <v>72.25</v>
      </c>
      <c r="G9" s="2">
        <v>131.16999999999999</v>
      </c>
      <c r="H9" s="8" t="s">
        <v>12</v>
      </c>
      <c r="I9" s="2">
        <v>205.31</v>
      </c>
      <c r="J9" s="2">
        <v>0</v>
      </c>
      <c r="K9" s="2">
        <v>0</v>
      </c>
      <c r="L9" s="6" t="s">
        <v>49</v>
      </c>
      <c r="M9" s="1"/>
    </row>
    <row r="10" spans="1:16" ht="15" thickTop="1" thickBot="1" x14ac:dyDescent="0.35">
      <c r="A10" s="2">
        <v>5</v>
      </c>
      <c r="B10" s="2">
        <v>424.05</v>
      </c>
      <c r="C10" s="2">
        <v>431.41</v>
      </c>
      <c r="D10" s="2">
        <v>34106</v>
      </c>
      <c r="E10" s="2">
        <v>427.67</v>
      </c>
      <c r="F10" s="2">
        <v>1.91</v>
      </c>
      <c r="G10" s="2">
        <v>2.98</v>
      </c>
      <c r="H10" s="3" t="s">
        <v>30</v>
      </c>
      <c r="I10" s="2">
        <v>427.88</v>
      </c>
      <c r="J10" s="2">
        <v>0</v>
      </c>
      <c r="K10" s="2">
        <v>0</v>
      </c>
      <c r="L10" s="6" t="s">
        <v>30</v>
      </c>
      <c r="M10" s="3" t="s">
        <v>30</v>
      </c>
      <c r="N10" s="5">
        <v>427.94</v>
      </c>
    </row>
    <row r="11" spans="1:16" ht="15" thickTop="1" thickBot="1" x14ac:dyDescent="0.35">
      <c r="L11" s="6" t="s">
        <v>78</v>
      </c>
      <c r="M11" s="9" t="s">
        <v>21</v>
      </c>
      <c r="N11" s="5">
        <v>463.3</v>
      </c>
    </row>
    <row r="12" spans="1:16" ht="15" thickTop="1" thickBot="1" x14ac:dyDescent="0.35">
      <c r="A12" s="2">
        <v>6</v>
      </c>
      <c r="B12" s="2">
        <v>493.23</v>
      </c>
      <c r="C12" s="2">
        <v>500.29</v>
      </c>
      <c r="D12" s="2">
        <v>52347</v>
      </c>
      <c r="E12" s="2">
        <v>496.8</v>
      </c>
      <c r="F12" s="2">
        <v>2.0499999999999998</v>
      </c>
      <c r="G12" s="2">
        <v>3.09</v>
      </c>
      <c r="H12" s="3" t="s">
        <v>31</v>
      </c>
      <c r="I12" s="2">
        <v>497.08</v>
      </c>
      <c r="J12" s="2">
        <v>0</v>
      </c>
      <c r="K12" s="2">
        <v>0</v>
      </c>
      <c r="L12" s="6" t="s">
        <v>31</v>
      </c>
      <c r="M12" s="3" t="s">
        <v>31</v>
      </c>
      <c r="N12" s="5">
        <v>497.18</v>
      </c>
    </row>
    <row r="13" spans="1:16" ht="15" thickTop="1" thickBot="1" x14ac:dyDescent="0.35">
      <c r="A13" s="2">
        <v>7</v>
      </c>
      <c r="B13" s="2">
        <v>507.95</v>
      </c>
      <c r="C13" s="2">
        <v>515.01</v>
      </c>
      <c r="D13" s="2">
        <v>62902</v>
      </c>
      <c r="E13" s="2">
        <v>511.58</v>
      </c>
      <c r="F13" s="2">
        <v>2.08</v>
      </c>
      <c r="G13" s="2">
        <v>3.15</v>
      </c>
      <c r="H13" s="8" t="s">
        <v>11</v>
      </c>
      <c r="I13" s="2">
        <v>511.66</v>
      </c>
      <c r="J13" s="2">
        <v>0</v>
      </c>
      <c r="K13" s="2">
        <v>0</v>
      </c>
      <c r="L13" s="6" t="s">
        <v>36</v>
      </c>
      <c r="M13" s="3" t="s">
        <v>13</v>
      </c>
      <c r="N13" s="5">
        <v>511.91</v>
      </c>
    </row>
    <row r="14" spans="1:16" ht="15" thickTop="1" thickBot="1" x14ac:dyDescent="0.35">
      <c r="L14" s="24" t="s">
        <v>112</v>
      </c>
      <c r="M14" s="9" t="s">
        <v>10</v>
      </c>
      <c r="N14" s="5">
        <v>563.16999999999996</v>
      </c>
    </row>
    <row r="15" spans="1:16" ht="15" thickTop="1" thickBot="1" x14ac:dyDescent="0.35">
      <c r="A15" s="2">
        <v>8</v>
      </c>
      <c r="B15" s="2">
        <v>565.64</v>
      </c>
      <c r="C15" s="2">
        <v>572.70000000000005</v>
      </c>
      <c r="D15" s="2">
        <v>33052</v>
      </c>
      <c r="E15" s="2">
        <v>569.13</v>
      </c>
      <c r="F15" s="2">
        <v>2.17</v>
      </c>
      <c r="G15" s="2">
        <v>3.38</v>
      </c>
      <c r="H15" s="3" t="s">
        <v>15</v>
      </c>
      <c r="I15" s="2">
        <v>569.33000000000004</v>
      </c>
      <c r="J15" s="2">
        <v>0</v>
      </c>
      <c r="K15" s="2">
        <v>0</v>
      </c>
      <c r="L15" s="6" t="s">
        <v>15</v>
      </c>
      <c r="M15" s="3" t="s">
        <v>15</v>
      </c>
      <c r="N15" s="5">
        <v>569.65</v>
      </c>
    </row>
    <row r="16" spans="1:16" ht="15" thickTop="1" thickBot="1" x14ac:dyDescent="0.35">
      <c r="L16" s="11" t="s">
        <v>78</v>
      </c>
      <c r="M16" s="9" t="s">
        <v>76</v>
      </c>
      <c r="N16" s="5">
        <v>600.87</v>
      </c>
    </row>
    <row r="17" spans="1:14" ht="15" thickTop="1" thickBot="1" x14ac:dyDescent="0.35">
      <c r="A17" s="2">
        <v>9</v>
      </c>
      <c r="B17" s="2">
        <v>600.96</v>
      </c>
      <c r="C17" s="2">
        <v>608.03</v>
      </c>
      <c r="D17" s="2">
        <v>40471</v>
      </c>
      <c r="E17" s="2">
        <v>604.47</v>
      </c>
      <c r="F17" s="2">
        <v>2.06</v>
      </c>
      <c r="G17" s="2">
        <v>3.12</v>
      </c>
      <c r="H17" s="3" t="s">
        <v>15</v>
      </c>
      <c r="I17" s="2">
        <v>604.72</v>
      </c>
      <c r="J17" s="2">
        <v>0</v>
      </c>
      <c r="K17" s="2">
        <v>0</v>
      </c>
      <c r="L17" s="6" t="s">
        <v>15</v>
      </c>
      <c r="M17" s="9" t="s">
        <v>76</v>
      </c>
      <c r="N17" s="5">
        <v>604.99</v>
      </c>
    </row>
    <row r="18" spans="1:14" ht="14.5" thickTop="1" x14ac:dyDescent="0.3">
      <c r="L18" s="11" t="s">
        <v>92</v>
      </c>
      <c r="M18" s="3" t="s">
        <v>31</v>
      </c>
      <c r="N18" s="5">
        <v>610.59</v>
      </c>
    </row>
    <row r="19" spans="1:14" ht="14.5" thickBot="1" x14ac:dyDescent="0.35">
      <c r="L19" s="11" t="s">
        <v>36</v>
      </c>
      <c r="M19" s="9" t="s">
        <v>42</v>
      </c>
      <c r="N19" s="5">
        <v>616.19000000000005</v>
      </c>
    </row>
    <row r="20" spans="1:14" ht="15" thickTop="1" thickBot="1" x14ac:dyDescent="0.35">
      <c r="A20" s="2">
        <v>10</v>
      </c>
      <c r="B20" s="2">
        <v>618.33000000000004</v>
      </c>
      <c r="C20" s="2">
        <v>625.39</v>
      </c>
      <c r="D20" s="2">
        <v>46402</v>
      </c>
      <c r="E20" s="2">
        <v>621.73</v>
      </c>
      <c r="F20" s="2">
        <v>2.11</v>
      </c>
      <c r="G20" s="2">
        <v>3.19</v>
      </c>
      <c r="H20" s="9" t="s">
        <v>32</v>
      </c>
      <c r="I20" s="2">
        <v>621.77</v>
      </c>
      <c r="J20" s="2">
        <v>0</v>
      </c>
      <c r="K20" s="2">
        <v>0</v>
      </c>
      <c r="L20" s="6" t="s">
        <v>36</v>
      </c>
      <c r="M20" s="9" t="s">
        <v>20</v>
      </c>
      <c r="N20" s="5">
        <v>622.37</v>
      </c>
    </row>
    <row r="21" spans="1:14" ht="15" thickTop="1" thickBot="1" x14ac:dyDescent="0.35">
      <c r="A21" s="2">
        <v>11</v>
      </c>
      <c r="B21" s="2">
        <v>657.77</v>
      </c>
      <c r="C21" s="2">
        <v>664.84</v>
      </c>
      <c r="D21" s="2">
        <v>191872</v>
      </c>
      <c r="E21" s="2">
        <v>661.36</v>
      </c>
      <c r="F21" s="2">
        <v>2.14</v>
      </c>
      <c r="G21" s="2">
        <v>3.29</v>
      </c>
      <c r="H21" s="3" t="s">
        <v>16</v>
      </c>
      <c r="I21" s="2">
        <v>661.66</v>
      </c>
      <c r="J21" s="2">
        <v>0</v>
      </c>
      <c r="K21" s="2">
        <v>0</v>
      </c>
      <c r="L21" s="6" t="s">
        <v>16</v>
      </c>
      <c r="M21" s="3" t="s">
        <v>16</v>
      </c>
      <c r="N21" s="5">
        <v>661.84</v>
      </c>
    </row>
    <row r="22" spans="1:14" ht="15" thickTop="1" thickBot="1" x14ac:dyDescent="0.35">
      <c r="A22" s="2">
        <v>12</v>
      </c>
      <c r="B22" s="2">
        <v>692.8</v>
      </c>
      <c r="C22" s="2">
        <v>699.86</v>
      </c>
      <c r="D22" s="2">
        <v>52999</v>
      </c>
      <c r="E22" s="2">
        <v>696.2</v>
      </c>
      <c r="F22" s="2">
        <v>2.17</v>
      </c>
      <c r="G22" s="2">
        <v>3.29</v>
      </c>
      <c r="H22" s="9" t="s">
        <v>14</v>
      </c>
      <c r="I22" s="2">
        <v>696.24</v>
      </c>
      <c r="J22" s="2">
        <v>0</v>
      </c>
      <c r="K22" s="2">
        <v>0</v>
      </c>
      <c r="L22" s="6" t="s">
        <v>34</v>
      </c>
      <c r="M22" s="3" t="s">
        <v>24</v>
      </c>
      <c r="N22" s="5">
        <v>696.89</v>
      </c>
    </row>
    <row r="23" spans="1:14" ht="15" thickTop="1" thickBot="1" x14ac:dyDescent="0.35">
      <c r="A23" s="2">
        <v>13</v>
      </c>
      <c r="B23" s="2">
        <v>720.47</v>
      </c>
      <c r="C23" s="2">
        <v>727.53</v>
      </c>
      <c r="D23" s="2">
        <v>191597</v>
      </c>
      <c r="E23" s="2">
        <v>723.9</v>
      </c>
      <c r="F23" s="2">
        <v>2.17</v>
      </c>
      <c r="G23" s="2">
        <v>3.31</v>
      </c>
      <c r="H23" s="3" t="s">
        <v>17</v>
      </c>
      <c r="I23" s="2">
        <v>724.2</v>
      </c>
      <c r="J23" s="2">
        <v>0</v>
      </c>
      <c r="K23" s="2">
        <v>0</v>
      </c>
      <c r="L23" s="6" t="s">
        <v>17</v>
      </c>
      <c r="M23" s="3" t="s">
        <v>17</v>
      </c>
      <c r="N23" s="5">
        <v>724.58</v>
      </c>
    </row>
    <row r="24" spans="1:14" ht="15" thickTop="1" thickBot="1" x14ac:dyDescent="0.35">
      <c r="A24" s="2">
        <v>14</v>
      </c>
      <c r="B24" s="2">
        <v>752.85</v>
      </c>
      <c r="C24" s="2">
        <v>759.91</v>
      </c>
      <c r="D24" s="2">
        <v>227284</v>
      </c>
      <c r="E24" s="2">
        <v>756.43</v>
      </c>
      <c r="F24" s="2">
        <v>2.19</v>
      </c>
      <c r="G24" s="2">
        <v>3.36</v>
      </c>
      <c r="H24" s="3" t="s">
        <v>17</v>
      </c>
      <c r="I24" s="2">
        <v>756.73</v>
      </c>
      <c r="J24" s="2">
        <v>0</v>
      </c>
      <c r="K24" s="2">
        <v>0</v>
      </c>
      <c r="L24" s="6" t="s">
        <v>17</v>
      </c>
      <c r="M24" s="3" t="s">
        <v>17</v>
      </c>
      <c r="N24" s="5">
        <v>756.98</v>
      </c>
    </row>
    <row r="25" spans="1:14" ht="15" thickTop="1" thickBot="1" x14ac:dyDescent="0.35">
      <c r="A25" s="2">
        <v>15</v>
      </c>
      <c r="B25" s="2">
        <v>761.97</v>
      </c>
      <c r="C25" s="2">
        <v>769.04</v>
      </c>
      <c r="D25" s="2">
        <v>804325</v>
      </c>
      <c r="E25" s="2">
        <v>765.5</v>
      </c>
      <c r="F25" s="2">
        <v>2.2000000000000002</v>
      </c>
      <c r="G25" s="2">
        <v>3.36</v>
      </c>
      <c r="H25" s="9" t="s">
        <v>18</v>
      </c>
      <c r="I25" s="2">
        <v>765.28</v>
      </c>
      <c r="J25" s="2">
        <v>0</v>
      </c>
      <c r="K25" s="2">
        <v>0</v>
      </c>
      <c r="L25" s="6" t="s">
        <v>35</v>
      </c>
      <c r="M25" s="9" t="s">
        <v>40</v>
      </c>
      <c r="N25" s="5">
        <v>766.11</v>
      </c>
    </row>
    <row r="26" spans="1:14" ht="15" thickTop="1" thickBot="1" x14ac:dyDescent="0.35">
      <c r="A26" s="2">
        <v>16</v>
      </c>
      <c r="B26" s="2">
        <v>792</v>
      </c>
      <c r="C26" s="2">
        <v>805.24</v>
      </c>
      <c r="D26" s="2">
        <v>10766</v>
      </c>
      <c r="E26" s="2">
        <v>795.54</v>
      </c>
      <c r="F26" s="2">
        <v>2.2799999999999998</v>
      </c>
      <c r="G26" s="2">
        <v>3.43</v>
      </c>
      <c r="H26" s="3" t="s">
        <v>15</v>
      </c>
      <c r="I26" s="2">
        <v>795.86</v>
      </c>
      <c r="J26" s="2">
        <v>0</v>
      </c>
      <c r="K26" s="2">
        <v>0</v>
      </c>
      <c r="L26" s="6" t="s">
        <v>15</v>
      </c>
      <c r="M26" s="3" t="s">
        <v>15</v>
      </c>
      <c r="N26" s="5">
        <v>796.15</v>
      </c>
    </row>
    <row r="27" spans="1:14" ht="14.5" thickTop="1" x14ac:dyDescent="0.3">
      <c r="L27" s="24" t="s">
        <v>112</v>
      </c>
      <c r="M27" s="3" t="s">
        <v>15</v>
      </c>
      <c r="N27" s="5">
        <v>802.33</v>
      </c>
    </row>
    <row r="28" spans="1:14" ht="14.5" thickBot="1" x14ac:dyDescent="0.35">
      <c r="L28" s="24" t="s">
        <v>49</v>
      </c>
      <c r="M28" s="8" t="s">
        <v>77</v>
      </c>
      <c r="N28" s="5">
        <v>805.87</v>
      </c>
    </row>
    <row r="29" spans="1:14" ht="15" thickTop="1" thickBot="1" x14ac:dyDescent="0.35">
      <c r="A29" s="2">
        <v>17</v>
      </c>
      <c r="B29" s="2">
        <v>869.41</v>
      </c>
      <c r="C29" s="2">
        <v>876.77</v>
      </c>
      <c r="D29" s="2">
        <v>1583</v>
      </c>
      <c r="E29" s="2">
        <v>873.25</v>
      </c>
      <c r="F29" s="2">
        <v>2.33</v>
      </c>
      <c r="G29" s="2">
        <v>3.48</v>
      </c>
      <c r="H29" s="9" t="s">
        <v>19</v>
      </c>
      <c r="I29" s="2">
        <v>873.19</v>
      </c>
      <c r="J29" s="2">
        <v>0</v>
      </c>
      <c r="K29" s="2">
        <v>0</v>
      </c>
      <c r="L29" s="6" t="s">
        <v>36</v>
      </c>
      <c r="M29" s="9" t="s">
        <v>42</v>
      </c>
      <c r="N29" s="5">
        <v>873.89</v>
      </c>
    </row>
    <row r="30" spans="1:14" ht="15" thickTop="1" thickBot="1" x14ac:dyDescent="0.35">
      <c r="A30" s="2">
        <v>18</v>
      </c>
      <c r="B30" s="2">
        <v>878.54</v>
      </c>
      <c r="C30" s="2">
        <v>1040.43</v>
      </c>
      <c r="D30" s="2">
        <v>14843</v>
      </c>
      <c r="E30" s="2">
        <v>1038.68</v>
      </c>
      <c r="F30" s="2">
        <v>1.46</v>
      </c>
      <c r="G30" s="2">
        <v>3.23</v>
      </c>
      <c r="H30" s="8" t="s">
        <v>15</v>
      </c>
      <c r="I30" s="2">
        <v>1038.6099999999999</v>
      </c>
      <c r="J30" s="2">
        <v>0</v>
      </c>
      <c r="K30" s="2">
        <v>0</v>
      </c>
      <c r="L30" s="6" t="s">
        <v>49</v>
      </c>
      <c r="M30" s="1"/>
    </row>
    <row r="31" spans="1:14" ht="15" thickTop="1" thickBot="1" x14ac:dyDescent="0.35">
      <c r="A31" s="2">
        <v>19</v>
      </c>
      <c r="B31" s="2">
        <v>1046.32</v>
      </c>
      <c r="C31" s="2">
        <v>1053.67</v>
      </c>
      <c r="D31" s="2">
        <v>2774</v>
      </c>
      <c r="E31" s="2">
        <v>1050.1300000000001</v>
      </c>
      <c r="F31" s="2">
        <v>2.39</v>
      </c>
      <c r="G31" s="2">
        <v>3.61</v>
      </c>
      <c r="H31" s="3" t="s">
        <v>13</v>
      </c>
      <c r="I31" s="2">
        <v>1050.4100000000001</v>
      </c>
      <c r="J31" s="2">
        <v>0</v>
      </c>
      <c r="K31" s="2">
        <v>0</v>
      </c>
      <c r="L31" s="6" t="s">
        <v>13</v>
      </c>
      <c r="M31" s="3" t="s">
        <v>13</v>
      </c>
      <c r="N31" s="5">
        <v>1050.8599999999999</v>
      </c>
    </row>
    <row r="32" spans="1:14" ht="15" thickTop="1" thickBot="1" x14ac:dyDescent="0.35">
      <c r="A32" s="2">
        <v>20</v>
      </c>
      <c r="B32" s="2">
        <v>1124.02</v>
      </c>
      <c r="C32" s="2">
        <v>1131.0899999999999</v>
      </c>
      <c r="D32" s="2">
        <v>966</v>
      </c>
      <c r="E32" s="2">
        <v>1127.92</v>
      </c>
      <c r="F32" s="2">
        <v>2.2999999999999998</v>
      </c>
      <c r="G32" s="2">
        <v>3.81</v>
      </c>
      <c r="H32" s="3" t="s">
        <v>13</v>
      </c>
      <c r="I32" s="2">
        <v>1128.07</v>
      </c>
      <c r="J32" s="2">
        <v>0</v>
      </c>
      <c r="K32" s="2">
        <v>0</v>
      </c>
      <c r="L32" s="6" t="s">
        <v>13</v>
      </c>
      <c r="M32" s="9" t="s">
        <v>43</v>
      </c>
      <c r="N32" s="5">
        <v>1128.58</v>
      </c>
    </row>
    <row r="33" spans="1:14" ht="15" thickTop="1" thickBot="1" x14ac:dyDescent="0.35">
      <c r="L33" s="24" t="s">
        <v>112</v>
      </c>
      <c r="M33" s="3" t="s">
        <v>15</v>
      </c>
      <c r="N33" s="5">
        <v>1168.03</v>
      </c>
    </row>
    <row r="34" spans="1:14" ht="15" thickTop="1" thickBot="1" x14ac:dyDescent="0.35">
      <c r="A34" s="2">
        <v>21</v>
      </c>
      <c r="B34" s="2">
        <v>1201.1400000000001</v>
      </c>
      <c r="C34" s="2">
        <v>1208.21</v>
      </c>
      <c r="D34" s="2">
        <v>942</v>
      </c>
      <c r="E34" s="2">
        <v>1204.3499999999999</v>
      </c>
      <c r="F34" s="2">
        <v>2.3199999999999998</v>
      </c>
      <c r="G34" s="2">
        <v>3.53</v>
      </c>
      <c r="H34" s="3" t="s">
        <v>33</v>
      </c>
      <c r="I34" s="2">
        <v>1204.67</v>
      </c>
      <c r="J34" s="2">
        <v>0</v>
      </c>
      <c r="K34" s="2">
        <v>0</v>
      </c>
      <c r="L34" s="6" t="s">
        <v>132</v>
      </c>
      <c r="M34" s="3" t="s">
        <v>33</v>
      </c>
      <c r="N34" s="5">
        <v>1205.1199999999999</v>
      </c>
    </row>
    <row r="35" spans="1:14" ht="15" thickTop="1" thickBot="1" x14ac:dyDescent="0.35">
      <c r="A35" s="2">
        <v>22</v>
      </c>
      <c r="B35" s="2">
        <v>1211.44</v>
      </c>
      <c r="C35" s="2">
        <v>1451.04</v>
      </c>
      <c r="D35" s="2">
        <v>10665</v>
      </c>
      <c r="E35" s="2">
        <v>1365.21</v>
      </c>
      <c r="F35" s="2">
        <v>2.57</v>
      </c>
      <c r="G35" s="2">
        <v>4.13</v>
      </c>
      <c r="H35" s="3" t="s">
        <v>15</v>
      </c>
      <c r="I35" s="2">
        <v>1365.19</v>
      </c>
      <c r="J35" s="2">
        <v>0</v>
      </c>
      <c r="K35" s="2">
        <v>0</v>
      </c>
      <c r="L35" s="6" t="s">
        <v>15</v>
      </c>
      <c r="M35" s="9" t="s">
        <v>77</v>
      </c>
      <c r="N35" s="5">
        <v>1365.83</v>
      </c>
    </row>
    <row r="36" spans="1:14" ht="14.5" thickTop="1" x14ac:dyDescent="0.3">
      <c r="L36" s="24" t="s">
        <v>34</v>
      </c>
      <c r="M36" s="9" t="s">
        <v>44</v>
      </c>
      <c r="N36" s="5">
        <v>1387.9</v>
      </c>
    </row>
    <row r="37" spans="1:14" ht="14.5" thickBot="1" x14ac:dyDescent="0.35">
      <c r="L37" s="24" t="s">
        <v>49</v>
      </c>
      <c r="M37" s="8" t="s">
        <v>43</v>
      </c>
      <c r="N37" s="5">
        <v>1457.06</v>
      </c>
    </row>
    <row r="38" spans="1:14" ht="15" thickTop="1" thickBot="1" x14ac:dyDescent="0.35">
      <c r="A38" s="2">
        <v>23</v>
      </c>
      <c r="B38" s="2">
        <v>1457.22</v>
      </c>
      <c r="C38" s="2">
        <v>1464.29</v>
      </c>
      <c r="D38" s="2">
        <v>1080</v>
      </c>
      <c r="E38" s="2">
        <v>1460.95</v>
      </c>
      <c r="F38" s="2">
        <v>2.64</v>
      </c>
      <c r="G38" s="2">
        <v>3.93</v>
      </c>
      <c r="H38" s="3" t="s">
        <v>22</v>
      </c>
      <c r="I38" s="2">
        <v>1461</v>
      </c>
      <c r="J38" s="2">
        <v>0</v>
      </c>
      <c r="K38" s="2">
        <v>0</v>
      </c>
      <c r="L38" s="6" t="s">
        <v>22</v>
      </c>
      <c r="M38" s="9" t="s">
        <v>43</v>
      </c>
      <c r="N38" s="5">
        <v>1461.48</v>
      </c>
    </row>
    <row r="39" spans="1:14" ht="15" thickTop="1" thickBot="1" x14ac:dyDescent="0.35">
      <c r="L39" s="24" t="s">
        <v>49</v>
      </c>
      <c r="M39" s="8" t="s">
        <v>24</v>
      </c>
      <c r="N39" s="5">
        <v>1484.43</v>
      </c>
    </row>
    <row r="40" spans="1:14" ht="15" thickTop="1" thickBot="1" x14ac:dyDescent="0.35">
      <c r="A40" s="2">
        <v>24</v>
      </c>
      <c r="B40" s="2">
        <v>1485.19</v>
      </c>
      <c r="C40" s="2">
        <v>1492.54</v>
      </c>
      <c r="D40" s="2">
        <v>5061</v>
      </c>
      <c r="E40" s="2">
        <v>1488.96</v>
      </c>
      <c r="F40" s="2">
        <v>2.62</v>
      </c>
      <c r="G40" s="2">
        <v>3.99</v>
      </c>
      <c r="H40" s="9" t="s">
        <v>23</v>
      </c>
      <c r="I40" s="2">
        <v>1488.89</v>
      </c>
      <c r="J40" s="2">
        <v>0</v>
      </c>
      <c r="K40" s="2">
        <v>0</v>
      </c>
      <c r="L40" s="6" t="s">
        <v>34</v>
      </c>
      <c r="M40" s="3" t="s">
        <v>24</v>
      </c>
      <c r="N40" s="5">
        <v>1489.73</v>
      </c>
    </row>
    <row r="41" spans="1:14" ht="15" thickTop="1" thickBot="1" x14ac:dyDescent="0.35">
      <c r="L41" s="11" t="s">
        <v>35</v>
      </c>
      <c r="M41" s="9" t="s">
        <v>14</v>
      </c>
      <c r="N41" s="5">
        <v>1532.98</v>
      </c>
    </row>
    <row r="42" spans="1:14" ht="15" thickTop="1" thickBot="1" x14ac:dyDescent="0.35">
      <c r="A42" s="2">
        <v>25</v>
      </c>
      <c r="B42" s="2">
        <v>1501.37</v>
      </c>
      <c r="C42" s="2">
        <v>2166.29</v>
      </c>
      <c r="D42" s="2">
        <v>12129</v>
      </c>
      <c r="E42" s="2">
        <v>1562.12</v>
      </c>
      <c r="F42" s="2">
        <v>2.31</v>
      </c>
      <c r="G42" s="2">
        <v>3.88</v>
      </c>
      <c r="H42" s="8" t="s">
        <v>13</v>
      </c>
      <c r="I42" s="2">
        <v>1562.25</v>
      </c>
      <c r="J42" s="2">
        <v>0</v>
      </c>
      <c r="K42" s="2">
        <v>0</v>
      </c>
      <c r="L42" s="6"/>
      <c r="M42" s="8" t="s">
        <v>43</v>
      </c>
      <c r="N42" s="5">
        <v>1563.29</v>
      </c>
    </row>
    <row r="43" spans="1:14" ht="15" thickTop="1" thickBot="1" x14ac:dyDescent="0.35">
      <c r="L43" s="11"/>
      <c r="M43" s="9" t="s">
        <v>43</v>
      </c>
      <c r="N43" s="5">
        <v>1674.81</v>
      </c>
    </row>
    <row r="44" spans="1:14" ht="15" thickTop="1" thickBot="1" x14ac:dyDescent="0.35">
      <c r="A44" s="2">
        <v>26</v>
      </c>
      <c r="B44" s="2">
        <v>2182.1799999999998</v>
      </c>
      <c r="C44" s="2">
        <v>2189.25</v>
      </c>
      <c r="D44" s="2">
        <v>10513</v>
      </c>
      <c r="E44" s="2">
        <v>2185.64</v>
      </c>
      <c r="F44" s="2">
        <v>2.93</v>
      </c>
      <c r="G44" s="2">
        <v>4.38</v>
      </c>
      <c r="H44" s="3" t="s">
        <v>24</v>
      </c>
      <c r="I44" s="2">
        <v>2185.66</v>
      </c>
      <c r="J44" s="2">
        <v>0</v>
      </c>
      <c r="K44" s="2">
        <v>0</v>
      </c>
      <c r="L44" s="6" t="s">
        <v>34</v>
      </c>
      <c r="M44" s="3" t="s">
        <v>24</v>
      </c>
      <c r="N44" s="5">
        <v>2186.0100000000002</v>
      </c>
    </row>
    <row r="45" spans="1:14" ht="14.5" thickTop="1" x14ac:dyDescent="0.3"/>
  </sheetData>
  <mergeCells count="4">
    <mergeCell ref="A1:K2"/>
    <mergeCell ref="B3:C3"/>
    <mergeCell ref="H3:I3"/>
    <mergeCell ref="M1:N2"/>
  </mergeCells>
  <phoneticPr fontId="7" type="noConversion"/>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303AF-8E39-4D24-B82C-07E3E3A4A5B1}">
  <dimension ref="A1:AH38"/>
  <sheetViews>
    <sheetView tabSelected="1" zoomScale="115" zoomScaleNormal="115" workbookViewId="0">
      <pane xSplit="4" ySplit="2" topLeftCell="M3" activePane="bottomRight" state="frozen"/>
      <selection pane="topRight" activeCell="D1" sqref="D1"/>
      <selection pane="bottomLeft" activeCell="A3" sqref="A3"/>
      <selection pane="bottomRight" activeCell="A9" sqref="A9:H9"/>
    </sheetView>
  </sheetViews>
  <sheetFormatPr defaultRowHeight="14" x14ac:dyDescent="0.3"/>
  <cols>
    <col min="2" max="5" width="9.08203125" customWidth="1"/>
    <col min="6" max="6" width="10.75" customWidth="1"/>
    <col min="7" max="7" width="13.1640625" customWidth="1"/>
    <col min="8" max="10" width="11.4140625" customWidth="1"/>
    <col min="11" max="15" width="7.58203125" customWidth="1"/>
    <col min="16" max="16" width="11.83203125" customWidth="1"/>
    <col min="17" max="17" width="9.08203125" customWidth="1"/>
    <col min="18" max="18" width="13.58203125" customWidth="1"/>
    <col min="19" max="19" width="11.4140625" customWidth="1"/>
    <col min="20" max="20" width="11.83203125" customWidth="1"/>
    <col min="21" max="21" width="17.58203125" customWidth="1"/>
    <col min="22" max="22" width="9.1640625" customWidth="1"/>
    <col min="23" max="25" width="9.83203125" customWidth="1"/>
    <col min="26" max="27" width="10.6640625" customWidth="1"/>
    <col min="28" max="28" width="14.58203125" customWidth="1"/>
    <col min="29" max="29" width="13.75" customWidth="1"/>
    <col min="30" max="30" width="11.6640625" customWidth="1"/>
    <col min="31" max="31" width="12.4140625" customWidth="1"/>
    <col min="32" max="32" width="15.83203125" customWidth="1"/>
    <col min="33" max="33" width="13" customWidth="1"/>
  </cols>
  <sheetData>
    <row r="1" spans="1:34" x14ac:dyDescent="0.3">
      <c r="A1" s="14"/>
      <c r="B1" s="14"/>
      <c r="C1" s="14"/>
      <c r="D1" s="14"/>
      <c r="E1" s="16"/>
      <c r="F1" s="14"/>
      <c r="G1" s="14"/>
      <c r="H1" s="13"/>
      <c r="I1" s="13"/>
      <c r="J1" s="13"/>
      <c r="K1" s="39" t="s">
        <v>51</v>
      </c>
      <c r="L1" s="56"/>
      <c r="M1" s="40"/>
      <c r="N1" s="39" t="s">
        <v>52</v>
      </c>
      <c r="O1" s="40"/>
      <c r="P1" s="39" t="s">
        <v>53</v>
      </c>
      <c r="Q1" s="40"/>
      <c r="R1" s="39" t="s">
        <v>54</v>
      </c>
      <c r="S1" s="56"/>
      <c r="T1" s="40"/>
      <c r="U1" s="10"/>
      <c r="V1" s="39" t="s">
        <v>55</v>
      </c>
      <c r="W1" s="56"/>
      <c r="X1" s="39" t="s">
        <v>145</v>
      </c>
      <c r="Y1" s="56"/>
      <c r="Z1" s="56"/>
      <c r="AA1" s="56"/>
      <c r="AB1" s="56"/>
      <c r="AC1" s="40"/>
      <c r="AD1" s="5"/>
    </row>
    <row r="2" spans="1:34" x14ac:dyDescent="0.3">
      <c r="A2" s="14" t="s">
        <v>56</v>
      </c>
      <c r="B2" s="15" t="s">
        <v>57</v>
      </c>
      <c r="C2" s="15" t="s">
        <v>152</v>
      </c>
      <c r="D2" s="15" t="s">
        <v>58</v>
      </c>
      <c r="E2" s="16" t="s">
        <v>59</v>
      </c>
      <c r="F2" s="14" t="s">
        <v>60</v>
      </c>
      <c r="G2" s="15" t="s">
        <v>61</v>
      </c>
      <c r="H2" s="15" t="s">
        <v>62</v>
      </c>
      <c r="I2" s="15" t="s">
        <v>151</v>
      </c>
      <c r="J2" s="15" t="s">
        <v>74</v>
      </c>
      <c r="K2" s="2" t="s">
        <v>0</v>
      </c>
      <c r="L2" s="2" t="s">
        <v>50</v>
      </c>
      <c r="M2" s="2" t="s">
        <v>63</v>
      </c>
      <c r="N2" s="2" t="s">
        <v>0</v>
      </c>
      <c r="O2" s="2" t="s">
        <v>63</v>
      </c>
      <c r="P2" s="2" t="s">
        <v>0</v>
      </c>
      <c r="Q2" s="2" t="s">
        <v>63</v>
      </c>
      <c r="R2" s="2" t="s">
        <v>51</v>
      </c>
      <c r="S2" s="2" t="s">
        <v>52</v>
      </c>
      <c r="T2" s="2" t="s">
        <v>53</v>
      </c>
      <c r="U2" s="10" t="s">
        <v>64</v>
      </c>
      <c r="V2" s="2" t="s">
        <v>0</v>
      </c>
      <c r="W2" s="2" t="s">
        <v>146</v>
      </c>
      <c r="X2" s="2" t="s">
        <v>147</v>
      </c>
      <c r="Y2" s="2" t="s">
        <v>50</v>
      </c>
      <c r="Z2" s="2" t="s">
        <v>150</v>
      </c>
      <c r="AA2" s="2" t="s">
        <v>50</v>
      </c>
      <c r="AB2" s="2" t="s">
        <v>54</v>
      </c>
      <c r="AC2" s="2" t="s">
        <v>50</v>
      </c>
      <c r="AD2" s="2" t="s">
        <v>159</v>
      </c>
    </row>
    <row r="3" spans="1:34" x14ac:dyDescent="0.3">
      <c r="A3" s="61" t="s">
        <v>65</v>
      </c>
      <c r="B3" s="15">
        <v>801.58</v>
      </c>
      <c r="C3" s="15">
        <f>LN(B3)</f>
        <v>6.6865847799195413</v>
      </c>
      <c r="D3" s="15">
        <v>2724</v>
      </c>
      <c r="E3" s="17">
        <v>2.0651999999999999</v>
      </c>
      <c r="F3" s="15">
        <f t="shared" ref="F3:F28" si="0">LN(2)/E3/365.25/24/3600</f>
        <v>1.0635535892712632E-8</v>
      </c>
      <c r="G3" s="18">
        <v>8.6999999999999994E-2</v>
      </c>
      <c r="H3" s="17">
        <f>EXP(-0.1335*C3^3+2.61*C3^2-17.13*C3+19.97)</f>
        <v>1.8823311363538639E-8</v>
      </c>
      <c r="I3" s="18">
        <f>3%</f>
        <v>0.03</v>
      </c>
      <c r="J3" s="20">
        <f>0.1101*LN(B3)-0.0091</f>
        <v>0.72709298426914148</v>
      </c>
      <c r="K3" s="2">
        <v>849</v>
      </c>
      <c r="L3" s="2">
        <v>48</v>
      </c>
      <c r="M3" s="12">
        <f>L3/K3</f>
        <v>5.6537102473498232E-2</v>
      </c>
      <c r="N3" s="2"/>
      <c r="O3" s="12"/>
      <c r="P3" s="2">
        <v>766</v>
      </c>
      <c r="Q3" s="12">
        <v>8.0600000000000005E-2</v>
      </c>
      <c r="R3" s="19">
        <f t="shared" ref="R3:R30" si="1">K3/G3/H3/F3</f>
        <v>4.8745332138875609E+19</v>
      </c>
      <c r="S3" s="19"/>
      <c r="T3" s="19"/>
      <c r="U3" s="12"/>
      <c r="V3" s="32">
        <v>792</v>
      </c>
      <c r="W3" s="30">
        <v>0.99329999999999996</v>
      </c>
      <c r="X3" s="2">
        <f>(K3/M3^2+P3/Q3^2+V3/MIN(M3,Q3)^2)/(1/M3^2+1/Q3^2+1/MIN(M3,Q3)^2)</f>
        <v>809.73933341587053</v>
      </c>
      <c r="Y3" s="12">
        <f>SQRT((K3-X3)^2+(P3-X3)^2+(V3-X3)^2)/X3</f>
        <v>7.5819360077442069E-2</v>
      </c>
      <c r="Z3" s="19">
        <f>X3/H3/G3/1800</f>
        <v>274699236.26430017</v>
      </c>
      <c r="AA3" s="12">
        <f t="shared" ref="AA3:AA30" si="2">SQRT(Y3^2+I3^2)</f>
        <v>8.1538796670988567E-2</v>
      </c>
      <c r="AB3" s="53">
        <f>(Z4/Y4^2+Z5+Y5^2)/(1/Y4^2+1/Y5^2)</f>
        <v>265913541.78403214</v>
      </c>
      <c r="AC3" s="58">
        <f>SQRT((AB3-Z4)^2+(Z5-AB3)^2)/AB3</f>
        <v>4.6297117556769657E-2</v>
      </c>
      <c r="AD3" s="53">
        <f>AB3/F3</f>
        <v>2.5002364193630672E+16</v>
      </c>
      <c r="AE3" s="57" t="s">
        <v>149</v>
      </c>
      <c r="AF3" s="57"/>
      <c r="AG3" s="57"/>
    </row>
    <row r="4" spans="1:34" x14ac:dyDescent="0.3">
      <c r="A4" s="62"/>
      <c r="B4" s="15">
        <v>795.86</v>
      </c>
      <c r="C4" s="15">
        <f t="shared" ref="C4:C30" si="3">LN(B4)</f>
        <v>6.6794232909788036</v>
      </c>
      <c r="D4" s="15">
        <v>2702</v>
      </c>
      <c r="E4" s="17">
        <v>2.0651999999999999</v>
      </c>
      <c r="F4" s="15">
        <f t="shared" si="0"/>
        <v>1.0635535892712632E-8</v>
      </c>
      <c r="G4" s="18">
        <f>85.46%</f>
        <v>0.85459999999999992</v>
      </c>
      <c r="H4" s="17">
        <f t="shared" ref="H4:H30" si="4">EXP(-0.1335*C4^3+2.61*C4^2-17.13*C4+19.97)</f>
        <v>1.8841123087022761E-8</v>
      </c>
      <c r="I4" s="18">
        <f>3%</f>
        <v>0.03</v>
      </c>
      <c r="J4" s="20">
        <f t="shared" ref="J4:J30" si="5">0.1101*LN(B4)-0.0091</f>
        <v>0.7263045043367663</v>
      </c>
      <c r="K4" s="2">
        <v>7941</v>
      </c>
      <c r="L4" s="2">
        <v>104</v>
      </c>
      <c r="M4" s="12">
        <f t="shared" ref="M4:M30" si="6">L4/K4</f>
        <v>1.3096587331570332E-2</v>
      </c>
      <c r="N4" s="2"/>
      <c r="O4" s="12"/>
      <c r="P4" s="2">
        <v>8027</v>
      </c>
      <c r="Q4" s="12">
        <v>1.3599999999999999E-2</v>
      </c>
      <c r="R4" s="19">
        <f t="shared" si="1"/>
        <v>4.6370965996226339E+19</v>
      </c>
      <c r="S4" s="19"/>
      <c r="T4" s="19"/>
      <c r="U4" s="12"/>
      <c r="V4" s="32">
        <v>8061</v>
      </c>
      <c r="W4" s="30">
        <v>0.99329999999999996</v>
      </c>
      <c r="X4" s="3">
        <f>(K4/M4^2+P4/Q4^2+V4/MIN(M4,Q4)^2)/(1/M4^2+1/Q4^2+1/MIN(M4,Q4)^2)</f>
        <v>8009.2364262954507</v>
      </c>
      <c r="Y4" s="28">
        <f>SQRT((K4-X4)^2+(P4-X4)^2+(V4-X4)^2)/X4</f>
        <v>1.092129875093477E-2</v>
      </c>
      <c r="Z4" s="29">
        <f t="shared" ref="Z4:Z30" si="7">X4/H4/G4/1800</f>
        <v>276343296.20239371</v>
      </c>
      <c r="AA4" s="28">
        <f t="shared" si="2"/>
        <v>3.1926082854104879E-2</v>
      </c>
      <c r="AB4" s="55"/>
      <c r="AC4" s="59"/>
      <c r="AD4" s="55"/>
      <c r="AE4" s="57"/>
      <c r="AF4" s="57"/>
      <c r="AG4" s="57"/>
    </row>
    <row r="5" spans="1:34" x14ac:dyDescent="0.3">
      <c r="A5" s="62"/>
      <c r="B5" s="15">
        <v>604.58000000000004</v>
      </c>
      <c r="C5" s="15">
        <f t="shared" si="3"/>
        <v>6.4045340020760815</v>
      </c>
      <c r="D5" s="15">
        <v>2053</v>
      </c>
      <c r="E5" s="17">
        <v>2.0651999999999999</v>
      </c>
      <c r="F5" s="15">
        <f t="shared" si="0"/>
        <v>1.0635535892712632E-8</v>
      </c>
      <c r="G5" s="18">
        <v>0.97619999999999996</v>
      </c>
      <c r="H5" s="17">
        <f t="shared" si="4"/>
        <v>1.9493270939623384E-8</v>
      </c>
      <c r="I5" s="18">
        <f>3%</f>
        <v>0.03</v>
      </c>
      <c r="J5" s="20">
        <f t="shared" si="5"/>
        <v>0.69603919362857658</v>
      </c>
      <c r="K5" s="2">
        <v>8523</v>
      </c>
      <c r="L5" s="2">
        <v>246</v>
      </c>
      <c r="M5" s="12">
        <f t="shared" si="6"/>
        <v>2.8863076381555792E-2</v>
      </c>
      <c r="N5" s="2"/>
      <c r="O5" s="12"/>
      <c r="P5" s="2">
        <v>9117</v>
      </c>
      <c r="Q5" s="12">
        <v>3.9E-2</v>
      </c>
      <c r="R5" s="29">
        <f t="shared" si="1"/>
        <v>4.2112360793306128E+19</v>
      </c>
      <c r="S5" s="29"/>
      <c r="T5" s="29"/>
      <c r="U5" s="28"/>
      <c r="V5" s="32">
        <v>9118</v>
      </c>
      <c r="W5" s="30">
        <v>0.99360000000000004</v>
      </c>
      <c r="X5" s="3">
        <f>(K5/M5^2+P5/Q5^2+V5/MIN(M5,Q5)^2)/(1/M5^2+1/Q5^2+1/MIN(M5,Q5)^2)</f>
        <v>8884.2425713035191</v>
      </c>
      <c r="Y5" s="28">
        <f>SQRT((K5-X5)^2+(P5-X5)^2+(V5-X5)^2)/X5</f>
        <v>5.506356515841497E-2</v>
      </c>
      <c r="Z5" s="29">
        <f t="shared" si="7"/>
        <v>259372770.05273569</v>
      </c>
      <c r="AA5" s="28">
        <f t="shared" si="2"/>
        <v>6.2705631389493324E-2</v>
      </c>
      <c r="AB5" s="55"/>
      <c r="AC5" s="59"/>
      <c r="AD5" s="55"/>
      <c r="AE5" s="57"/>
      <c r="AF5" s="57"/>
      <c r="AG5" s="57"/>
    </row>
    <row r="6" spans="1:34" x14ac:dyDescent="0.3">
      <c r="A6" s="62"/>
      <c r="B6" s="15">
        <v>569.33000000000004</v>
      </c>
      <c r="C6" s="15">
        <f t="shared" si="3"/>
        <v>6.344460230862329</v>
      </c>
      <c r="D6" s="15">
        <v>1934</v>
      </c>
      <c r="E6" s="17">
        <v>2.0651999999999999</v>
      </c>
      <c r="F6" s="15">
        <f t="shared" si="0"/>
        <v>1.0635535892712632E-8</v>
      </c>
      <c r="G6" s="18">
        <v>0.15379999999999999</v>
      </c>
      <c r="H6" s="17">
        <f t="shared" si="4"/>
        <v>1.964521389084665E-8</v>
      </c>
      <c r="I6" s="18">
        <f>3%</f>
        <v>0.03</v>
      </c>
      <c r="J6" s="20">
        <f t="shared" si="5"/>
        <v>0.6894250714179424</v>
      </c>
      <c r="K6" s="2">
        <v>1494</v>
      </c>
      <c r="L6" s="2">
        <v>318</v>
      </c>
      <c r="M6" s="12">
        <f t="shared" si="6"/>
        <v>0.21285140562248997</v>
      </c>
      <c r="N6" s="2"/>
      <c r="O6" s="12"/>
      <c r="P6" s="2">
        <v>1372</v>
      </c>
      <c r="Q6" s="12">
        <v>0.14949999999999999</v>
      </c>
      <c r="R6" s="29">
        <f t="shared" si="1"/>
        <v>4.6491988616505516E+19</v>
      </c>
      <c r="S6" s="29"/>
      <c r="T6" s="29"/>
      <c r="U6" s="28"/>
      <c r="V6" s="32">
        <v>1639</v>
      </c>
      <c r="W6" s="30">
        <v>0.87190000000000001</v>
      </c>
      <c r="X6" s="2">
        <f>(K6/M6^2+P6/Q6^2+V6/MIN(M6,Q6)^2)/(1/M6^2+1/Q6^2+1/MIN(M6,Q6)^2)</f>
        <v>1503.2246456651278</v>
      </c>
      <c r="Y6" s="12">
        <f>SQRT((K6-X6)^2+(P6-X6)^2+(V6-X6)^2)/X6</f>
        <v>0.12576305369324245</v>
      </c>
      <c r="Z6" s="19">
        <f t="shared" si="7"/>
        <v>276400156.93838537</v>
      </c>
      <c r="AA6" s="12">
        <f t="shared" si="2"/>
        <v>0.12929170767782977</v>
      </c>
      <c r="AB6" s="55"/>
      <c r="AC6" s="59"/>
      <c r="AD6" s="55"/>
      <c r="AE6" s="57"/>
      <c r="AF6" s="57"/>
      <c r="AG6" s="57"/>
    </row>
    <row r="7" spans="1:34" x14ac:dyDescent="0.3">
      <c r="A7" s="62"/>
      <c r="B7" s="15">
        <v>1167.97</v>
      </c>
      <c r="C7" s="15">
        <f t="shared" si="3"/>
        <v>7.0630224781268023</v>
      </c>
      <c r="D7" s="15">
        <v>3967</v>
      </c>
      <c r="E7" s="17">
        <v>2.0651999999999999</v>
      </c>
      <c r="F7" s="15">
        <f t="shared" si="0"/>
        <v>1.0635535892712632E-8</v>
      </c>
      <c r="G7" s="18">
        <v>1.789E-2</v>
      </c>
      <c r="H7" s="17">
        <f t="shared" si="4"/>
        <v>1.7609623611844296E-8</v>
      </c>
      <c r="I7" s="18">
        <f>3%</f>
        <v>0.03</v>
      </c>
      <c r="J7" s="20">
        <f t="shared" si="5"/>
        <v>0.76853877484176092</v>
      </c>
      <c r="K7" s="2">
        <v>128</v>
      </c>
      <c r="L7" s="2">
        <v>26</v>
      </c>
      <c r="M7" s="12">
        <f t="shared" si="6"/>
        <v>0.203125</v>
      </c>
      <c r="N7" s="2"/>
      <c r="O7" s="12"/>
      <c r="P7" s="2">
        <v>152</v>
      </c>
      <c r="Q7" s="12">
        <v>0.1588</v>
      </c>
      <c r="R7" s="19">
        <f t="shared" si="1"/>
        <v>3.8202358698089193E+19</v>
      </c>
      <c r="S7" s="19"/>
      <c r="T7" s="19"/>
      <c r="U7" s="12"/>
      <c r="V7" s="32" t="s">
        <v>148</v>
      </c>
      <c r="W7" s="30" t="s">
        <v>148</v>
      </c>
      <c r="X7" s="2">
        <f>(K7/M7^2+P7/Q7^2)/(1/M7^2+1/Q7^2)</f>
        <v>142.89584836922813</v>
      </c>
      <c r="Y7" s="12">
        <f>SQRT((K7-X7)^2+(P7-X7)^2)/X7</f>
        <v>0.1221709167218165</v>
      </c>
      <c r="Z7" s="19">
        <f t="shared" si="7"/>
        <v>251991964.38464433</v>
      </c>
      <c r="AA7" s="12">
        <f t="shared" si="2"/>
        <v>0.12580036920712523</v>
      </c>
      <c r="AB7" s="55"/>
      <c r="AC7" s="59"/>
      <c r="AD7" s="55"/>
      <c r="AE7" s="57"/>
      <c r="AF7" s="57"/>
      <c r="AG7" s="57"/>
    </row>
    <row r="8" spans="1:34" x14ac:dyDescent="0.3">
      <c r="A8" s="63"/>
      <c r="B8" s="15">
        <v>563.25</v>
      </c>
      <c r="C8" s="15">
        <f t="shared" si="3"/>
        <v>6.3337235793123536</v>
      </c>
      <c r="D8" s="15">
        <v>1914</v>
      </c>
      <c r="E8" s="17">
        <v>2.0651999999999999</v>
      </c>
      <c r="F8" s="15">
        <f t="shared" si="0"/>
        <v>1.0635535892712632E-8</v>
      </c>
      <c r="G8" s="18">
        <v>8.3500000000000005E-2</v>
      </c>
      <c r="H8" s="17">
        <f t="shared" si="4"/>
        <v>1.9673428449342043E-8</v>
      </c>
      <c r="I8" s="18">
        <f>3%</f>
        <v>0.03</v>
      </c>
      <c r="J8" s="20">
        <f t="shared" si="5"/>
        <v>0.68824296608229019</v>
      </c>
      <c r="K8" s="2">
        <v>786</v>
      </c>
      <c r="L8" s="2">
        <v>170</v>
      </c>
      <c r="M8" s="12">
        <f t="shared" si="6"/>
        <v>0.21628498727735368</v>
      </c>
      <c r="N8" s="2"/>
      <c r="O8" s="12"/>
      <c r="P8" s="2">
        <v>986.33</v>
      </c>
      <c r="Q8" s="12">
        <v>0.15609999999999999</v>
      </c>
      <c r="R8" s="19">
        <f t="shared" si="1"/>
        <v>4.4987995478301786E+19</v>
      </c>
      <c r="S8" s="19"/>
      <c r="T8" s="19"/>
      <c r="U8" s="12"/>
      <c r="V8" s="32">
        <v>1276</v>
      </c>
      <c r="W8" s="30">
        <v>0.75480000000000003</v>
      </c>
      <c r="X8" s="2">
        <f t="shared" ref="X8:X15" si="8">(K8/M8^2+P8/Q8^2+V8/MIN(M8,Q8)^2)/(1/M8^2+1/Q8^2+1/MIN(M8,Q8)^2)</f>
        <v>1059.8428448723359</v>
      </c>
      <c r="Y8" s="12">
        <f t="shared" ref="Y8:Y15" si="9">SQRT((K8-X8)^2+(P8-X8)^2+(V8-X8)^2)/X8</f>
        <v>0.33640464307407852</v>
      </c>
      <c r="Z8" s="19">
        <f t="shared" si="7"/>
        <v>358428422.99220639</v>
      </c>
      <c r="AA8" s="12">
        <f t="shared" si="2"/>
        <v>0.33773966880098372</v>
      </c>
      <c r="AB8" s="54"/>
      <c r="AC8" s="60"/>
      <c r="AD8" s="54"/>
      <c r="AE8" s="57"/>
      <c r="AF8" s="57"/>
      <c r="AG8" s="57"/>
    </row>
    <row r="9" spans="1:34" ht="14" customHeight="1" x14ac:dyDescent="0.3">
      <c r="A9" s="15" t="s">
        <v>66</v>
      </c>
      <c r="B9" s="15">
        <v>661.37</v>
      </c>
      <c r="C9" s="15">
        <f t="shared" si="3"/>
        <v>6.4943134411881589</v>
      </c>
      <c r="D9" s="15">
        <v>2246</v>
      </c>
      <c r="E9" s="17">
        <v>30.17</v>
      </c>
      <c r="F9" s="15">
        <f t="shared" si="0"/>
        <v>7.2802481689194991E-10</v>
      </c>
      <c r="G9" s="18">
        <v>0.85</v>
      </c>
      <c r="H9" s="17">
        <f t="shared" si="4"/>
        <v>1.9279018191448603E-8</v>
      </c>
      <c r="I9" s="18">
        <f>3%</f>
        <v>0.03</v>
      </c>
      <c r="J9" s="20">
        <f t="shared" si="5"/>
        <v>0.70592390987481635</v>
      </c>
      <c r="K9" s="2">
        <v>162802</v>
      </c>
      <c r="L9" s="2">
        <v>522</v>
      </c>
      <c r="M9" s="12">
        <f t="shared" si="6"/>
        <v>3.2063488163536075E-3</v>
      </c>
      <c r="N9" s="2"/>
      <c r="O9" s="12"/>
      <c r="P9" s="2">
        <v>162387</v>
      </c>
      <c r="Q9" s="12">
        <v>3.0999999999999999E-3</v>
      </c>
      <c r="R9" s="19">
        <f t="shared" si="1"/>
        <v>1.3646136564847265E+22</v>
      </c>
      <c r="S9" s="19"/>
      <c r="T9" s="19"/>
      <c r="U9" s="12"/>
      <c r="V9" s="32">
        <v>162400</v>
      </c>
      <c r="W9" s="30">
        <v>0.99960000000000004</v>
      </c>
      <c r="X9" s="3">
        <f t="shared" si="8"/>
        <v>162523.61302411585</v>
      </c>
      <c r="Y9" s="28">
        <f t="shared" si="9"/>
        <v>2.054041254547273E-3</v>
      </c>
      <c r="Z9" s="29">
        <f t="shared" si="7"/>
        <v>5509854424.1744471</v>
      </c>
      <c r="AA9" s="28">
        <f t="shared" si="2"/>
        <v>3.0070235873291419E-2</v>
      </c>
      <c r="AB9" s="19">
        <f>Z9</f>
        <v>5509854424.1744471</v>
      </c>
      <c r="AC9" s="12">
        <f>AA9</f>
        <v>3.0070235873291419E-2</v>
      </c>
      <c r="AD9" s="36">
        <f t="shared" ref="AD9:AD30" si="10">AB9/F9</f>
        <v>7.5682233576828662E+18</v>
      </c>
      <c r="AE9" s="57" t="s">
        <v>144</v>
      </c>
      <c r="AF9" s="57"/>
      <c r="AG9" s="57"/>
      <c r="AH9" s="33"/>
    </row>
    <row r="10" spans="1:34" ht="14.5" customHeight="1" x14ac:dyDescent="0.3">
      <c r="A10" s="61" t="s">
        <v>67</v>
      </c>
      <c r="B10" s="15">
        <v>756.73</v>
      </c>
      <c r="C10" s="15">
        <f t="shared" si="3"/>
        <v>6.6290065187451805</v>
      </c>
      <c r="D10" s="15">
        <v>2569</v>
      </c>
      <c r="E10" s="14">
        <f>64.02/365</f>
        <v>0.17539726027397259</v>
      </c>
      <c r="F10" s="14">
        <f t="shared" si="0"/>
        <v>1.252272053241955E-7</v>
      </c>
      <c r="G10" s="18">
        <v>0.54459999999999997</v>
      </c>
      <c r="H10" s="17">
        <f t="shared" si="4"/>
        <v>1.896372860807901E-8</v>
      </c>
      <c r="I10" s="18">
        <f>3%</f>
        <v>0.03</v>
      </c>
      <c r="J10" s="20">
        <f t="shared" si="5"/>
        <v>0.72075361771384439</v>
      </c>
      <c r="K10" s="2">
        <v>202610</v>
      </c>
      <c r="L10" s="2">
        <v>529</v>
      </c>
      <c r="M10" s="12">
        <f t="shared" si="6"/>
        <v>2.6109273974631066E-3</v>
      </c>
      <c r="N10" s="2"/>
      <c r="O10" s="12"/>
      <c r="P10" s="2">
        <v>204977</v>
      </c>
      <c r="Q10" s="12">
        <v>2.8E-3</v>
      </c>
      <c r="R10" s="19">
        <f t="shared" si="1"/>
        <v>1.5666097297194969E+20</v>
      </c>
      <c r="S10" s="19"/>
      <c r="T10" s="19"/>
      <c r="U10" s="12"/>
      <c r="V10" s="32">
        <v>203600</v>
      </c>
      <c r="W10" s="30">
        <v>0.99970000000000003</v>
      </c>
      <c r="X10" s="3">
        <f t="shared" si="8"/>
        <v>203672.2466622653</v>
      </c>
      <c r="Y10" s="28">
        <f t="shared" si="9"/>
        <v>8.2683503819801617E-3</v>
      </c>
      <c r="Z10" s="29">
        <f t="shared" si="7"/>
        <v>10956150275.915045</v>
      </c>
      <c r="AA10" s="28">
        <f t="shared" si="2"/>
        <v>3.1118573521920819E-2</v>
      </c>
      <c r="AB10" s="53">
        <f>(Z10/AA10^2+Z11/AA11^2)/(1/AA10^2+1/AA11^2)</f>
        <v>10920484222.994774</v>
      </c>
      <c r="AC10" s="58">
        <f>SQRT((Z10-AB10)^2+(Z11-AB10)^2)/AB10</f>
        <v>4.5279031928405593E-3</v>
      </c>
      <c r="AD10" s="53">
        <f t="shared" si="10"/>
        <v>8.7205365597061648E+16</v>
      </c>
      <c r="AE10" s="57"/>
      <c r="AF10" s="57"/>
      <c r="AG10" s="57"/>
    </row>
    <row r="11" spans="1:34" x14ac:dyDescent="0.3">
      <c r="A11" s="63"/>
      <c r="B11" s="15">
        <v>724.2</v>
      </c>
      <c r="C11" s="15">
        <f t="shared" si="3"/>
        <v>6.5850675973315411</v>
      </c>
      <c r="D11" s="15">
        <v>2459</v>
      </c>
      <c r="E11" s="14">
        <f>64.02/365</f>
        <v>0.17539726027397259</v>
      </c>
      <c r="F11" s="14">
        <f t="shared" si="0"/>
        <v>1.252272053241955E-7</v>
      </c>
      <c r="G11" s="18">
        <v>0.44169999999999998</v>
      </c>
      <c r="H11" s="17">
        <f t="shared" si="4"/>
        <v>1.906761200413159E-8</v>
      </c>
      <c r="I11" s="18">
        <f>3%</f>
        <v>0.03</v>
      </c>
      <c r="J11" s="20">
        <f t="shared" si="5"/>
        <v>0.71591594246620271</v>
      </c>
      <c r="K11" s="2">
        <v>164470</v>
      </c>
      <c r="L11" s="2">
        <v>516</v>
      </c>
      <c r="M11" s="12">
        <f t="shared" si="6"/>
        <v>3.137350276646197E-3</v>
      </c>
      <c r="N11" s="2"/>
      <c r="O11" s="12"/>
      <c r="P11" s="2">
        <v>165737</v>
      </c>
      <c r="Q11" s="12">
        <v>3.3999999999999998E-3</v>
      </c>
      <c r="R11" s="19">
        <f t="shared" si="1"/>
        <v>1.559424303635053E+20</v>
      </c>
      <c r="S11" s="19"/>
      <c r="T11" s="19"/>
      <c r="U11" s="12"/>
      <c r="V11" s="32">
        <v>165000</v>
      </c>
      <c r="W11" s="30">
        <v>0.99965999999999999</v>
      </c>
      <c r="X11" s="3">
        <f t="shared" si="8"/>
        <v>165034.20403597725</v>
      </c>
      <c r="Y11" s="28">
        <f t="shared" si="9"/>
        <v>5.4649098283230269E-3</v>
      </c>
      <c r="Z11" s="29">
        <f t="shared" si="7"/>
        <v>10886236184.629421</v>
      </c>
      <c r="AA11" s="28">
        <f t="shared" si="2"/>
        <v>3.0493691797348867E-2</v>
      </c>
      <c r="AB11" s="54"/>
      <c r="AC11" s="60"/>
      <c r="AD11" s="54"/>
      <c r="AE11" s="57"/>
      <c r="AF11" s="57"/>
      <c r="AG11" s="57"/>
    </row>
    <row r="12" spans="1:34" x14ac:dyDescent="0.3">
      <c r="A12" s="15" t="s">
        <v>68</v>
      </c>
      <c r="B12" s="15">
        <v>765.8</v>
      </c>
      <c r="C12" s="15">
        <f t="shared" si="3"/>
        <v>6.6409210390431941</v>
      </c>
      <c r="D12" s="15">
        <v>2600</v>
      </c>
      <c r="E12" s="14">
        <f>35.06/365</f>
        <v>9.6054794520547951E-2</v>
      </c>
      <c r="F12" s="14">
        <f t="shared" si="0"/>
        <v>2.2866644851269242E-7</v>
      </c>
      <c r="G12" s="18">
        <v>0.99807999999999997</v>
      </c>
      <c r="H12" s="17">
        <f t="shared" si="4"/>
        <v>1.893514503483478E-8</v>
      </c>
      <c r="I12" s="18">
        <f>3%</f>
        <v>0.03</v>
      </c>
      <c r="J12" s="20">
        <f t="shared" si="5"/>
        <v>0.72206540639865568</v>
      </c>
      <c r="K12" s="2">
        <v>786503</v>
      </c>
      <c r="L12" s="2">
        <v>918</v>
      </c>
      <c r="M12" s="12">
        <f t="shared" si="6"/>
        <v>1.1671919878245855E-3</v>
      </c>
      <c r="N12" s="2"/>
      <c r="O12" s="12"/>
      <c r="P12" s="2">
        <v>792080</v>
      </c>
      <c r="Q12" s="12">
        <v>1.1999999999999999E-3</v>
      </c>
      <c r="R12" s="19">
        <f t="shared" si="1"/>
        <v>1.8199688206724933E+20</v>
      </c>
      <c r="S12" s="19"/>
      <c r="T12" s="19"/>
      <c r="U12" s="12"/>
      <c r="V12" s="32">
        <v>790300</v>
      </c>
      <c r="W12" s="30">
        <v>0.99994499999999997</v>
      </c>
      <c r="X12" s="3">
        <f t="shared" si="8"/>
        <v>789582.77272661892</v>
      </c>
      <c r="Y12" s="28">
        <f t="shared" si="9"/>
        <v>5.1031221014097277E-3</v>
      </c>
      <c r="Z12" s="29">
        <f t="shared" si="7"/>
        <v>23210856687.45533</v>
      </c>
      <c r="AA12" s="28">
        <f t="shared" si="2"/>
        <v>3.0430935824944595E-2</v>
      </c>
      <c r="AB12" s="19">
        <f>Z12</f>
        <v>23210856687.45533</v>
      </c>
      <c r="AC12" s="12">
        <f>AA12</f>
        <v>3.0430935824944595E-2</v>
      </c>
      <c r="AD12" s="36">
        <f t="shared" si="10"/>
        <v>1.015053010112543E+17</v>
      </c>
      <c r="AE12" s="45" t="s">
        <v>158</v>
      </c>
      <c r="AF12" s="45"/>
      <c r="AG12" s="45"/>
    </row>
    <row r="13" spans="1:34" x14ac:dyDescent="0.3">
      <c r="A13" s="61" t="s">
        <v>69</v>
      </c>
      <c r="B13" s="15">
        <v>2185.66</v>
      </c>
      <c r="C13" s="15">
        <f t="shared" si="3"/>
        <v>7.6896731214154732</v>
      </c>
      <c r="D13" s="15">
        <v>7423</v>
      </c>
      <c r="E13" s="14">
        <f>17.28/24/60/365</f>
        <v>3.2876712328767127E-5</v>
      </c>
      <c r="F13" s="14">
        <f t="shared" si="0"/>
        <v>6.6808714040458297E-4</v>
      </c>
      <c r="G13" s="18">
        <v>6.94E-3</v>
      </c>
      <c r="H13" s="17">
        <f t="shared" si="4"/>
        <v>1.3450270477059246E-8</v>
      </c>
      <c r="I13" s="18">
        <f>3%</f>
        <v>0.03</v>
      </c>
      <c r="J13" s="20">
        <f t="shared" si="5"/>
        <v>0.83753301066784358</v>
      </c>
      <c r="K13" s="2">
        <v>10457</v>
      </c>
      <c r="L13" s="2">
        <v>105</v>
      </c>
      <c r="M13" s="12">
        <f t="shared" si="6"/>
        <v>1.0041120780338529E-2</v>
      </c>
      <c r="N13" s="2"/>
      <c r="O13" s="12"/>
      <c r="P13" s="2">
        <v>10529</v>
      </c>
      <c r="Q13" s="12">
        <v>0.01</v>
      </c>
      <c r="R13" s="19">
        <f t="shared" si="1"/>
        <v>1.67680865655076E+17</v>
      </c>
      <c r="S13" s="19"/>
      <c r="T13" s="19"/>
      <c r="U13" s="12"/>
      <c r="V13" s="32">
        <v>10424</v>
      </c>
      <c r="W13" s="30">
        <v>0.99780000000000002</v>
      </c>
      <c r="X13" s="3">
        <f t="shared" si="8"/>
        <v>10470.035516155462</v>
      </c>
      <c r="Y13" s="28">
        <f t="shared" si="9"/>
        <v>7.2525262045849909E-3</v>
      </c>
      <c r="Z13" s="29">
        <f t="shared" si="7"/>
        <v>62313932782.409821</v>
      </c>
      <c r="AA13" s="28">
        <f t="shared" si="2"/>
        <v>3.0864204774271958E-2</v>
      </c>
      <c r="AB13" s="53">
        <f>(Z15/AA15^2+Z13/AA13^2+Z14/AA14^2)/(1/AA15^2+1/AA13^2+1/AA14^2)</f>
        <v>58965588791.550186</v>
      </c>
      <c r="AC13" s="58">
        <f>SQRT((Z13-AB13)^2+(Z14-AB13)^2+(Z15-AB13)^2)/AB13</f>
        <v>7.7464591796580176E-2</v>
      </c>
      <c r="AD13" s="53">
        <f t="shared" si="10"/>
        <v>88260325974604.984</v>
      </c>
      <c r="AE13" s="45"/>
      <c r="AF13" s="45"/>
      <c r="AG13" s="45"/>
    </row>
    <row r="14" spans="1:34" x14ac:dyDescent="0.3">
      <c r="A14" s="62"/>
      <c r="B14" s="15">
        <v>1489.16</v>
      </c>
      <c r="C14" s="15">
        <f t="shared" si="3"/>
        <v>7.3059674815787323</v>
      </c>
      <c r="D14" s="15">
        <v>5055</v>
      </c>
      <c r="E14" s="14">
        <f>17.28/24/60/365</f>
        <v>3.2876712328767127E-5</v>
      </c>
      <c r="F14" s="14">
        <f t="shared" si="0"/>
        <v>6.6808714040458297E-4</v>
      </c>
      <c r="G14" s="18">
        <v>2.7799999999999999E-3</v>
      </c>
      <c r="H14" s="17">
        <f t="shared" si="4"/>
        <v>1.636585565004972E-8</v>
      </c>
      <c r="I14" s="18">
        <f>3%</f>
        <v>0.03</v>
      </c>
      <c r="J14" s="20">
        <f t="shared" si="5"/>
        <v>0.79528701972181848</v>
      </c>
      <c r="K14" s="2">
        <v>4720</v>
      </c>
      <c r="L14" s="2">
        <v>77</v>
      </c>
      <c r="M14" s="12">
        <f t="shared" si="6"/>
        <v>1.6313559322033898E-2</v>
      </c>
      <c r="N14" s="2"/>
      <c r="O14" s="12"/>
      <c r="P14" s="2">
        <v>4815</v>
      </c>
      <c r="Q14" s="12">
        <v>1.66E-2</v>
      </c>
      <c r="R14" s="19">
        <f t="shared" si="1"/>
        <v>1.5528352245925136E+17</v>
      </c>
      <c r="S14" s="19"/>
      <c r="T14" s="19"/>
      <c r="U14" s="12"/>
      <c r="V14" s="32">
        <v>4793</v>
      </c>
      <c r="W14" s="30">
        <v>0.99390000000000001</v>
      </c>
      <c r="X14" s="3">
        <f t="shared" si="8"/>
        <v>4775.5500978772216</v>
      </c>
      <c r="Y14" s="28">
        <f t="shared" si="9"/>
        <v>1.4727543319069399E-2</v>
      </c>
      <c r="Z14" s="29">
        <f t="shared" si="7"/>
        <v>58313268963.646988</v>
      </c>
      <c r="AA14" s="28">
        <f t="shared" si="2"/>
        <v>3.342006182243034E-2</v>
      </c>
      <c r="AB14" s="55"/>
      <c r="AC14" s="59"/>
      <c r="AD14" s="55"/>
    </row>
    <row r="15" spans="1:34" x14ac:dyDescent="0.3">
      <c r="A15" s="62"/>
      <c r="B15" s="15">
        <v>696.51</v>
      </c>
      <c r="C15" s="15">
        <f t="shared" si="3"/>
        <v>6.5460821506185871</v>
      </c>
      <c r="D15" s="15">
        <v>2365</v>
      </c>
      <c r="E15" s="14">
        <f>17.28/24/60/365</f>
        <v>3.2876712328767127E-5</v>
      </c>
      <c r="F15" s="14">
        <f t="shared" si="0"/>
        <v>6.6808714040458297E-4</v>
      </c>
      <c r="G15" s="18">
        <v>1.342E-2</v>
      </c>
      <c r="H15" s="17">
        <f t="shared" si="4"/>
        <v>1.9158527301579041E-8</v>
      </c>
      <c r="I15" s="18">
        <f>3%</f>
        <v>0.03</v>
      </c>
      <c r="J15" s="20">
        <f t="shared" si="5"/>
        <v>0.71162364478310647</v>
      </c>
      <c r="K15" s="2">
        <v>26119</v>
      </c>
      <c r="L15" s="2">
        <v>357</v>
      </c>
      <c r="M15" s="12">
        <f t="shared" si="6"/>
        <v>1.3668210880967879E-2</v>
      </c>
      <c r="N15" s="2"/>
      <c r="O15" s="12"/>
      <c r="P15" s="2">
        <v>25700</v>
      </c>
      <c r="Q15" s="12">
        <v>1.35E-2</v>
      </c>
      <c r="R15" s="19">
        <f t="shared" si="1"/>
        <v>1.5205783229463536E+17</v>
      </c>
      <c r="S15" s="19"/>
      <c r="T15" s="19"/>
      <c r="U15" s="12"/>
      <c r="V15" s="32">
        <v>25836</v>
      </c>
      <c r="W15" s="30">
        <v>0.99916000000000005</v>
      </c>
      <c r="X15" s="3">
        <f t="shared" si="8"/>
        <v>25883.076278767032</v>
      </c>
      <c r="Y15" s="28">
        <f t="shared" si="9"/>
        <v>1.1679945520753835E-2</v>
      </c>
      <c r="Z15" s="29">
        <f t="shared" si="7"/>
        <v>55927930454.265297</v>
      </c>
      <c r="AA15" s="28">
        <f t="shared" si="2"/>
        <v>3.2193495109536924E-2</v>
      </c>
      <c r="AB15" s="55"/>
      <c r="AC15" s="59"/>
      <c r="AD15" s="55"/>
    </row>
    <row r="16" spans="1:34" x14ac:dyDescent="0.3">
      <c r="A16" s="63"/>
      <c r="B16" s="15">
        <v>1388.02</v>
      </c>
      <c r="C16" s="15">
        <f t="shared" si="3"/>
        <v>7.2356335501848399</v>
      </c>
      <c r="D16" s="15">
        <v>4715</v>
      </c>
      <c r="E16" s="14">
        <f>17.28/24/60/365</f>
        <v>3.2876712328767127E-5</v>
      </c>
      <c r="F16" s="14">
        <f t="shared" si="0"/>
        <v>6.6808714040458297E-4</v>
      </c>
      <c r="G16" s="18">
        <v>6.7000000000000002E-5</v>
      </c>
      <c r="H16" s="17">
        <f t="shared" si="4"/>
        <v>1.6772356928598181E-8</v>
      </c>
      <c r="I16" s="18">
        <f>3%</f>
        <v>0.03</v>
      </c>
      <c r="J16" s="20">
        <f t="shared" si="5"/>
        <v>0.78754325387535085</v>
      </c>
      <c r="K16" s="2">
        <v>129</v>
      </c>
      <c r="L16" s="2">
        <v>33</v>
      </c>
      <c r="M16" s="12">
        <f t="shared" si="6"/>
        <v>0.2558139534883721</v>
      </c>
      <c r="N16" s="2"/>
      <c r="O16" s="12"/>
      <c r="P16" s="2">
        <v>71</v>
      </c>
      <c r="Q16" s="12">
        <v>0.2331</v>
      </c>
      <c r="R16" s="19">
        <f t="shared" si="1"/>
        <v>1.7182553281131315E+17</v>
      </c>
      <c r="S16" s="19"/>
      <c r="T16" s="19"/>
      <c r="U16" s="12"/>
      <c r="V16" s="32" t="s">
        <v>148</v>
      </c>
      <c r="W16" s="30" t="s">
        <v>148</v>
      </c>
      <c r="X16" s="2">
        <f>(K16/M16^2+P16/Q16^2)/(1/M16^2+1/Q16^2)</f>
        <v>97.311240567448763</v>
      </c>
      <c r="Y16" s="12">
        <f>SQRT((K16-X16)^2+(P16-X16)^2)/X16</f>
        <v>0.42326139235300292</v>
      </c>
      <c r="Z16" s="19">
        <f t="shared" si="7"/>
        <v>48108476671.089172</v>
      </c>
      <c r="AA16" s="12">
        <f>SQRT(Y16^2+I16^2)</f>
        <v>0.4243232332274568</v>
      </c>
      <c r="AB16" s="54"/>
      <c r="AC16" s="60"/>
      <c r="AD16" s="54"/>
    </row>
    <row r="17" spans="1:30" x14ac:dyDescent="0.3">
      <c r="A17" s="61" t="s">
        <v>70</v>
      </c>
      <c r="B17" s="15">
        <v>1050.4100000000001</v>
      </c>
      <c r="C17" s="15">
        <f t="shared" si="3"/>
        <v>6.9569358431260575</v>
      </c>
      <c r="D17" s="15">
        <v>3571</v>
      </c>
      <c r="E17" s="14">
        <f t="shared" ref="E17:E18" si="11">30.07/365/24/3600</f>
        <v>9.5351344495180109E-7</v>
      </c>
      <c r="F17" s="14">
        <f t="shared" si="0"/>
        <v>2.3035342440022338E-2</v>
      </c>
      <c r="G17" s="18">
        <v>1.5599999999999999E-2</v>
      </c>
      <c r="H17" s="17">
        <f t="shared" si="4"/>
        <v>1.802311157027333E-8</v>
      </c>
      <c r="I17" s="18">
        <f>3%</f>
        <v>0.03</v>
      </c>
      <c r="J17" s="20">
        <f t="shared" si="5"/>
        <v>0.75685863632817896</v>
      </c>
      <c r="K17" s="2">
        <v>2217</v>
      </c>
      <c r="L17" s="2">
        <v>62</v>
      </c>
      <c r="M17" s="12">
        <f t="shared" si="6"/>
        <v>2.796571944068561E-2</v>
      </c>
      <c r="N17" s="2"/>
      <c r="O17" s="12"/>
      <c r="P17" s="2">
        <v>2226</v>
      </c>
      <c r="Q17" s="12">
        <v>3.0700000000000002E-2</v>
      </c>
      <c r="R17" s="19">
        <f t="shared" si="1"/>
        <v>342307686099076.13</v>
      </c>
      <c r="S17" s="19"/>
      <c r="T17" s="19"/>
      <c r="U17" s="12"/>
      <c r="V17" s="32">
        <v>2294</v>
      </c>
      <c r="W17" s="30">
        <v>0.99390000000000001</v>
      </c>
      <c r="X17" s="3">
        <f>(K17/M17^2+P17/Q17^2+V17/MIN(M17,Q17)^2)/(1/M17^2+1/Q17^2+1/MIN(M17,Q17)^2)</f>
        <v>2246.8495045029968</v>
      </c>
      <c r="Y17" s="28">
        <f>SQRT((K17-X17)^2+(P17-X17)^2+(V17-X17)^2)/X17</f>
        <v>2.6513721685202996E-2</v>
      </c>
      <c r="Z17" s="29">
        <f t="shared" si="7"/>
        <v>4439633394.2190361</v>
      </c>
      <c r="AA17" s="28">
        <f t="shared" si="2"/>
        <v>4.0037200671380654E-2</v>
      </c>
      <c r="AB17" s="53">
        <f>(Z17/AA17^2+Z18/AA17^2+Z19/AA17^2+Z20/AA17^2+Z21/AA17^2)/(1/AA17^2+1/AA17^2+1/AA17^2+1/AA17^2+1/AA17^2)</f>
        <v>4465646145.3762789</v>
      </c>
      <c r="AC17" s="58">
        <f>SQRT((Z17-AB17)^2+(Z18-AB17)^2+(Z19-AB17)^2+(Z20-AB17)^2+(Z22-AB17)^2)/AB17</f>
        <v>0.13599840564344298</v>
      </c>
      <c r="AD17" s="53">
        <f>AB17/F17</f>
        <v>193860636411.3573</v>
      </c>
    </row>
    <row r="18" spans="1:30" x14ac:dyDescent="0.3">
      <c r="A18" s="62"/>
      <c r="B18" s="15">
        <v>873.49</v>
      </c>
      <c r="C18" s="15">
        <f t="shared" si="3"/>
        <v>6.7724966813116714</v>
      </c>
      <c r="D18" s="15">
        <v>2966</v>
      </c>
      <c r="E18" s="14">
        <f t="shared" si="11"/>
        <v>9.5351344495180109E-7</v>
      </c>
      <c r="F18" s="14">
        <f t="shared" si="0"/>
        <v>2.3035342440022338E-2</v>
      </c>
      <c r="G18" s="18">
        <v>4.3899999999999998E-3</v>
      </c>
      <c r="H18" s="17">
        <f t="shared" si="4"/>
        <v>1.8599266473671824E-8</v>
      </c>
      <c r="I18" s="18">
        <f>3%</f>
        <v>0.03</v>
      </c>
      <c r="J18" s="20">
        <f t="shared" si="5"/>
        <v>0.73655188461241505</v>
      </c>
      <c r="K18" s="2">
        <v>697</v>
      </c>
      <c r="L18" s="2">
        <v>45</v>
      </c>
      <c r="M18" s="12">
        <f t="shared" si="6"/>
        <v>6.4562410329985651E-2</v>
      </c>
      <c r="N18" s="2"/>
      <c r="O18" s="12"/>
      <c r="P18" s="2">
        <v>702</v>
      </c>
      <c r="Q18" s="12">
        <v>8.5599999999999996E-2</v>
      </c>
      <c r="R18" s="19">
        <f t="shared" si="1"/>
        <v>370576408877616</v>
      </c>
      <c r="S18" s="19"/>
      <c r="T18" s="19"/>
      <c r="U18" s="12"/>
      <c r="V18" s="32">
        <v>757</v>
      </c>
      <c r="W18" s="30">
        <v>0.95340000000000003</v>
      </c>
      <c r="X18" s="3">
        <f>(K18/M18^2+P18/Q18^2+V18/MIN(M18,Q18)^2)/(1/M18^2+1/Q18^2+1/MIN(M18,Q18)^2)</f>
        <v>721.46382174784469</v>
      </c>
      <c r="Y18" s="28">
        <f>SQRT((K18-X18)^2+(P18-X18)^2+(V18-X18)^2)/X18</f>
        <v>6.5602881496526572E-2</v>
      </c>
      <c r="Z18" s="29">
        <f t="shared" si="7"/>
        <v>4908872091.4950933</v>
      </c>
      <c r="AA18" s="28">
        <f t="shared" si="2"/>
        <v>7.2136939640154593E-2</v>
      </c>
      <c r="AB18" s="55"/>
      <c r="AC18" s="59"/>
      <c r="AD18" s="55"/>
    </row>
    <row r="19" spans="1:30" x14ac:dyDescent="0.3">
      <c r="A19" s="62"/>
      <c r="B19" s="15">
        <v>621.92999999999995</v>
      </c>
      <c r="C19" s="15">
        <f t="shared" si="3"/>
        <v>6.4328275462131304</v>
      </c>
      <c r="D19" s="15">
        <v>2112</v>
      </c>
      <c r="E19" s="14">
        <f>30.07/365/24/3600</f>
        <v>9.5351344495180109E-7</v>
      </c>
      <c r="F19" s="14">
        <f t="shared" si="0"/>
        <v>2.3035342440022338E-2</v>
      </c>
      <c r="G19" s="18">
        <v>9.9299999999999999E-2</v>
      </c>
      <c r="H19" s="17">
        <f t="shared" si="4"/>
        <v>1.9424507073513849E-8</v>
      </c>
      <c r="I19" s="18">
        <f>3%</f>
        <v>0.03</v>
      </c>
      <c r="J19" s="20">
        <f t="shared" si="5"/>
        <v>0.69915431283806573</v>
      </c>
      <c r="K19" s="2">
        <v>15471</v>
      </c>
      <c r="L19" s="2">
        <v>296</v>
      </c>
      <c r="M19" s="12">
        <f t="shared" si="6"/>
        <v>1.9132570615991211E-2</v>
      </c>
      <c r="N19" s="2"/>
      <c r="O19" s="12"/>
      <c r="P19" s="2">
        <v>15434</v>
      </c>
      <c r="Q19" s="12">
        <v>2.53E-2</v>
      </c>
      <c r="R19" s="19">
        <f t="shared" si="1"/>
        <v>348196545494788.19</v>
      </c>
      <c r="S19" s="19"/>
      <c r="T19" s="19"/>
      <c r="U19" s="12"/>
      <c r="V19" s="32">
        <v>15659</v>
      </c>
      <c r="W19" s="30">
        <v>0.997</v>
      </c>
      <c r="X19" s="3">
        <f>(K19/M19^2+P19/Q19^2+V19/MIN(M19,Q19)^2)/(1/M19^2+1/Q19^2+1/MIN(M19,Q19)^2)</f>
        <v>15535.870968409128</v>
      </c>
      <c r="Y19" s="28">
        <f>SQRT((K19-X19)^2+(P19-X19)^2+(V19-X19)^2)/X19</f>
        <v>1.1101553492579092E-2</v>
      </c>
      <c r="Z19" s="29">
        <f t="shared" si="7"/>
        <v>4474699189.1401072</v>
      </c>
      <c r="AA19" s="28">
        <f t="shared" si="2"/>
        <v>3.1988192977231385E-2</v>
      </c>
      <c r="AB19" s="55"/>
      <c r="AC19" s="59"/>
      <c r="AD19" s="55"/>
    </row>
    <row r="20" spans="1:30" x14ac:dyDescent="0.3">
      <c r="A20" s="62"/>
      <c r="B20" s="15">
        <v>511.86</v>
      </c>
      <c r="C20" s="15">
        <f t="shared" si="3"/>
        <v>6.2380511501486584</v>
      </c>
      <c r="D20" s="15">
        <v>1738</v>
      </c>
      <c r="E20" s="14">
        <f>30.07/365/24/3600</f>
        <v>9.5351344495180109E-7</v>
      </c>
      <c r="F20" s="14">
        <f t="shared" si="0"/>
        <v>2.3035342440022338E-2</v>
      </c>
      <c r="G20" s="18">
        <v>0.20399999999999999</v>
      </c>
      <c r="H20" s="17">
        <f t="shared" si="4"/>
        <v>1.9943825820028399E-8</v>
      </c>
      <c r="I20" s="18">
        <f>3%</f>
        <v>0.03</v>
      </c>
      <c r="J20" s="20">
        <f t="shared" si="5"/>
        <v>0.67770943163136732</v>
      </c>
      <c r="K20" s="2">
        <v>32874</v>
      </c>
      <c r="L20" s="2">
        <v>357</v>
      </c>
      <c r="M20" s="12">
        <f t="shared" si="6"/>
        <v>1.0859645920788466E-2</v>
      </c>
      <c r="N20" s="2"/>
      <c r="O20" s="12"/>
      <c r="P20" s="2">
        <v>32253</v>
      </c>
      <c r="Q20" s="12">
        <v>1.1900000000000001E-2</v>
      </c>
      <c r="R20" s="19">
        <f t="shared" si="1"/>
        <v>350767411605760.94</v>
      </c>
      <c r="S20" s="19"/>
      <c r="T20" s="19"/>
      <c r="U20" s="12"/>
      <c r="V20" s="32">
        <v>32505</v>
      </c>
      <c r="W20" s="30">
        <v>0.99390000000000001</v>
      </c>
      <c r="X20" s="3">
        <f>(K20/M20^2+P20/Q20^2+V20/MIN(M20,Q20)^2)/(1/M20^2+1/Q20^2+1/MIN(M20,Q20)^2)</f>
        <v>32561.176346826862</v>
      </c>
      <c r="Y20" s="28">
        <f>SQRT((K20-X20)^2+(P20-X20)^2+(V20-X20)^2)/X20</f>
        <v>1.3596077628546633E-2</v>
      </c>
      <c r="Z20" s="29">
        <f t="shared" si="7"/>
        <v>4446199456.6252203</v>
      </c>
      <c r="AA20" s="28">
        <f t="shared" si="2"/>
        <v>3.2937111696101501E-2</v>
      </c>
      <c r="AB20" s="55"/>
      <c r="AC20" s="59"/>
      <c r="AD20" s="55"/>
    </row>
    <row r="21" spans="1:30" x14ac:dyDescent="0.3">
      <c r="A21" s="62"/>
      <c r="B21" s="15">
        <v>616.22</v>
      </c>
      <c r="C21" s="15">
        <f t="shared" si="3"/>
        <v>6.4236040426303331</v>
      </c>
      <c r="D21" s="15">
        <v>2094</v>
      </c>
      <c r="E21" s="14">
        <f t="shared" ref="E21:E22" si="12">30.07/365/24/3600</f>
        <v>9.5351344495180109E-7</v>
      </c>
      <c r="F21" s="14">
        <f t="shared" ref="F21:F22" si="13">LN(2)/E21/365.25/24/3600</f>
        <v>2.3035342440022338E-2</v>
      </c>
      <c r="G21" s="18">
        <v>7.4999999999999997E-3</v>
      </c>
      <c r="H21" s="17">
        <f t="shared" si="4"/>
        <v>1.9446764694871829E-8</v>
      </c>
      <c r="I21" s="18">
        <f>3%</f>
        <v>0.03</v>
      </c>
      <c r="J21" s="20">
        <f t="shared" si="5"/>
        <v>0.69813880509359971</v>
      </c>
      <c r="K21" s="2">
        <v>909</v>
      </c>
      <c r="L21" s="2">
        <v>154</v>
      </c>
      <c r="M21" s="12">
        <f t="shared" si="6"/>
        <v>0.1694169416941694</v>
      </c>
      <c r="N21" s="2"/>
      <c r="O21" s="12"/>
      <c r="P21" s="2">
        <v>1221</v>
      </c>
      <c r="Q21" s="12">
        <v>0.16880000000000001</v>
      </c>
      <c r="R21" s="19">
        <f t="shared" si="1"/>
        <v>270558129485076.81</v>
      </c>
      <c r="S21" s="19"/>
      <c r="T21" s="19"/>
      <c r="U21" s="12"/>
      <c r="V21" s="2" t="s">
        <v>148</v>
      </c>
      <c r="W21" s="30" t="s">
        <v>148</v>
      </c>
      <c r="X21" s="2">
        <f>(K21/M21^2+P21/Q21^2)/(1/M21^2+1/Q21^2)</f>
        <v>1065.5691174639348</v>
      </c>
      <c r="Y21" s="12">
        <f>SQRT((K21-X21)^2+(P21-X21)^2)/X21</f>
        <v>0.20704314740223698</v>
      </c>
      <c r="Z21" s="19">
        <f t="shared" si="7"/>
        <v>4058826595.4019384</v>
      </c>
      <c r="AA21" s="12">
        <f t="shared" si="2"/>
        <v>0.20920531753811714</v>
      </c>
      <c r="AB21" s="55"/>
      <c r="AC21" s="59"/>
      <c r="AD21" s="55"/>
    </row>
    <row r="22" spans="1:30" x14ac:dyDescent="0.3">
      <c r="A22" s="63"/>
      <c r="B22" s="15">
        <v>1128.07</v>
      </c>
      <c r="C22" s="15">
        <f t="shared" si="3"/>
        <v>7.028263486870153</v>
      </c>
      <c r="D22" s="15">
        <v>3832</v>
      </c>
      <c r="E22" s="14">
        <f t="shared" si="12"/>
        <v>9.5351344495180109E-7</v>
      </c>
      <c r="F22" s="14">
        <f t="shared" si="13"/>
        <v>2.3035342440022338E-2</v>
      </c>
      <c r="G22" s="18">
        <v>4.0400000000000002E-3</v>
      </c>
      <c r="H22" s="17">
        <f t="shared" si="4"/>
        <v>1.7752844069070346E-8</v>
      </c>
      <c r="I22" s="18">
        <f>3%</f>
        <v>0.03</v>
      </c>
      <c r="J22" s="20">
        <f t="shared" si="5"/>
        <v>0.76471180990440391</v>
      </c>
      <c r="K22" s="2">
        <v>527</v>
      </c>
      <c r="L22" s="2">
        <v>43</v>
      </c>
      <c r="M22" s="12">
        <f t="shared" si="6"/>
        <v>8.1593927893738136E-2</v>
      </c>
      <c r="N22" s="2"/>
      <c r="O22" s="12"/>
      <c r="P22" s="2">
        <v>513.32000000000005</v>
      </c>
      <c r="Q22" s="12">
        <v>8.09E-2</v>
      </c>
      <c r="R22" s="19">
        <f t="shared" si="1"/>
        <v>318982339399804.25</v>
      </c>
      <c r="S22" s="19"/>
      <c r="T22" s="19"/>
      <c r="U22" s="12"/>
      <c r="V22" s="2">
        <v>529</v>
      </c>
      <c r="W22" s="30">
        <v>0.93569999999999998</v>
      </c>
      <c r="X22" s="3">
        <f t="shared" ref="X22:X30" si="14">(K22/M22^2+P22/Q22^2+V22/MIN(M22,Q22)^2)/(1/M22^2+1/Q22^2+1/MIN(M22,Q22)^2)</f>
        <v>523.08456144063996</v>
      </c>
      <c r="Y22" s="28">
        <f t="shared" ref="Y22:Y30" si="15">SQRT((K22-X22)^2+(P22-X22)^2+(V22-X22)^2)/X22</f>
        <v>2.3073461851215851E-2</v>
      </c>
      <c r="Z22" s="29">
        <f t="shared" si="7"/>
        <v>4051819531.0148854</v>
      </c>
      <c r="AA22" s="28">
        <f t="shared" si="2"/>
        <v>3.7846857753313062E-2</v>
      </c>
      <c r="AB22" s="54"/>
      <c r="AC22" s="60"/>
      <c r="AD22" s="54"/>
    </row>
    <row r="23" spans="1:30" x14ac:dyDescent="0.3">
      <c r="A23" s="61" t="s">
        <v>71</v>
      </c>
      <c r="B23" s="15">
        <v>427.88</v>
      </c>
      <c r="C23" s="15">
        <f t="shared" si="3"/>
        <v>6.0588427824379298</v>
      </c>
      <c r="D23" s="15">
        <v>1453</v>
      </c>
      <c r="E23" s="14">
        <v>2.758</v>
      </c>
      <c r="F23" s="14">
        <f t="shared" si="0"/>
        <v>7.9639262964576229E-9</v>
      </c>
      <c r="G23" s="18">
        <v>0.29599999999999999</v>
      </c>
      <c r="H23" s="17">
        <f t="shared" si="4"/>
        <v>2.0584517488157128E-8</v>
      </c>
      <c r="I23" s="18">
        <f>3%</f>
        <v>0.03</v>
      </c>
      <c r="J23" s="20">
        <f t="shared" si="5"/>
        <v>0.65797859034641615</v>
      </c>
      <c r="K23" s="2">
        <v>2136</v>
      </c>
      <c r="L23" s="2">
        <v>315</v>
      </c>
      <c r="M23" s="12">
        <f t="shared" si="6"/>
        <v>0.14747191011235955</v>
      </c>
      <c r="N23" s="2"/>
      <c r="O23" s="12"/>
      <c r="P23" s="2">
        <v>2015</v>
      </c>
      <c r="Q23" s="12">
        <v>0.1424</v>
      </c>
      <c r="R23" s="19">
        <f t="shared" si="1"/>
        <v>4.4019146112501694E+19</v>
      </c>
      <c r="S23" s="19"/>
      <c r="T23" s="19"/>
      <c r="U23" s="12"/>
      <c r="V23" s="2">
        <v>1906</v>
      </c>
      <c r="W23" s="30">
        <v>0.93730000000000002</v>
      </c>
      <c r="X23" s="3">
        <f t="shared" si="14"/>
        <v>2016.3027450070374</v>
      </c>
      <c r="Y23" s="28">
        <f t="shared" si="15"/>
        <v>8.072963454945889E-2</v>
      </c>
      <c r="Z23" s="29">
        <f t="shared" si="7"/>
        <v>183844581.30069509</v>
      </c>
      <c r="AA23" s="28">
        <f t="shared" si="2"/>
        <v>8.6123596618401771E-2</v>
      </c>
      <c r="AB23" s="53">
        <f t="shared" ref="AB23" si="16">Z23</f>
        <v>183844581.30069509</v>
      </c>
      <c r="AC23" s="58">
        <f t="shared" ref="AC23" si="17">AA23</f>
        <v>8.6123596618401771E-2</v>
      </c>
      <c r="AD23" s="53">
        <f t="shared" si="10"/>
        <v>2.3084666338822056E+16</v>
      </c>
    </row>
    <row r="24" spans="1:30" x14ac:dyDescent="0.3">
      <c r="A24" s="62"/>
      <c r="B24" s="15">
        <v>463.36</v>
      </c>
      <c r="C24" s="15">
        <f t="shared" si="3"/>
        <v>6.1385042897572966</v>
      </c>
      <c r="D24" s="15">
        <v>1575</v>
      </c>
      <c r="E24" s="14">
        <v>2.758</v>
      </c>
      <c r="F24" s="14">
        <f t="shared" si="0"/>
        <v>7.9639262964576229E-9</v>
      </c>
      <c r="G24" s="18">
        <v>0.105</v>
      </c>
      <c r="H24" s="17">
        <f t="shared" si="4"/>
        <v>2.0273267020602261E-8</v>
      </c>
      <c r="I24" s="18">
        <f>3%</f>
        <v>0.03</v>
      </c>
      <c r="J24" s="20">
        <f t="shared" si="5"/>
        <v>0.66674932230227835</v>
      </c>
      <c r="K24" s="2">
        <v>832</v>
      </c>
      <c r="L24" s="2">
        <v>374</v>
      </c>
      <c r="M24" s="12">
        <f t="shared" si="6"/>
        <v>0.44951923076923078</v>
      </c>
      <c r="N24" s="2"/>
      <c r="O24" s="12"/>
      <c r="P24" s="2">
        <v>377</v>
      </c>
      <c r="Q24" s="12">
        <v>0.4496</v>
      </c>
      <c r="R24" s="19">
        <f t="shared" si="1"/>
        <v>4.9077570383718785E+19</v>
      </c>
      <c r="S24" s="19"/>
      <c r="T24" s="19"/>
      <c r="U24" s="12"/>
      <c r="V24" s="2">
        <v>946</v>
      </c>
      <c r="W24" s="30">
        <v>0.88560000000000005</v>
      </c>
      <c r="X24" s="2">
        <f t="shared" si="14"/>
        <v>718.37421419932639</v>
      </c>
      <c r="Y24" s="12">
        <f t="shared" si="15"/>
        <v>0.59265377821393628</v>
      </c>
      <c r="Z24" s="19">
        <f t="shared" si="7"/>
        <v>187484422.92935821</v>
      </c>
      <c r="AA24" s="12">
        <f t="shared" si="2"/>
        <v>0.59341258904008232</v>
      </c>
      <c r="AB24" s="55"/>
      <c r="AC24" s="59"/>
      <c r="AD24" s="55"/>
    </row>
    <row r="25" spans="1:30" x14ac:dyDescent="0.3">
      <c r="A25" s="63"/>
      <c r="B25" s="15">
        <v>600.6</v>
      </c>
      <c r="C25" s="15">
        <f t="shared" si="3"/>
        <v>6.3979291555492299</v>
      </c>
      <c r="D25" s="15">
        <v>2041</v>
      </c>
      <c r="E25" s="14">
        <v>2.758</v>
      </c>
      <c r="F25" s="14">
        <f t="shared" si="0"/>
        <v>7.9639262964576229E-9</v>
      </c>
      <c r="G25" s="18">
        <v>5.0299999999999997E-2</v>
      </c>
      <c r="H25" s="17">
        <f t="shared" si="4"/>
        <v>1.9509547462995467E-8</v>
      </c>
      <c r="I25" s="18">
        <f>3%</f>
        <v>0.03</v>
      </c>
      <c r="J25" s="20">
        <f t="shared" si="5"/>
        <v>0.69531200002597027</v>
      </c>
      <c r="K25" s="2">
        <v>738</v>
      </c>
      <c r="L25" s="2">
        <v>155</v>
      </c>
      <c r="M25" s="12">
        <f t="shared" si="6"/>
        <v>0.21002710027100271</v>
      </c>
      <c r="N25" s="2"/>
      <c r="O25" s="12"/>
      <c r="P25" s="2">
        <v>860.35</v>
      </c>
      <c r="Q25" s="12">
        <v>0.18010000000000001</v>
      </c>
      <c r="R25" s="19">
        <f t="shared" si="1"/>
        <v>9.4430860865215594E+19</v>
      </c>
      <c r="S25" s="19"/>
      <c r="T25" s="19"/>
      <c r="U25" s="12"/>
      <c r="V25" s="2">
        <v>1086</v>
      </c>
      <c r="W25" s="30">
        <v>0.93779999999999997</v>
      </c>
      <c r="X25" s="2">
        <f t="shared" si="14"/>
        <v>909.95424703182766</v>
      </c>
      <c r="Y25" s="12">
        <f t="shared" si="15"/>
        <v>0.27588171797034089</v>
      </c>
      <c r="Z25" s="19">
        <f t="shared" si="7"/>
        <v>515147824.83939779</v>
      </c>
      <c r="AA25" s="12">
        <f t="shared" si="2"/>
        <v>0.27750805809970042</v>
      </c>
      <c r="AB25" s="54"/>
      <c r="AC25" s="60"/>
      <c r="AD25" s="54"/>
    </row>
    <row r="26" spans="1:30" x14ac:dyDescent="0.3">
      <c r="A26" s="15" t="s">
        <v>72</v>
      </c>
      <c r="B26" s="15">
        <v>133.51</v>
      </c>
      <c r="C26" s="15">
        <f t="shared" si="3"/>
        <v>4.8941763814020032</v>
      </c>
      <c r="D26" s="15">
        <v>452</v>
      </c>
      <c r="E26" s="14">
        <f>284.9/365</f>
        <v>0.78054794520547943</v>
      </c>
      <c r="F26" s="14">
        <f t="shared" si="0"/>
        <v>2.8139858493699533E-8</v>
      </c>
      <c r="G26" s="18">
        <v>0.1109</v>
      </c>
      <c r="H26" s="17">
        <f t="shared" si="4"/>
        <v>4.1390373941692822E-8</v>
      </c>
      <c r="I26" s="18">
        <f>3%</f>
        <v>0.03</v>
      </c>
      <c r="J26" s="20">
        <f t="shared" si="5"/>
        <v>0.52974881959236053</v>
      </c>
      <c r="K26" s="2">
        <v>23930</v>
      </c>
      <c r="L26" s="2">
        <v>361</v>
      </c>
      <c r="M26" s="12">
        <f t="shared" si="6"/>
        <v>1.50856665273715E-2</v>
      </c>
      <c r="N26" s="2"/>
      <c r="O26" s="12"/>
      <c r="P26" s="2">
        <v>23805</v>
      </c>
      <c r="Q26" s="12">
        <v>1.4E-2</v>
      </c>
      <c r="R26" s="19">
        <f t="shared" si="1"/>
        <v>1.8526351226125232E+20</v>
      </c>
      <c r="S26" s="19"/>
      <c r="T26" s="19"/>
      <c r="U26" s="12"/>
      <c r="V26" s="2">
        <v>24306</v>
      </c>
      <c r="W26" s="30">
        <v>0.99829999999999997</v>
      </c>
      <c r="X26" s="3">
        <f t="shared" si="14"/>
        <v>24017.724028843862</v>
      </c>
      <c r="Y26" s="28">
        <f t="shared" si="15"/>
        <v>1.5357393337695761E-2</v>
      </c>
      <c r="Z26" s="29">
        <f t="shared" si="7"/>
        <v>2906889003.6403246</v>
      </c>
      <c r="AA26" s="28">
        <f t="shared" si="2"/>
        <v>3.3702366832741915E-2</v>
      </c>
      <c r="AB26" s="19">
        <f>Z26</f>
        <v>2906889003.6403246</v>
      </c>
      <c r="AC26" s="12">
        <f>AA26</f>
        <v>3.3702366832741915E-2</v>
      </c>
      <c r="AD26" s="36">
        <f t="shared" si="10"/>
        <v>1.0330147908494893E+17</v>
      </c>
    </row>
    <row r="27" spans="1:30" x14ac:dyDescent="0.3">
      <c r="A27" s="15" t="s">
        <v>143</v>
      </c>
      <c r="B27" s="15">
        <v>1461</v>
      </c>
      <c r="C27" s="15">
        <f t="shared" si="3"/>
        <v>7.2868764117506997</v>
      </c>
      <c r="D27" s="15">
        <v>4963</v>
      </c>
      <c r="E27" s="16">
        <v>1277000000</v>
      </c>
      <c r="F27" s="14">
        <f t="shared" si="0"/>
        <v>1.7200085141448807E-17</v>
      </c>
      <c r="G27" s="18">
        <v>0.1067</v>
      </c>
      <c r="H27" s="17">
        <f t="shared" si="4"/>
        <v>1.6480111944612183E-8</v>
      </c>
      <c r="I27" s="18">
        <f>3%</f>
        <v>0.03</v>
      </c>
      <c r="J27" s="20">
        <f t="shared" si="5"/>
        <v>0.79318509293375206</v>
      </c>
      <c r="K27" s="2">
        <v>779</v>
      </c>
      <c r="L27" s="2">
        <v>43</v>
      </c>
      <c r="M27" s="12">
        <f t="shared" si="6"/>
        <v>5.5198973042362001E-2</v>
      </c>
      <c r="N27" s="2"/>
      <c r="O27" s="12"/>
      <c r="P27" s="2">
        <v>826</v>
      </c>
      <c r="Q27" s="12">
        <v>5.4699999999999999E-2</v>
      </c>
      <c r="R27" s="19">
        <f t="shared" si="1"/>
        <v>2.5756229377879059E+28</v>
      </c>
      <c r="S27" s="19"/>
      <c r="T27" s="19"/>
      <c r="U27" s="12"/>
      <c r="V27" s="2">
        <v>831</v>
      </c>
      <c r="W27" s="30">
        <v>0.97170000000000001</v>
      </c>
      <c r="X27" s="3">
        <f t="shared" si="14"/>
        <v>812.1991657412965</v>
      </c>
      <c r="Y27" s="28">
        <f t="shared" si="15"/>
        <v>4.9953747571496919E-2</v>
      </c>
      <c r="Z27" s="29">
        <f>X27/H27/G27/1800</f>
        <v>256605202.48158509</v>
      </c>
      <c r="AA27" s="28">
        <f t="shared" si="2"/>
        <v>5.8269862677346629E-2</v>
      </c>
      <c r="AB27" s="19">
        <f t="shared" ref="AB27" si="18">Z27</f>
        <v>256605202.48158509</v>
      </c>
      <c r="AC27" s="12">
        <f t="shared" ref="AC27" si="19">AA27</f>
        <v>5.8269862677346629E-2</v>
      </c>
      <c r="AD27" s="36">
        <f t="shared" si="10"/>
        <v>1.4918833271541036E+25</v>
      </c>
    </row>
    <row r="28" spans="1:30" x14ac:dyDescent="0.3">
      <c r="A28" s="61" t="s">
        <v>73</v>
      </c>
      <c r="B28" s="15">
        <v>497.08</v>
      </c>
      <c r="C28" s="15">
        <f t="shared" si="3"/>
        <v>6.2087509789377942</v>
      </c>
      <c r="D28" s="15">
        <v>1689</v>
      </c>
      <c r="E28" s="14">
        <f>39.26/365</f>
        <v>0.10756164383561644</v>
      </c>
      <c r="F28" s="14">
        <f t="shared" si="0"/>
        <v>2.0420391454037179E-7</v>
      </c>
      <c r="G28" s="18">
        <v>0.91</v>
      </c>
      <c r="H28" s="17">
        <f t="shared" si="4"/>
        <v>2.0034917626761884E-8</v>
      </c>
      <c r="I28" s="18">
        <f>3%</f>
        <v>0.03</v>
      </c>
      <c r="J28" s="20">
        <f t="shared" si="5"/>
        <v>0.67448348278105119</v>
      </c>
      <c r="K28" s="2">
        <v>20722</v>
      </c>
      <c r="L28" s="2">
        <v>401</v>
      </c>
      <c r="M28" s="12">
        <f t="shared" si="6"/>
        <v>1.9351413956181836E-2</v>
      </c>
      <c r="N28" s="2"/>
      <c r="O28" s="12"/>
      <c r="P28" s="2">
        <v>20798</v>
      </c>
      <c r="Q28" s="12">
        <v>1.8599999999999998E-2</v>
      </c>
      <c r="R28" s="19">
        <f t="shared" si="1"/>
        <v>5.5659416958456443E+18</v>
      </c>
      <c r="S28" s="19"/>
      <c r="T28" s="19"/>
      <c r="U28" s="12"/>
      <c r="V28" s="32">
        <v>20778</v>
      </c>
      <c r="W28" s="30">
        <v>0.99809999999999999</v>
      </c>
      <c r="X28" s="3">
        <f t="shared" si="14"/>
        <v>20767.145987048756</v>
      </c>
      <c r="Y28" s="28">
        <f t="shared" si="15"/>
        <v>2.6844757630232643E-3</v>
      </c>
      <c r="Z28" s="29">
        <f t="shared" si="7"/>
        <v>632812948.85451901</v>
      </c>
      <c r="AA28" s="28">
        <f t="shared" si="2"/>
        <v>3.0119867365615328E-2</v>
      </c>
      <c r="AB28" s="53">
        <f t="shared" ref="AB28" si="20">Z28</f>
        <v>632812948.85451901</v>
      </c>
      <c r="AC28" s="58">
        <f t="shared" ref="AC28" si="21">AA28</f>
        <v>3.0119867365615328E-2</v>
      </c>
      <c r="AD28" s="53">
        <f t="shared" si="10"/>
        <v>3098926630661675</v>
      </c>
    </row>
    <row r="29" spans="1:30" x14ac:dyDescent="0.3">
      <c r="A29" s="63"/>
      <c r="B29" s="15">
        <v>610.33000000000004</v>
      </c>
      <c r="C29" s="15">
        <f t="shared" si="3"/>
        <v>6.4139997944950373</v>
      </c>
      <c r="D29" s="15">
        <v>2074</v>
      </c>
      <c r="E29" s="14">
        <f>39.26/365</f>
        <v>0.10756164383561644</v>
      </c>
      <c r="F29" s="14">
        <f t="shared" ref="F29:F30" si="22">LN(2)/E29/365.25/24/3600</f>
        <v>2.0420391454037179E-7</v>
      </c>
      <c r="G29" s="18">
        <v>5.7599999999999998E-2</v>
      </c>
      <c r="H29" s="17">
        <f t="shared" si="4"/>
        <v>1.9470099877022086E-8</v>
      </c>
      <c r="I29" s="18">
        <f>3%</f>
        <v>0.03</v>
      </c>
      <c r="J29" s="20">
        <f t="shared" si="5"/>
        <v>0.69708137737390363</v>
      </c>
      <c r="K29" s="2">
        <v>850</v>
      </c>
      <c r="L29" s="2">
        <v>140</v>
      </c>
      <c r="M29" s="12">
        <f t="shared" si="6"/>
        <v>0.16470588235294117</v>
      </c>
      <c r="N29" s="2"/>
      <c r="O29" s="12"/>
      <c r="P29" s="2">
        <v>824.88</v>
      </c>
      <c r="Q29" s="12">
        <v>0.22950000000000001</v>
      </c>
      <c r="R29" s="19">
        <f t="shared" si="1"/>
        <v>3.7116259272136361E+18</v>
      </c>
      <c r="S29" s="19"/>
      <c r="T29" s="19"/>
      <c r="U29" s="12"/>
      <c r="V29" s="2">
        <v>1257</v>
      </c>
      <c r="W29" s="30">
        <v>0.88639999999999997</v>
      </c>
      <c r="X29" s="2">
        <f t="shared" si="14"/>
        <v>1006.6812589969633</v>
      </c>
      <c r="Y29" s="12">
        <f t="shared" si="15"/>
        <v>0.34448391916703613</v>
      </c>
      <c r="Z29" s="19">
        <f t="shared" si="7"/>
        <v>498687882.7110166</v>
      </c>
      <c r="AA29" s="12">
        <f t="shared" si="2"/>
        <v>0.34578775363607239</v>
      </c>
      <c r="AB29" s="54"/>
      <c r="AC29" s="60"/>
      <c r="AD29" s="54"/>
    </row>
    <row r="30" spans="1:30" x14ac:dyDescent="0.3">
      <c r="A30" s="15" t="s">
        <v>132</v>
      </c>
      <c r="B30" s="15">
        <v>1204.67</v>
      </c>
      <c r="C30" s="15">
        <f t="shared" si="3"/>
        <v>7.0939609494973919</v>
      </c>
      <c r="D30" s="15">
        <v>4092</v>
      </c>
      <c r="E30" s="14">
        <f>39.26/365</f>
        <v>0.10756164383561644</v>
      </c>
      <c r="F30" s="14">
        <f t="shared" si="22"/>
        <v>2.0420391454037179E-7</v>
      </c>
      <c r="G30" s="18">
        <v>3.0000000000000001E-3</v>
      </c>
      <c r="H30" s="17">
        <f t="shared" si="4"/>
        <v>1.7475364088684313E-8</v>
      </c>
      <c r="I30" s="18">
        <f>3%</f>
        <v>0.03</v>
      </c>
      <c r="J30" s="20">
        <f t="shared" si="5"/>
        <v>0.77194510053966292</v>
      </c>
      <c r="K30" s="2">
        <v>614</v>
      </c>
      <c r="L30" s="2">
        <v>42</v>
      </c>
      <c r="M30" s="12">
        <f t="shared" si="6"/>
        <v>6.8403908794788276E-2</v>
      </c>
      <c r="N30" s="2"/>
      <c r="O30" s="12"/>
      <c r="P30" s="2">
        <v>592</v>
      </c>
      <c r="Q30" s="12">
        <v>5.3699999999999998E-2</v>
      </c>
      <c r="R30" s="19">
        <f t="shared" si="1"/>
        <v>5.7353089899092451E+19</v>
      </c>
      <c r="S30" s="19"/>
      <c r="T30" s="19"/>
      <c r="U30" s="12"/>
      <c r="V30" s="2">
        <v>582.79999999999995</v>
      </c>
      <c r="W30" s="30">
        <v>0.95140000000000002</v>
      </c>
      <c r="X30" s="3">
        <f t="shared" si="14"/>
        <v>593.66588050840528</v>
      </c>
      <c r="Y30" s="28">
        <f t="shared" si="15"/>
        <v>3.8936614898932222E-2</v>
      </c>
      <c r="Z30" s="29">
        <f t="shared" si="7"/>
        <v>6291034937.0782175</v>
      </c>
      <c r="AA30" s="28">
        <f t="shared" si="2"/>
        <v>4.9153433041729151E-2</v>
      </c>
      <c r="AB30" s="19">
        <f t="shared" ref="AB30" si="23">Z30</f>
        <v>6291034937.0782175</v>
      </c>
      <c r="AC30" s="12">
        <f t="shared" ref="AC30" si="24">AA30</f>
        <v>4.9153433041729151E-2</v>
      </c>
      <c r="AD30" s="36">
        <f t="shared" si="10"/>
        <v>3.0807611848373548E+16</v>
      </c>
    </row>
    <row r="31" spans="1:30" x14ac:dyDescent="0.3">
      <c r="Z31" s="27"/>
      <c r="AA31" s="27"/>
    </row>
    <row r="34" spans="27:31" ht="14.5" customHeight="1" x14ac:dyDescent="0.3"/>
    <row r="38" spans="27:31" x14ac:dyDescent="0.3">
      <c r="AA38" s="27"/>
      <c r="AD38" s="64"/>
      <c r="AE38" s="27"/>
    </row>
  </sheetData>
  <sortState xmlns:xlrd2="http://schemas.microsoft.com/office/spreadsheetml/2017/richdata2" ref="A34:F70">
    <sortCondition ref="D33:D70"/>
  </sortState>
  <mergeCells count="33">
    <mergeCell ref="A3:A8"/>
    <mergeCell ref="A10:A11"/>
    <mergeCell ref="A13:A16"/>
    <mergeCell ref="AC28:AC29"/>
    <mergeCell ref="A23:A25"/>
    <mergeCell ref="A17:A22"/>
    <mergeCell ref="AB17:AB22"/>
    <mergeCell ref="AB23:AB25"/>
    <mergeCell ref="AB28:AB29"/>
    <mergeCell ref="A28:A29"/>
    <mergeCell ref="AC17:AC22"/>
    <mergeCell ref="AC23:AC25"/>
    <mergeCell ref="K1:M1"/>
    <mergeCell ref="N1:O1"/>
    <mergeCell ref="P1:Q1"/>
    <mergeCell ref="R1:T1"/>
    <mergeCell ref="AB3:AB8"/>
    <mergeCell ref="AD28:AD29"/>
    <mergeCell ref="AD23:AD25"/>
    <mergeCell ref="X1:AC1"/>
    <mergeCell ref="V1:W1"/>
    <mergeCell ref="AE3:AG8"/>
    <mergeCell ref="AC3:AC8"/>
    <mergeCell ref="AD3:AD8"/>
    <mergeCell ref="AE9:AG11"/>
    <mergeCell ref="AE12:AG13"/>
    <mergeCell ref="AC13:AC16"/>
    <mergeCell ref="AB13:AB16"/>
    <mergeCell ref="AC10:AC11"/>
    <mergeCell ref="AB10:AB11"/>
    <mergeCell ref="AD17:AD22"/>
    <mergeCell ref="AD13:AD16"/>
    <mergeCell ref="AD10:AD11"/>
  </mergeCells>
  <phoneticPr fontId="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DB982-2A4E-47FC-A512-C4B9DE3F02BB}">
  <dimension ref="A1:AG46"/>
  <sheetViews>
    <sheetView workbookViewId="0">
      <selection activeCell="E9" sqref="E9"/>
    </sheetView>
  </sheetViews>
  <sheetFormatPr defaultRowHeight="14" x14ac:dyDescent="0.3"/>
  <cols>
    <col min="2" max="5" width="9.08203125" customWidth="1"/>
    <col min="6" max="6" width="10.75" hidden="1" customWidth="1"/>
    <col min="7" max="7" width="13.1640625" hidden="1" customWidth="1"/>
    <col min="8" max="10" width="11.4140625" hidden="1" customWidth="1"/>
    <col min="11" max="13" width="7.58203125" customWidth="1"/>
    <col min="14" max="14" width="11.83203125" customWidth="1"/>
    <col min="15" max="15" width="9.08203125" customWidth="1"/>
    <col min="16" max="16" width="9.1640625" customWidth="1"/>
    <col min="17" max="19" width="9.83203125" customWidth="1"/>
    <col min="20" max="21" width="10.6640625" customWidth="1"/>
    <col min="22" max="22" width="14.58203125" customWidth="1"/>
    <col min="23" max="23" width="13.75" customWidth="1"/>
    <col min="24" max="25" width="11.6640625" customWidth="1"/>
    <col min="26" max="26" width="12.25" style="66" bestFit="1" customWidth="1"/>
  </cols>
  <sheetData>
    <row r="1" spans="1:26" x14ac:dyDescent="0.3">
      <c r="A1" s="14"/>
      <c r="B1" s="14"/>
      <c r="C1" s="14"/>
      <c r="D1" s="14"/>
      <c r="E1" s="16"/>
      <c r="F1" s="14"/>
      <c r="G1" s="14"/>
      <c r="H1" s="13"/>
      <c r="I1" s="13"/>
      <c r="J1" s="13"/>
      <c r="K1" s="39" t="s">
        <v>51</v>
      </c>
      <c r="L1" s="56"/>
      <c r="M1" s="40"/>
      <c r="N1" s="39" t="s">
        <v>53</v>
      </c>
      <c r="O1" s="40"/>
      <c r="P1" s="39" t="s">
        <v>55</v>
      </c>
      <c r="Q1" s="56"/>
      <c r="R1" s="39" t="s">
        <v>145</v>
      </c>
      <c r="S1" s="56"/>
      <c r="T1" s="56"/>
      <c r="U1" s="56"/>
      <c r="V1" s="56"/>
      <c r="W1" s="40"/>
      <c r="X1" s="5"/>
      <c r="Y1" s="5"/>
    </row>
    <row r="2" spans="1:26" x14ac:dyDescent="0.3">
      <c r="A2" s="14" t="s">
        <v>56</v>
      </c>
      <c r="B2" s="15" t="s">
        <v>57</v>
      </c>
      <c r="C2" s="15" t="s">
        <v>152</v>
      </c>
      <c r="D2" s="15" t="s">
        <v>58</v>
      </c>
      <c r="E2" s="16" t="s">
        <v>59</v>
      </c>
      <c r="F2" s="14" t="s">
        <v>60</v>
      </c>
      <c r="G2" s="15" t="s">
        <v>61</v>
      </c>
      <c r="H2" s="15" t="s">
        <v>62</v>
      </c>
      <c r="I2" s="15" t="s">
        <v>151</v>
      </c>
      <c r="J2" s="15" t="s">
        <v>74</v>
      </c>
      <c r="K2" s="2" t="s">
        <v>0</v>
      </c>
      <c r="L2" s="2" t="s">
        <v>50</v>
      </c>
      <c r="M2" s="2" t="s">
        <v>63</v>
      </c>
      <c r="N2" s="2" t="s">
        <v>0</v>
      </c>
      <c r="O2" s="2" t="s">
        <v>63</v>
      </c>
      <c r="P2" s="2" t="s">
        <v>0</v>
      </c>
      <c r="Q2" s="2" t="s">
        <v>146</v>
      </c>
      <c r="R2" s="2" t="s">
        <v>147</v>
      </c>
      <c r="S2" s="2" t="s">
        <v>50</v>
      </c>
      <c r="T2" s="2" t="s">
        <v>150</v>
      </c>
      <c r="U2" s="2" t="s">
        <v>50</v>
      </c>
      <c r="V2" s="2" t="s">
        <v>54</v>
      </c>
      <c r="W2" s="2" t="s">
        <v>50</v>
      </c>
      <c r="X2" s="2" t="s">
        <v>159</v>
      </c>
      <c r="Y2" s="2"/>
    </row>
    <row r="3" spans="1:26" x14ac:dyDescent="0.3">
      <c r="A3" s="61" t="s">
        <v>65</v>
      </c>
      <c r="B3" s="15">
        <v>801.58</v>
      </c>
      <c r="C3" s="15">
        <f>LN(B3)</f>
        <v>6.6865847799195413</v>
      </c>
      <c r="D3" s="15">
        <v>2724</v>
      </c>
      <c r="E3" s="17">
        <v>2.0651999999999999</v>
      </c>
      <c r="F3" s="15">
        <f t="shared" ref="F3:F30" si="0">LN(2)/E3/365.25/24/3600</f>
        <v>1.0635535892712632E-8</v>
      </c>
      <c r="G3" s="18">
        <v>8.6999999999999994E-2</v>
      </c>
      <c r="H3" s="17">
        <f>EXP(-0.1335*C3^3+2.61*C3^2-17.13*C3+19.97)</f>
        <v>1.8823311363538639E-8</v>
      </c>
      <c r="I3" s="18">
        <f>3%</f>
        <v>0.03</v>
      </c>
      <c r="J3" s="20">
        <f>0.1101*LN(B3)-0.0091</f>
        <v>0.72709298426914148</v>
      </c>
      <c r="K3" s="2">
        <v>849</v>
      </c>
      <c r="L3" s="2">
        <v>48</v>
      </c>
      <c r="M3" s="12">
        <f>L3/K3</f>
        <v>5.6537102473498232E-2</v>
      </c>
      <c r="N3" s="2">
        <v>766</v>
      </c>
      <c r="O3" s="12">
        <v>8.0600000000000005E-2</v>
      </c>
      <c r="P3" s="32">
        <v>792</v>
      </c>
      <c r="Q3" s="30">
        <v>0.99329999999999996</v>
      </c>
      <c r="R3" s="2">
        <f>(K3/M3^2+N3/O3^2+P3/MIN(M3,O3)^2)/(1/M3^2+1/O3^2+1/MIN(M3,O3)^2)</f>
        <v>809.73933341587053</v>
      </c>
      <c r="S3" s="12">
        <f>SQRT((K3-R3)^2+(N3-R3)^2+(P3-R3)^2)/R3</f>
        <v>7.5819360077442069E-2</v>
      </c>
      <c r="T3" s="19">
        <f>R3/H3/G3/1800</f>
        <v>274699236.26430017</v>
      </c>
      <c r="U3" s="12">
        <f>SQRT(S3^2+I3^2)</f>
        <v>8.1538796670988567E-2</v>
      </c>
      <c r="V3" s="53">
        <f>(T4/S4^2+T5+S5^2)/(1/S4^2+1/S5^2)</f>
        <v>265913541.78403214</v>
      </c>
      <c r="W3" s="58">
        <f>SQRT((V3-T4)^2+(T5-V3)^2)/V3</f>
        <v>4.6297117556769657E-2</v>
      </c>
      <c r="X3" s="53">
        <f>V3/F3</f>
        <v>2.5002364193630672E+16</v>
      </c>
      <c r="Y3" s="65"/>
      <c r="Z3" s="27"/>
    </row>
    <row r="4" spans="1:26" x14ac:dyDescent="0.3">
      <c r="A4" s="62"/>
      <c r="B4" s="15">
        <v>795.86</v>
      </c>
      <c r="C4" s="15">
        <f t="shared" ref="C4:C30" si="1">LN(B4)</f>
        <v>6.6794232909788036</v>
      </c>
      <c r="D4" s="15">
        <v>2702</v>
      </c>
      <c r="E4" s="17">
        <v>2.0651999999999999</v>
      </c>
      <c r="F4" s="15">
        <f t="shared" si="0"/>
        <v>1.0635535892712632E-8</v>
      </c>
      <c r="G4" s="18">
        <f>85.46%</f>
        <v>0.85459999999999992</v>
      </c>
      <c r="H4" s="17">
        <f t="shared" ref="H4:H30" si="2">EXP(-0.1335*C4^3+2.61*C4^2-17.13*C4+19.97)</f>
        <v>1.8841123087022761E-8</v>
      </c>
      <c r="I4" s="18">
        <f>3%</f>
        <v>0.03</v>
      </c>
      <c r="J4" s="20">
        <f t="shared" ref="J4:J30" si="3">0.1101*LN(B4)-0.0091</f>
        <v>0.7263045043367663</v>
      </c>
      <c r="K4" s="2">
        <v>7941</v>
      </c>
      <c r="L4" s="2">
        <v>104</v>
      </c>
      <c r="M4" s="12">
        <f t="shared" ref="M4:M30" si="4">L4/K4</f>
        <v>1.3096587331570332E-2</v>
      </c>
      <c r="N4" s="2">
        <v>8027</v>
      </c>
      <c r="O4" s="12">
        <v>1.3599999999999999E-2</v>
      </c>
      <c r="P4" s="32">
        <v>8061</v>
      </c>
      <c r="Q4" s="30">
        <v>0.99329999999999996</v>
      </c>
      <c r="R4" s="3">
        <f>(K4/M4^2+N4/O4^2+P4/MIN(M4,O4)^2)/(1/M4^2+1/O4^2+1/MIN(M4,O4)^2)</f>
        <v>8009.2364262954507</v>
      </c>
      <c r="S4" s="28">
        <f>SQRT((K4-R4)^2+(N4-R4)^2+(P4-R4)^2)/R4</f>
        <v>1.092129875093477E-2</v>
      </c>
      <c r="T4" s="29">
        <f>R4/H4/G4/1800</f>
        <v>276343296.20239371</v>
      </c>
      <c r="U4" s="28">
        <f>SQRT(S4^2+I4^2)</f>
        <v>3.1926082854104879E-2</v>
      </c>
      <c r="V4" s="55"/>
      <c r="W4" s="59"/>
      <c r="X4" s="55"/>
      <c r="Z4" s="27"/>
    </row>
    <row r="5" spans="1:26" x14ac:dyDescent="0.3">
      <c r="A5" s="62"/>
      <c r="B5" s="15">
        <v>604.58000000000004</v>
      </c>
      <c r="C5" s="15">
        <f t="shared" si="1"/>
        <v>6.4045340020760815</v>
      </c>
      <c r="D5" s="15">
        <v>2053</v>
      </c>
      <c r="E5" s="17">
        <v>2.0651999999999999</v>
      </c>
      <c r="F5" s="15">
        <f t="shared" si="0"/>
        <v>1.0635535892712632E-8</v>
      </c>
      <c r="G5" s="18">
        <v>0.97619999999999996</v>
      </c>
      <c r="H5" s="17">
        <f t="shared" si="2"/>
        <v>1.9493270939623384E-8</v>
      </c>
      <c r="I5" s="18">
        <f>3%</f>
        <v>0.03</v>
      </c>
      <c r="J5" s="20">
        <f t="shared" si="3"/>
        <v>0.69603919362857658</v>
      </c>
      <c r="K5" s="2">
        <v>8523</v>
      </c>
      <c r="L5" s="2">
        <v>246</v>
      </c>
      <c r="M5" s="12">
        <f t="shared" si="4"/>
        <v>2.8863076381555792E-2</v>
      </c>
      <c r="N5" s="2">
        <v>9117</v>
      </c>
      <c r="O5" s="12">
        <v>3.9E-2</v>
      </c>
      <c r="P5" s="32">
        <v>9118</v>
      </c>
      <c r="Q5" s="30">
        <v>0.99360000000000004</v>
      </c>
      <c r="R5" s="3">
        <f>(K5/M5^2+N5/O5^2+P5/MIN(M5,O5)^2)/(1/M5^2+1/O5^2+1/MIN(M5,O5)^2)</f>
        <v>8884.2425713035191</v>
      </c>
      <c r="S5" s="28">
        <f>SQRT((K5-R5)^2+(N5-R5)^2+(P5-R5)^2)/R5</f>
        <v>5.506356515841497E-2</v>
      </c>
      <c r="T5" s="29">
        <f>R5/H5/G5/1800</f>
        <v>259372770.05273569</v>
      </c>
      <c r="U5" s="28">
        <f>SQRT(S5^2+I5^2)</f>
        <v>6.2705631389493324E-2</v>
      </c>
      <c r="V5" s="55"/>
      <c r="W5" s="59"/>
      <c r="X5" s="55"/>
      <c r="Z5" s="27"/>
    </row>
    <row r="6" spans="1:26" x14ac:dyDescent="0.3">
      <c r="A6" s="62"/>
      <c r="B6" s="15">
        <v>569.33000000000004</v>
      </c>
      <c r="C6" s="15">
        <f t="shared" si="1"/>
        <v>6.344460230862329</v>
      </c>
      <c r="D6" s="15">
        <v>1934</v>
      </c>
      <c r="E6" s="17">
        <v>2.0651999999999999</v>
      </c>
      <c r="F6" s="15">
        <f t="shared" si="0"/>
        <v>1.0635535892712632E-8</v>
      </c>
      <c r="G6" s="18">
        <v>0.15379999999999999</v>
      </c>
      <c r="H6" s="17">
        <f t="shared" si="2"/>
        <v>1.964521389084665E-8</v>
      </c>
      <c r="I6" s="18">
        <f>3%</f>
        <v>0.03</v>
      </c>
      <c r="J6" s="20">
        <f t="shared" si="3"/>
        <v>0.6894250714179424</v>
      </c>
      <c r="K6" s="2">
        <v>1494</v>
      </c>
      <c r="L6" s="2">
        <v>318</v>
      </c>
      <c r="M6" s="12">
        <f t="shared" si="4"/>
        <v>0.21285140562248997</v>
      </c>
      <c r="N6" s="2">
        <v>1372</v>
      </c>
      <c r="O6" s="12">
        <v>0.14949999999999999</v>
      </c>
      <c r="P6" s="32">
        <v>1639</v>
      </c>
      <c r="Q6" s="30">
        <v>0.87190000000000001</v>
      </c>
      <c r="R6" s="2">
        <f>(K6/M6^2+N6/O6^2+P6/MIN(M6,O6)^2)/(1/M6^2+1/O6^2+1/MIN(M6,O6)^2)</f>
        <v>1503.2246456651278</v>
      </c>
      <c r="S6" s="12">
        <f>SQRT((K6-R6)^2+(N6-R6)^2+(P6-R6)^2)/R6</f>
        <v>0.12576305369324245</v>
      </c>
      <c r="T6" s="19">
        <f>R6/H6/G6/1800</f>
        <v>276400156.93838537</v>
      </c>
      <c r="U6" s="12">
        <f>SQRT(S6^2+I6^2)</f>
        <v>0.12929170767782977</v>
      </c>
      <c r="V6" s="55"/>
      <c r="W6" s="59"/>
      <c r="X6" s="55"/>
      <c r="Z6" s="27"/>
    </row>
    <row r="7" spans="1:26" x14ac:dyDescent="0.3">
      <c r="A7" s="62"/>
      <c r="B7" s="15">
        <v>1167.97</v>
      </c>
      <c r="C7" s="15">
        <f t="shared" si="1"/>
        <v>7.0630224781268023</v>
      </c>
      <c r="D7" s="15">
        <v>3967</v>
      </c>
      <c r="E7" s="17">
        <v>2.0651999999999999</v>
      </c>
      <c r="F7" s="15">
        <f t="shared" si="0"/>
        <v>1.0635535892712632E-8</v>
      </c>
      <c r="G7" s="18">
        <v>1.789E-2</v>
      </c>
      <c r="H7" s="17">
        <f t="shared" si="2"/>
        <v>1.7609623611844296E-8</v>
      </c>
      <c r="I7" s="18">
        <f>3%</f>
        <v>0.03</v>
      </c>
      <c r="J7" s="20">
        <f t="shared" si="3"/>
        <v>0.76853877484176092</v>
      </c>
      <c r="K7" s="2">
        <v>128</v>
      </c>
      <c r="L7" s="2">
        <v>26</v>
      </c>
      <c r="M7" s="12">
        <f t="shared" si="4"/>
        <v>0.203125</v>
      </c>
      <c r="N7" s="2">
        <v>152</v>
      </c>
      <c r="O7" s="12">
        <v>0.1588</v>
      </c>
      <c r="P7" s="32" t="s">
        <v>148</v>
      </c>
      <c r="Q7" s="30" t="s">
        <v>148</v>
      </c>
      <c r="R7" s="2">
        <f>(K7/M7^2+N7/O7^2)/(1/M7^2+1/O7^2)</f>
        <v>142.89584836922813</v>
      </c>
      <c r="S7" s="12">
        <f>SQRT((K7-R7)^2+(N7-R7)^2)/R7</f>
        <v>0.1221709167218165</v>
      </c>
      <c r="T7" s="19">
        <f>R7/H7/G7/1800</f>
        <v>251991964.38464433</v>
      </c>
      <c r="U7" s="12">
        <f>SQRT(S7^2+I7^2)</f>
        <v>0.12580036920712523</v>
      </c>
      <c r="V7" s="55"/>
      <c r="W7" s="59"/>
      <c r="X7" s="55"/>
      <c r="Z7" s="27"/>
    </row>
    <row r="8" spans="1:26" x14ac:dyDescent="0.3">
      <c r="A8" s="63"/>
      <c r="B8" s="15">
        <v>563.25</v>
      </c>
      <c r="C8" s="15">
        <f t="shared" si="1"/>
        <v>6.3337235793123536</v>
      </c>
      <c r="D8" s="15">
        <v>1914</v>
      </c>
      <c r="E8" s="17">
        <v>2.0651999999999999</v>
      </c>
      <c r="F8" s="15">
        <f t="shared" si="0"/>
        <v>1.0635535892712632E-8</v>
      </c>
      <c r="G8" s="18">
        <v>8.3500000000000005E-2</v>
      </c>
      <c r="H8" s="17">
        <f t="shared" si="2"/>
        <v>1.9673428449342043E-8</v>
      </c>
      <c r="I8" s="18">
        <f>3%</f>
        <v>0.03</v>
      </c>
      <c r="J8" s="20">
        <f t="shared" si="3"/>
        <v>0.68824296608229019</v>
      </c>
      <c r="K8" s="2">
        <v>786</v>
      </c>
      <c r="L8" s="2">
        <v>170</v>
      </c>
      <c r="M8" s="12">
        <f t="shared" si="4"/>
        <v>0.21628498727735368</v>
      </c>
      <c r="N8" s="2">
        <v>986.33</v>
      </c>
      <c r="O8" s="12">
        <v>0.15609999999999999</v>
      </c>
      <c r="P8" s="32">
        <v>1276</v>
      </c>
      <c r="Q8" s="30">
        <v>0.75480000000000003</v>
      </c>
      <c r="R8" s="2">
        <f>(K8/M8^2+N8/O8^2+P8/MIN(M8,O8)^2)/(1/M8^2+1/O8^2+1/MIN(M8,O8)^2)</f>
        <v>1059.8428448723359</v>
      </c>
      <c r="S8" s="12">
        <f>SQRT((K8-R8)^2+(N8-R8)^2+(P8-R8)^2)/R8</f>
        <v>0.33640464307407852</v>
      </c>
      <c r="T8" s="19">
        <f>R8/H8/G8/1800</f>
        <v>358428422.99220639</v>
      </c>
      <c r="U8" s="12">
        <f>SQRT(S8^2+I8^2)</f>
        <v>0.33773966880098372</v>
      </c>
      <c r="V8" s="54"/>
      <c r="W8" s="60"/>
      <c r="X8" s="54"/>
      <c r="Z8" s="27"/>
    </row>
    <row r="9" spans="1:26" ht="14" customHeight="1" x14ac:dyDescent="0.3">
      <c r="A9" s="15" t="s">
        <v>66</v>
      </c>
      <c r="B9" s="15">
        <v>661.37</v>
      </c>
      <c r="C9" s="15">
        <f t="shared" si="1"/>
        <v>6.4943134411881589</v>
      </c>
      <c r="D9" s="15">
        <v>2246</v>
      </c>
      <c r="E9" s="17">
        <v>30.17</v>
      </c>
      <c r="F9" s="15">
        <f t="shared" si="0"/>
        <v>7.2802481689194991E-10</v>
      </c>
      <c r="G9" s="18">
        <v>0.85</v>
      </c>
      <c r="H9" s="17">
        <f t="shared" si="2"/>
        <v>1.9279018191448603E-8</v>
      </c>
      <c r="I9" s="18">
        <f>3%</f>
        <v>0.03</v>
      </c>
      <c r="J9" s="20">
        <f t="shared" si="3"/>
        <v>0.70592390987481635</v>
      </c>
      <c r="K9" s="2">
        <v>162802</v>
      </c>
      <c r="L9" s="2">
        <v>522</v>
      </c>
      <c r="M9" s="12">
        <f t="shared" si="4"/>
        <v>3.2063488163536075E-3</v>
      </c>
      <c r="N9" s="2">
        <v>162387</v>
      </c>
      <c r="O9" s="12">
        <v>3.0999999999999999E-3</v>
      </c>
      <c r="P9" s="32">
        <v>162400</v>
      </c>
      <c r="Q9" s="30">
        <v>0.99960000000000004</v>
      </c>
      <c r="R9" s="3">
        <f>(K9/M9^2+N9/O9^2+P9/MIN(M9,O9)^2)/(1/M9^2+1/O9^2+1/MIN(M9,O9)^2)</f>
        <v>162523.61302411585</v>
      </c>
      <c r="S9" s="28">
        <f>SQRT((K9-R9)^2+(N9-R9)^2+(P9-R9)^2)/R9</f>
        <v>2.054041254547273E-3</v>
      </c>
      <c r="T9" s="29">
        <f>R9/H9/G9/1800</f>
        <v>5509854424.1744471</v>
      </c>
      <c r="U9" s="28">
        <f>SQRT(S9^2+I9^2)</f>
        <v>3.0070235873291419E-2</v>
      </c>
      <c r="V9" s="19">
        <f>T9</f>
        <v>5509854424.1744471</v>
      </c>
      <c r="W9" s="12">
        <f>U9</f>
        <v>3.0070235873291419E-2</v>
      </c>
      <c r="X9" s="36">
        <f>V9/F9</f>
        <v>7.5682233576828662E+18</v>
      </c>
      <c r="Y9" s="27"/>
      <c r="Z9" s="27"/>
    </row>
    <row r="10" spans="1:26" ht="14.5" customHeight="1" x14ac:dyDescent="0.3">
      <c r="A10" s="61" t="s">
        <v>67</v>
      </c>
      <c r="B10" s="15">
        <v>756.73</v>
      </c>
      <c r="C10" s="15">
        <f t="shared" si="1"/>
        <v>6.6290065187451805</v>
      </c>
      <c r="D10" s="15">
        <v>2569</v>
      </c>
      <c r="E10" s="14">
        <f>64.02/365</f>
        <v>0.17539726027397259</v>
      </c>
      <c r="F10" s="14">
        <f t="shared" si="0"/>
        <v>1.252272053241955E-7</v>
      </c>
      <c r="G10" s="18">
        <v>0.54459999999999997</v>
      </c>
      <c r="H10" s="17">
        <f t="shared" si="2"/>
        <v>1.896372860807901E-8</v>
      </c>
      <c r="I10" s="18">
        <f>3%</f>
        <v>0.03</v>
      </c>
      <c r="J10" s="20">
        <f t="shared" si="3"/>
        <v>0.72075361771384439</v>
      </c>
      <c r="K10" s="2">
        <v>202610</v>
      </c>
      <c r="L10" s="2">
        <v>529</v>
      </c>
      <c r="M10" s="12">
        <f t="shared" si="4"/>
        <v>2.6109273974631066E-3</v>
      </c>
      <c r="N10" s="2">
        <v>204977</v>
      </c>
      <c r="O10" s="12">
        <v>2.8E-3</v>
      </c>
      <c r="P10" s="32">
        <v>203600</v>
      </c>
      <c r="Q10" s="30">
        <v>0.99970000000000003</v>
      </c>
      <c r="R10" s="3">
        <f>(K10/M10^2+N10/O10^2+P10/MIN(M10,O10)^2)/(1/M10^2+1/O10^2+1/MIN(M10,O10)^2)</f>
        <v>203672.2466622653</v>
      </c>
      <c r="S10" s="28">
        <f>SQRT((K10-R10)^2+(N10-R10)^2+(P10-R10)^2)/R10</f>
        <v>8.2683503819801617E-3</v>
      </c>
      <c r="T10" s="29">
        <f>R10/H10/G10/1800</f>
        <v>10956150275.915045</v>
      </c>
      <c r="U10" s="28">
        <f>SQRT(S10^2+I10^2)</f>
        <v>3.1118573521920819E-2</v>
      </c>
      <c r="V10" s="53">
        <f>(T10/U10^2+T11/U11^2)/(1/U10^2+1/U11^2)</f>
        <v>10920484222.994774</v>
      </c>
      <c r="W10" s="58">
        <f>SQRT((T10-V10)^2+(T11-V10)^2)/V10</f>
        <v>4.5279031928405593E-3</v>
      </c>
      <c r="X10" s="53">
        <f>V10/F10</f>
        <v>8.7205365597061648E+16</v>
      </c>
      <c r="Y10" s="27"/>
      <c r="Z10" s="27"/>
    </row>
    <row r="11" spans="1:26" x14ac:dyDescent="0.3">
      <c r="A11" s="63"/>
      <c r="B11" s="15">
        <v>724.2</v>
      </c>
      <c r="C11" s="15">
        <f t="shared" si="1"/>
        <v>6.5850675973315411</v>
      </c>
      <c r="D11" s="15">
        <v>2459</v>
      </c>
      <c r="E11" s="14">
        <f>64.02/365</f>
        <v>0.17539726027397259</v>
      </c>
      <c r="F11" s="14">
        <f t="shared" si="0"/>
        <v>1.252272053241955E-7</v>
      </c>
      <c r="G11" s="18">
        <v>0.44169999999999998</v>
      </c>
      <c r="H11" s="17">
        <f t="shared" si="2"/>
        <v>1.906761200413159E-8</v>
      </c>
      <c r="I11" s="18">
        <f>3%</f>
        <v>0.03</v>
      </c>
      <c r="J11" s="20">
        <f t="shared" si="3"/>
        <v>0.71591594246620271</v>
      </c>
      <c r="K11" s="2">
        <v>164470</v>
      </c>
      <c r="L11" s="2">
        <v>516</v>
      </c>
      <c r="M11" s="12">
        <f t="shared" si="4"/>
        <v>3.137350276646197E-3</v>
      </c>
      <c r="N11" s="2">
        <v>165737</v>
      </c>
      <c r="O11" s="12">
        <v>3.3999999999999998E-3</v>
      </c>
      <c r="P11" s="32">
        <v>165000</v>
      </c>
      <c r="Q11" s="30">
        <v>0.99965999999999999</v>
      </c>
      <c r="R11" s="3">
        <f>(K11/M11^2+N11/O11^2+P11/MIN(M11,O11)^2)/(1/M11^2+1/O11^2+1/MIN(M11,O11)^2)</f>
        <v>165034.20403597725</v>
      </c>
      <c r="S11" s="28">
        <f>SQRT((K11-R11)^2+(N11-R11)^2+(P11-R11)^2)/R11</f>
        <v>5.4649098283230269E-3</v>
      </c>
      <c r="T11" s="29">
        <f>R11/H11/G11/1800</f>
        <v>10886236184.629421</v>
      </c>
      <c r="U11" s="28">
        <f>SQRT(S11^2+I11^2)</f>
        <v>3.0493691797348867E-2</v>
      </c>
      <c r="V11" s="54"/>
      <c r="W11" s="60"/>
      <c r="X11" s="54"/>
      <c r="Z11" s="27"/>
    </row>
    <row r="12" spans="1:26" x14ac:dyDescent="0.3">
      <c r="A12" s="15" t="s">
        <v>68</v>
      </c>
      <c r="B12" s="15">
        <v>765.8</v>
      </c>
      <c r="C12" s="15">
        <f t="shared" si="1"/>
        <v>6.6409210390431941</v>
      </c>
      <c r="D12" s="15">
        <v>2600</v>
      </c>
      <c r="E12" s="14">
        <f>35.06/365</f>
        <v>9.6054794520547951E-2</v>
      </c>
      <c r="F12" s="14">
        <f t="shared" si="0"/>
        <v>2.2866644851269242E-7</v>
      </c>
      <c r="G12" s="18">
        <v>0.99807999999999997</v>
      </c>
      <c r="H12" s="17">
        <f t="shared" si="2"/>
        <v>1.893514503483478E-8</v>
      </c>
      <c r="I12" s="18">
        <f>3%</f>
        <v>0.03</v>
      </c>
      <c r="J12" s="20">
        <f t="shared" si="3"/>
        <v>0.72206540639865568</v>
      </c>
      <c r="K12" s="2">
        <v>786503</v>
      </c>
      <c r="L12" s="2">
        <v>918</v>
      </c>
      <c r="M12" s="12">
        <f t="shared" si="4"/>
        <v>1.1671919878245855E-3</v>
      </c>
      <c r="N12" s="2">
        <v>792080</v>
      </c>
      <c r="O12" s="12">
        <v>1.1999999999999999E-3</v>
      </c>
      <c r="P12" s="32">
        <v>790300</v>
      </c>
      <c r="Q12" s="30">
        <v>0.99994499999999997</v>
      </c>
      <c r="R12" s="3">
        <f>(K12/M12^2+N12/O12^2+P12/MIN(M12,O12)^2)/(1/M12^2+1/O12^2+1/MIN(M12,O12)^2)</f>
        <v>789582.77272661892</v>
      </c>
      <c r="S12" s="28">
        <f>SQRT((K12-R12)^2+(N12-R12)^2+(P12-R12)^2)/R12</f>
        <v>5.1031221014097277E-3</v>
      </c>
      <c r="T12" s="29">
        <f>R12/H12/G12/1800</f>
        <v>23210856687.45533</v>
      </c>
      <c r="U12" s="28">
        <f>SQRT(S12^2+I12^2)</f>
        <v>3.0430935824944595E-2</v>
      </c>
      <c r="V12" s="19">
        <f>T12</f>
        <v>23210856687.45533</v>
      </c>
      <c r="W12" s="12">
        <f>U12</f>
        <v>3.0430935824944595E-2</v>
      </c>
      <c r="X12" s="36">
        <f>V12/F12</f>
        <v>1.015053010112543E+17</v>
      </c>
      <c r="Y12" s="27"/>
      <c r="Z12" s="27"/>
    </row>
    <row r="13" spans="1:26" x14ac:dyDescent="0.3">
      <c r="A13" s="61" t="s">
        <v>69</v>
      </c>
      <c r="B13" s="15">
        <v>2185.66</v>
      </c>
      <c r="C13" s="15">
        <f t="shared" si="1"/>
        <v>7.6896731214154732</v>
      </c>
      <c r="D13" s="15">
        <v>7423</v>
      </c>
      <c r="E13" s="14">
        <f>17.28/24/60/365</f>
        <v>3.2876712328767127E-5</v>
      </c>
      <c r="F13" s="14">
        <f t="shared" si="0"/>
        <v>6.6808714040458297E-4</v>
      </c>
      <c r="G13" s="18">
        <v>6.94E-3</v>
      </c>
      <c r="H13" s="17">
        <f t="shared" si="2"/>
        <v>1.3450270477059246E-8</v>
      </c>
      <c r="I13" s="18">
        <f>3%</f>
        <v>0.03</v>
      </c>
      <c r="J13" s="20">
        <f t="shared" si="3"/>
        <v>0.83753301066784358</v>
      </c>
      <c r="K13" s="2">
        <v>10457</v>
      </c>
      <c r="L13" s="2">
        <v>105</v>
      </c>
      <c r="M13" s="12">
        <f t="shared" si="4"/>
        <v>1.0041120780338529E-2</v>
      </c>
      <c r="N13" s="2">
        <v>10529</v>
      </c>
      <c r="O13" s="12">
        <v>0.01</v>
      </c>
      <c r="P13" s="32">
        <v>10424</v>
      </c>
      <c r="Q13" s="30">
        <v>0.99780000000000002</v>
      </c>
      <c r="R13" s="3">
        <f>(K13/M13^2+N13/O13^2+P13/MIN(M13,O13)^2)/(1/M13^2+1/O13^2+1/MIN(M13,O13)^2)</f>
        <v>10470.035516155462</v>
      </c>
      <c r="S13" s="28">
        <f>SQRT((K13-R13)^2+(N13-R13)^2+(P13-R13)^2)/R13</f>
        <v>7.2525262045849909E-3</v>
      </c>
      <c r="T13" s="29">
        <f>R13/H13/G13/1800</f>
        <v>62313932782.409821</v>
      </c>
      <c r="U13" s="28">
        <f>SQRT(S13^2+I13^2)</f>
        <v>3.0864204774271958E-2</v>
      </c>
      <c r="V13" s="53">
        <f>(T15/U15^2+T13/U13^2+T14/U14^2)/(1/U15^2+1/U13^2+1/U14^2)</f>
        <v>58965588791.550186</v>
      </c>
      <c r="W13" s="58">
        <f>SQRT((T13-V13)^2+(T14-V13)^2+(T15-V13)^2)/V13</f>
        <v>7.7464591796580176E-2</v>
      </c>
      <c r="X13" s="53">
        <f>V13/F13</f>
        <v>88260325974604.984</v>
      </c>
      <c r="Y13" s="27"/>
      <c r="Z13" s="27"/>
    </row>
    <row r="14" spans="1:26" x14ac:dyDescent="0.3">
      <c r="A14" s="62"/>
      <c r="B14" s="15">
        <v>1489.16</v>
      </c>
      <c r="C14" s="15">
        <f t="shared" si="1"/>
        <v>7.3059674815787323</v>
      </c>
      <c r="D14" s="15">
        <v>5055</v>
      </c>
      <c r="E14" s="14">
        <f>17.28/24/60/365</f>
        <v>3.2876712328767127E-5</v>
      </c>
      <c r="F14" s="14">
        <f t="shared" si="0"/>
        <v>6.6808714040458297E-4</v>
      </c>
      <c r="G14" s="18">
        <v>2.7799999999999999E-3</v>
      </c>
      <c r="H14" s="17">
        <f t="shared" si="2"/>
        <v>1.636585565004972E-8</v>
      </c>
      <c r="I14" s="18">
        <f>3%</f>
        <v>0.03</v>
      </c>
      <c r="J14" s="20">
        <f t="shared" si="3"/>
        <v>0.79528701972181848</v>
      </c>
      <c r="K14" s="2">
        <v>4720</v>
      </c>
      <c r="L14" s="2">
        <v>77</v>
      </c>
      <c r="M14" s="12">
        <f t="shared" si="4"/>
        <v>1.6313559322033898E-2</v>
      </c>
      <c r="N14" s="2">
        <v>4815</v>
      </c>
      <c r="O14" s="12">
        <v>1.66E-2</v>
      </c>
      <c r="P14" s="32">
        <v>4793</v>
      </c>
      <c r="Q14" s="30">
        <v>0.99390000000000001</v>
      </c>
      <c r="R14" s="3">
        <f>(K14/M14^2+N14/O14^2+P14/MIN(M14,O14)^2)/(1/M14^2+1/O14^2+1/MIN(M14,O14)^2)</f>
        <v>4775.5500978772216</v>
      </c>
      <c r="S14" s="28">
        <f>SQRT((K14-R14)^2+(N14-R14)^2+(P14-R14)^2)/R14</f>
        <v>1.4727543319069399E-2</v>
      </c>
      <c r="T14" s="29">
        <f>R14/H14/G14/1800</f>
        <v>58313268963.646988</v>
      </c>
      <c r="U14" s="28">
        <f>SQRT(S14^2+I14^2)</f>
        <v>3.342006182243034E-2</v>
      </c>
      <c r="V14" s="55"/>
      <c r="W14" s="59"/>
      <c r="X14" s="55"/>
      <c r="Z14" s="27"/>
    </row>
    <row r="15" spans="1:26" x14ac:dyDescent="0.3">
      <c r="A15" s="62"/>
      <c r="B15" s="15">
        <v>696.51</v>
      </c>
      <c r="C15" s="15">
        <f t="shared" si="1"/>
        <v>6.5460821506185871</v>
      </c>
      <c r="D15" s="15">
        <v>2365</v>
      </c>
      <c r="E15" s="14">
        <f>17.28/24/60/365</f>
        <v>3.2876712328767127E-5</v>
      </c>
      <c r="F15" s="14">
        <f t="shared" si="0"/>
        <v>6.6808714040458297E-4</v>
      </c>
      <c r="G15" s="18">
        <v>1.342E-2</v>
      </c>
      <c r="H15" s="17">
        <f t="shared" si="2"/>
        <v>1.9158527301579041E-8</v>
      </c>
      <c r="I15" s="18">
        <f>3%</f>
        <v>0.03</v>
      </c>
      <c r="J15" s="20">
        <f t="shared" si="3"/>
        <v>0.71162364478310647</v>
      </c>
      <c r="K15" s="2">
        <v>26119</v>
      </c>
      <c r="L15" s="2">
        <v>357</v>
      </c>
      <c r="M15" s="12">
        <f t="shared" si="4"/>
        <v>1.3668210880967879E-2</v>
      </c>
      <c r="N15" s="2">
        <v>25700</v>
      </c>
      <c r="O15" s="12">
        <v>1.35E-2</v>
      </c>
      <c r="P15" s="32">
        <v>25836</v>
      </c>
      <c r="Q15" s="30">
        <v>0.99916000000000005</v>
      </c>
      <c r="R15" s="3">
        <f>(K15/M15^2+N15/O15^2+P15/MIN(M15,O15)^2)/(1/M15^2+1/O15^2+1/MIN(M15,O15)^2)</f>
        <v>25883.076278767032</v>
      </c>
      <c r="S15" s="28">
        <f>SQRT((K15-R15)^2+(N15-R15)^2+(P15-R15)^2)/R15</f>
        <v>1.1679945520753835E-2</v>
      </c>
      <c r="T15" s="29">
        <f>R15/H15/G15/1800</f>
        <v>55927930454.265297</v>
      </c>
      <c r="U15" s="28">
        <f>SQRT(S15^2+I15^2)</f>
        <v>3.2193495109536924E-2</v>
      </c>
      <c r="V15" s="55"/>
      <c r="W15" s="59"/>
      <c r="X15" s="55"/>
      <c r="Z15" s="27"/>
    </row>
    <row r="16" spans="1:26" x14ac:dyDescent="0.3">
      <c r="A16" s="63"/>
      <c r="B16" s="15">
        <v>1388.02</v>
      </c>
      <c r="C16" s="15">
        <f t="shared" si="1"/>
        <v>7.2356335501848399</v>
      </c>
      <c r="D16" s="15">
        <v>4715</v>
      </c>
      <c r="E16" s="14">
        <f>17.28/24/60/365</f>
        <v>3.2876712328767127E-5</v>
      </c>
      <c r="F16" s="14">
        <f t="shared" si="0"/>
        <v>6.6808714040458297E-4</v>
      </c>
      <c r="G16" s="18">
        <v>6.7000000000000002E-5</v>
      </c>
      <c r="H16" s="17">
        <f t="shared" si="2"/>
        <v>1.6772356928598181E-8</v>
      </c>
      <c r="I16" s="18">
        <f>3%</f>
        <v>0.03</v>
      </c>
      <c r="J16" s="20">
        <f t="shared" si="3"/>
        <v>0.78754325387535085</v>
      </c>
      <c r="K16" s="2">
        <v>129</v>
      </c>
      <c r="L16" s="2">
        <v>33</v>
      </c>
      <c r="M16" s="12">
        <f t="shared" si="4"/>
        <v>0.2558139534883721</v>
      </c>
      <c r="N16" s="2">
        <v>71</v>
      </c>
      <c r="O16" s="12">
        <v>0.2331</v>
      </c>
      <c r="P16" s="32" t="s">
        <v>148</v>
      </c>
      <c r="Q16" s="30" t="s">
        <v>148</v>
      </c>
      <c r="R16" s="2">
        <f>(K16/M16^2+N16/O16^2)/(1/M16^2+1/O16^2)</f>
        <v>97.311240567448763</v>
      </c>
      <c r="S16" s="12">
        <f>SQRT((K16-R16)^2+(N16-R16)^2)/R16</f>
        <v>0.42326139235300292</v>
      </c>
      <c r="T16" s="19">
        <f>R16/H16/G16/1800</f>
        <v>48108476671.089172</v>
      </c>
      <c r="U16" s="12">
        <f>SQRT(S16^2+I16^2)</f>
        <v>0.4243232332274568</v>
      </c>
      <c r="V16" s="54"/>
      <c r="W16" s="60"/>
      <c r="X16" s="54"/>
      <c r="Z16" s="27"/>
    </row>
    <row r="17" spans="1:33" x14ac:dyDescent="0.3">
      <c r="A17" s="61" t="s">
        <v>70</v>
      </c>
      <c r="B17" s="15">
        <v>1050.4100000000001</v>
      </c>
      <c r="C17" s="15">
        <f t="shared" si="1"/>
        <v>6.9569358431260575</v>
      </c>
      <c r="D17" s="15">
        <v>3571</v>
      </c>
      <c r="E17" s="14">
        <f t="shared" ref="E17:E18" si="5">30.07/365/24/3600</f>
        <v>9.5351344495180109E-7</v>
      </c>
      <c r="F17" s="14">
        <f t="shared" si="0"/>
        <v>2.3035342440022338E-2</v>
      </c>
      <c r="G17" s="18">
        <v>1.5599999999999999E-2</v>
      </c>
      <c r="H17" s="17">
        <f t="shared" si="2"/>
        <v>1.802311157027333E-8</v>
      </c>
      <c r="I17" s="18">
        <f>3%</f>
        <v>0.03</v>
      </c>
      <c r="J17" s="20">
        <f t="shared" si="3"/>
        <v>0.75685863632817896</v>
      </c>
      <c r="K17" s="2">
        <v>2217</v>
      </c>
      <c r="L17" s="2">
        <v>62</v>
      </c>
      <c r="M17" s="12">
        <f t="shared" si="4"/>
        <v>2.796571944068561E-2</v>
      </c>
      <c r="N17" s="2">
        <v>2226</v>
      </c>
      <c r="O17" s="12">
        <v>3.0700000000000002E-2</v>
      </c>
      <c r="P17" s="32">
        <v>2294</v>
      </c>
      <c r="Q17" s="30">
        <v>0.99390000000000001</v>
      </c>
      <c r="R17" s="3">
        <f>(K17/M17^2+N17/O17^2+P17/MIN(M17,O17)^2)/(1/M17^2+1/O17^2+1/MIN(M17,O17)^2)</f>
        <v>2246.8495045029968</v>
      </c>
      <c r="S17" s="28">
        <f>SQRT((K17-R17)^2+(N17-R17)^2+(P17-R17)^2)/R17</f>
        <v>2.6513721685202996E-2</v>
      </c>
      <c r="T17" s="29">
        <f>R17/H17/G17/1800</f>
        <v>4439633394.2190361</v>
      </c>
      <c r="U17" s="28">
        <f>SQRT(S17^2+I17^2)</f>
        <v>4.0037200671380654E-2</v>
      </c>
      <c r="V17" s="53">
        <f>(T17/U17^2+T18/U17^2+T19/U17^2+T20/U17^2+T21/U17^2)/(1/U17^2+1/U17^2+1/U17^2+1/U17^2+1/U17^2)</f>
        <v>4465646145.3762789</v>
      </c>
      <c r="W17" s="58">
        <f>SQRT((T17-V17)^2+(T18-V17)^2+(T19-V17)^2+(T20-V17)^2+(T22-V17)^2)/V17</f>
        <v>0.13599840564344298</v>
      </c>
      <c r="X17" s="53">
        <f>V17/F17</f>
        <v>193860636411.3573</v>
      </c>
      <c r="Y17" s="27"/>
      <c r="Z17" s="27"/>
    </row>
    <row r="18" spans="1:33" x14ac:dyDescent="0.3">
      <c r="A18" s="62"/>
      <c r="B18" s="15">
        <v>873.49</v>
      </c>
      <c r="C18" s="15">
        <f t="shared" si="1"/>
        <v>6.7724966813116714</v>
      </c>
      <c r="D18" s="15">
        <v>2966</v>
      </c>
      <c r="E18" s="14">
        <f t="shared" si="5"/>
        <v>9.5351344495180109E-7</v>
      </c>
      <c r="F18" s="14">
        <f t="shared" si="0"/>
        <v>2.3035342440022338E-2</v>
      </c>
      <c r="G18" s="18">
        <v>4.3899999999999998E-3</v>
      </c>
      <c r="H18" s="17">
        <f t="shared" si="2"/>
        <v>1.8599266473671824E-8</v>
      </c>
      <c r="I18" s="18">
        <f>3%</f>
        <v>0.03</v>
      </c>
      <c r="J18" s="20">
        <f t="shared" si="3"/>
        <v>0.73655188461241505</v>
      </c>
      <c r="K18" s="2">
        <v>697</v>
      </c>
      <c r="L18" s="2">
        <v>45</v>
      </c>
      <c r="M18" s="12">
        <f t="shared" si="4"/>
        <v>6.4562410329985651E-2</v>
      </c>
      <c r="N18" s="2">
        <v>702</v>
      </c>
      <c r="O18" s="12">
        <v>8.5599999999999996E-2</v>
      </c>
      <c r="P18" s="32">
        <v>757</v>
      </c>
      <c r="Q18" s="30">
        <v>0.95340000000000003</v>
      </c>
      <c r="R18" s="3">
        <f>(K18/M18^2+N18/O18^2+P18/MIN(M18,O18)^2)/(1/M18^2+1/O18^2+1/MIN(M18,O18)^2)</f>
        <v>721.46382174784469</v>
      </c>
      <c r="S18" s="28">
        <f>SQRT((K18-R18)^2+(N18-R18)^2+(P18-R18)^2)/R18</f>
        <v>6.5602881496526572E-2</v>
      </c>
      <c r="T18" s="29">
        <f>R18/H18/G18/1800</f>
        <v>4908872091.4950933</v>
      </c>
      <c r="U18" s="28">
        <f>SQRT(S18^2+I18^2)</f>
        <v>7.2136939640154593E-2</v>
      </c>
      <c r="V18" s="55"/>
      <c r="W18" s="59"/>
      <c r="X18" s="55"/>
      <c r="Z18" s="27"/>
    </row>
    <row r="19" spans="1:33" x14ac:dyDescent="0.3">
      <c r="A19" s="62"/>
      <c r="B19" s="15">
        <v>621.92999999999995</v>
      </c>
      <c r="C19" s="15">
        <f t="shared" si="1"/>
        <v>6.4328275462131304</v>
      </c>
      <c r="D19" s="15">
        <v>2112</v>
      </c>
      <c r="E19" s="14">
        <f>30.07/365/24/3600</f>
        <v>9.5351344495180109E-7</v>
      </c>
      <c r="F19" s="14">
        <f t="shared" si="0"/>
        <v>2.3035342440022338E-2</v>
      </c>
      <c r="G19" s="18">
        <v>9.9299999999999999E-2</v>
      </c>
      <c r="H19" s="17">
        <f t="shared" si="2"/>
        <v>1.9424507073513849E-8</v>
      </c>
      <c r="I19" s="18">
        <f>3%</f>
        <v>0.03</v>
      </c>
      <c r="J19" s="20">
        <f t="shared" si="3"/>
        <v>0.69915431283806573</v>
      </c>
      <c r="K19" s="2">
        <v>15471</v>
      </c>
      <c r="L19" s="2">
        <v>296</v>
      </c>
      <c r="M19" s="12">
        <f t="shared" si="4"/>
        <v>1.9132570615991211E-2</v>
      </c>
      <c r="N19" s="2">
        <v>15434</v>
      </c>
      <c r="O19" s="12">
        <v>2.53E-2</v>
      </c>
      <c r="P19" s="32">
        <v>15659</v>
      </c>
      <c r="Q19" s="30">
        <v>0.997</v>
      </c>
      <c r="R19" s="3">
        <f>(K19/M19^2+N19/O19^2+P19/MIN(M19,O19)^2)/(1/M19^2+1/O19^2+1/MIN(M19,O19)^2)</f>
        <v>15535.870968409128</v>
      </c>
      <c r="S19" s="28">
        <f>SQRT((K19-R19)^2+(N19-R19)^2+(P19-R19)^2)/R19</f>
        <v>1.1101553492579092E-2</v>
      </c>
      <c r="T19" s="29">
        <f>R19/H19/G19/1800</f>
        <v>4474699189.1401072</v>
      </c>
      <c r="U19" s="28">
        <f>SQRT(S19^2+I19^2)</f>
        <v>3.1988192977231385E-2</v>
      </c>
      <c r="V19" s="55"/>
      <c r="W19" s="59"/>
      <c r="X19" s="55"/>
      <c r="Z19" s="27"/>
    </row>
    <row r="20" spans="1:33" x14ac:dyDescent="0.3">
      <c r="A20" s="62"/>
      <c r="B20" s="15">
        <v>511.86</v>
      </c>
      <c r="C20" s="15">
        <f t="shared" si="1"/>
        <v>6.2380511501486584</v>
      </c>
      <c r="D20" s="15">
        <v>1738</v>
      </c>
      <c r="E20" s="14">
        <f>30.07/365/24/3600</f>
        <v>9.5351344495180109E-7</v>
      </c>
      <c r="F20" s="14">
        <f t="shared" si="0"/>
        <v>2.3035342440022338E-2</v>
      </c>
      <c r="G20" s="18">
        <v>0.20399999999999999</v>
      </c>
      <c r="H20" s="17">
        <f t="shared" si="2"/>
        <v>1.9943825820028399E-8</v>
      </c>
      <c r="I20" s="18">
        <f>3%</f>
        <v>0.03</v>
      </c>
      <c r="J20" s="20">
        <f t="shared" si="3"/>
        <v>0.67770943163136732</v>
      </c>
      <c r="K20" s="2">
        <v>32874</v>
      </c>
      <c r="L20" s="2">
        <v>357</v>
      </c>
      <c r="M20" s="12">
        <f t="shared" si="4"/>
        <v>1.0859645920788466E-2</v>
      </c>
      <c r="N20" s="2">
        <v>32253</v>
      </c>
      <c r="O20" s="12">
        <v>1.1900000000000001E-2</v>
      </c>
      <c r="P20" s="32">
        <v>32505</v>
      </c>
      <c r="Q20" s="30">
        <v>0.99390000000000001</v>
      </c>
      <c r="R20" s="3">
        <f>(K20/M20^2+N20/O20^2+P20/MIN(M20,O20)^2)/(1/M20^2+1/O20^2+1/MIN(M20,O20)^2)</f>
        <v>32561.176346826862</v>
      </c>
      <c r="S20" s="28">
        <f>SQRT((K20-R20)^2+(N20-R20)^2+(P20-R20)^2)/R20</f>
        <v>1.3596077628546633E-2</v>
      </c>
      <c r="T20" s="29">
        <f>R20/H20/G20/1800</f>
        <v>4446199456.6252203</v>
      </c>
      <c r="U20" s="28">
        <f>SQRT(S20^2+I20^2)</f>
        <v>3.2937111696101501E-2</v>
      </c>
      <c r="V20" s="55"/>
      <c r="W20" s="59"/>
      <c r="X20" s="55"/>
      <c r="Z20" s="27"/>
    </row>
    <row r="21" spans="1:33" x14ac:dyDescent="0.3">
      <c r="A21" s="62"/>
      <c r="B21" s="15">
        <v>616.22</v>
      </c>
      <c r="C21" s="15">
        <f t="shared" si="1"/>
        <v>6.4236040426303331</v>
      </c>
      <c r="D21" s="15">
        <v>2094</v>
      </c>
      <c r="E21" s="14">
        <f t="shared" ref="E21:E22" si="6">30.07/365/24/3600</f>
        <v>9.5351344495180109E-7</v>
      </c>
      <c r="F21" s="14">
        <f t="shared" si="0"/>
        <v>2.3035342440022338E-2</v>
      </c>
      <c r="G21" s="18">
        <v>7.4999999999999997E-3</v>
      </c>
      <c r="H21" s="17">
        <f t="shared" si="2"/>
        <v>1.9446764694871829E-8</v>
      </c>
      <c r="I21" s="18">
        <f>3%</f>
        <v>0.03</v>
      </c>
      <c r="J21" s="20">
        <f t="shared" si="3"/>
        <v>0.69813880509359971</v>
      </c>
      <c r="K21" s="2">
        <v>909</v>
      </c>
      <c r="L21" s="2">
        <v>154</v>
      </c>
      <c r="M21" s="12">
        <f t="shared" si="4"/>
        <v>0.1694169416941694</v>
      </c>
      <c r="N21" s="2">
        <v>1221</v>
      </c>
      <c r="O21" s="12">
        <v>0.16880000000000001</v>
      </c>
      <c r="P21" s="2" t="s">
        <v>148</v>
      </c>
      <c r="Q21" s="30" t="s">
        <v>148</v>
      </c>
      <c r="R21" s="2">
        <f>(K21/M21^2+N21/O21^2)/(1/M21^2+1/O21^2)</f>
        <v>1065.5691174639348</v>
      </c>
      <c r="S21" s="12">
        <f>SQRT((K21-R21)^2+(N21-R21)^2)/R21</f>
        <v>0.20704314740223698</v>
      </c>
      <c r="T21" s="19">
        <f>R21/H21/G21/1800</f>
        <v>4058826595.4019384</v>
      </c>
      <c r="U21" s="12">
        <f>SQRT(S21^2+I21^2)</f>
        <v>0.20920531753811714</v>
      </c>
      <c r="V21" s="55"/>
      <c r="W21" s="59"/>
      <c r="X21" s="55"/>
      <c r="Z21" s="27"/>
    </row>
    <row r="22" spans="1:33" x14ac:dyDescent="0.3">
      <c r="A22" s="63"/>
      <c r="B22" s="15">
        <v>1128.07</v>
      </c>
      <c r="C22" s="15">
        <f t="shared" si="1"/>
        <v>7.028263486870153</v>
      </c>
      <c r="D22" s="15">
        <v>3832</v>
      </c>
      <c r="E22" s="14">
        <f t="shared" si="6"/>
        <v>9.5351344495180109E-7</v>
      </c>
      <c r="F22" s="14">
        <f t="shared" si="0"/>
        <v>2.3035342440022338E-2</v>
      </c>
      <c r="G22" s="18">
        <v>4.0400000000000002E-3</v>
      </c>
      <c r="H22" s="17">
        <f t="shared" si="2"/>
        <v>1.7752844069070346E-8</v>
      </c>
      <c r="I22" s="18">
        <f>3%</f>
        <v>0.03</v>
      </c>
      <c r="J22" s="20">
        <f t="shared" si="3"/>
        <v>0.76471180990440391</v>
      </c>
      <c r="K22" s="2">
        <v>527</v>
      </c>
      <c r="L22" s="2">
        <v>43</v>
      </c>
      <c r="M22" s="12">
        <f t="shared" si="4"/>
        <v>8.1593927893738136E-2</v>
      </c>
      <c r="N22" s="2">
        <v>513.32000000000005</v>
      </c>
      <c r="O22" s="12">
        <v>8.09E-2</v>
      </c>
      <c r="P22" s="2">
        <v>529</v>
      </c>
      <c r="Q22" s="30">
        <v>0.93569999999999998</v>
      </c>
      <c r="R22" s="3">
        <f>(K22/M22^2+N22/O22^2+P22/MIN(M22,O22)^2)/(1/M22^2+1/O22^2+1/MIN(M22,O22)^2)</f>
        <v>523.08456144063996</v>
      </c>
      <c r="S22" s="28">
        <f>SQRT((K22-R22)^2+(N22-R22)^2+(P22-R22)^2)/R22</f>
        <v>2.3073461851215851E-2</v>
      </c>
      <c r="T22" s="29">
        <f>R22/H22/G22/1800</f>
        <v>4051819531.0148854</v>
      </c>
      <c r="U22" s="28">
        <f>SQRT(S22^2+I22^2)</f>
        <v>3.7846857753313062E-2</v>
      </c>
      <c r="V22" s="54"/>
      <c r="W22" s="60"/>
      <c r="X22" s="54"/>
      <c r="Z22" s="27"/>
      <c r="AA22" s="27"/>
      <c r="AB22" s="27"/>
      <c r="AC22" s="27"/>
      <c r="AD22" s="27"/>
      <c r="AF22" s="27"/>
      <c r="AG22" s="27"/>
    </row>
    <row r="23" spans="1:33" x14ac:dyDescent="0.3">
      <c r="A23" s="61" t="s">
        <v>71</v>
      </c>
      <c r="B23" s="15">
        <v>427.88</v>
      </c>
      <c r="C23" s="15">
        <f t="shared" si="1"/>
        <v>6.0588427824379298</v>
      </c>
      <c r="D23" s="15">
        <v>1453</v>
      </c>
      <c r="E23" s="14">
        <v>2.758</v>
      </c>
      <c r="F23" s="14">
        <f t="shared" si="0"/>
        <v>7.9639262964576229E-9</v>
      </c>
      <c r="G23" s="18">
        <v>0.29599999999999999</v>
      </c>
      <c r="H23" s="17">
        <f t="shared" si="2"/>
        <v>2.0584517488157128E-8</v>
      </c>
      <c r="I23" s="18">
        <f>3%</f>
        <v>0.03</v>
      </c>
      <c r="J23" s="20">
        <f t="shared" si="3"/>
        <v>0.65797859034641615</v>
      </c>
      <c r="K23" s="2">
        <v>2136</v>
      </c>
      <c r="L23" s="2">
        <v>315</v>
      </c>
      <c r="M23" s="12">
        <f t="shared" si="4"/>
        <v>0.14747191011235955</v>
      </c>
      <c r="N23" s="2">
        <v>2015</v>
      </c>
      <c r="O23" s="12">
        <v>0.1424</v>
      </c>
      <c r="P23" s="2">
        <v>1906</v>
      </c>
      <c r="Q23" s="30">
        <v>0.93730000000000002</v>
      </c>
      <c r="R23" s="3">
        <f>(K23/M23^2+N23/O23^2+P23/MIN(M23,O23)^2)/(1/M23^2+1/O23^2+1/MIN(M23,O23)^2)</f>
        <v>2016.3027450070374</v>
      </c>
      <c r="S23" s="28">
        <f>SQRT((K23-R23)^2+(N23-R23)^2+(P23-R23)^2)/R23</f>
        <v>8.072963454945889E-2</v>
      </c>
      <c r="T23" s="29">
        <f>R23/H23/G23/1800</f>
        <v>183844581.30069509</v>
      </c>
      <c r="U23" s="28">
        <f>SQRT(S23^2+I23^2)</f>
        <v>8.6123596618401771E-2</v>
      </c>
      <c r="V23" s="53">
        <f t="shared" ref="V23:W23" si="7">T23</f>
        <v>183844581.30069509</v>
      </c>
      <c r="W23" s="58">
        <f t="shared" si="7"/>
        <v>8.6123596618401771E-2</v>
      </c>
      <c r="X23" s="53">
        <f>V23/F23</f>
        <v>2.3084666338822056E+16</v>
      </c>
      <c r="Y23" s="27"/>
      <c r="Z23" s="27"/>
    </row>
    <row r="24" spans="1:33" x14ac:dyDescent="0.3">
      <c r="A24" s="62"/>
      <c r="B24" s="15">
        <v>463.36</v>
      </c>
      <c r="C24" s="15">
        <f t="shared" si="1"/>
        <v>6.1385042897572966</v>
      </c>
      <c r="D24" s="15">
        <v>1575</v>
      </c>
      <c r="E24" s="14">
        <v>2.758</v>
      </c>
      <c r="F24" s="14">
        <f t="shared" si="0"/>
        <v>7.9639262964576229E-9</v>
      </c>
      <c r="G24" s="18">
        <v>0.105</v>
      </c>
      <c r="H24" s="17">
        <f t="shared" si="2"/>
        <v>2.0273267020602261E-8</v>
      </c>
      <c r="I24" s="18">
        <f>3%</f>
        <v>0.03</v>
      </c>
      <c r="J24" s="20">
        <f t="shared" si="3"/>
        <v>0.66674932230227835</v>
      </c>
      <c r="K24" s="2">
        <v>832</v>
      </c>
      <c r="L24" s="2">
        <v>374</v>
      </c>
      <c r="M24" s="12">
        <f t="shared" si="4"/>
        <v>0.44951923076923078</v>
      </c>
      <c r="N24" s="2">
        <v>377</v>
      </c>
      <c r="O24" s="12">
        <v>0.4496</v>
      </c>
      <c r="P24" s="2">
        <v>946</v>
      </c>
      <c r="Q24" s="30">
        <v>0.88560000000000005</v>
      </c>
      <c r="R24" s="2">
        <f>(K24/M24^2+N24/O24^2+P24/MIN(M24,O24)^2)/(1/M24^2+1/O24^2+1/MIN(M24,O24)^2)</f>
        <v>718.37421419932639</v>
      </c>
      <c r="S24" s="12">
        <f>SQRT((K24-R24)^2+(N24-R24)^2+(P24-R24)^2)/R24</f>
        <v>0.59265377821393628</v>
      </c>
      <c r="T24" s="19">
        <f>R24/H24/G24/1800</f>
        <v>187484422.92935821</v>
      </c>
      <c r="U24" s="12">
        <f>SQRT(S24^2+I24^2)</f>
        <v>0.59341258904008232</v>
      </c>
      <c r="V24" s="55"/>
      <c r="W24" s="59"/>
      <c r="X24" s="55"/>
      <c r="Z24" s="27"/>
    </row>
    <row r="25" spans="1:33" x14ac:dyDescent="0.3">
      <c r="A25" s="63"/>
      <c r="B25" s="15">
        <v>600.6</v>
      </c>
      <c r="C25" s="15">
        <f t="shared" si="1"/>
        <v>6.3979291555492299</v>
      </c>
      <c r="D25" s="15">
        <v>2041</v>
      </c>
      <c r="E25" s="14">
        <v>2.758</v>
      </c>
      <c r="F25" s="14">
        <f t="shared" si="0"/>
        <v>7.9639262964576229E-9</v>
      </c>
      <c r="G25" s="18">
        <v>5.0299999999999997E-2</v>
      </c>
      <c r="H25" s="17">
        <f t="shared" si="2"/>
        <v>1.9509547462995467E-8</v>
      </c>
      <c r="I25" s="18">
        <f>3%</f>
        <v>0.03</v>
      </c>
      <c r="J25" s="20">
        <f t="shared" si="3"/>
        <v>0.69531200002597027</v>
      </c>
      <c r="K25" s="2">
        <v>738</v>
      </c>
      <c r="L25" s="2">
        <v>155</v>
      </c>
      <c r="M25" s="12">
        <f t="shared" si="4"/>
        <v>0.21002710027100271</v>
      </c>
      <c r="N25" s="2">
        <v>860.35</v>
      </c>
      <c r="O25" s="12">
        <v>0.18010000000000001</v>
      </c>
      <c r="P25" s="2">
        <v>1086</v>
      </c>
      <c r="Q25" s="30">
        <v>0.93779999999999997</v>
      </c>
      <c r="R25" s="2">
        <f>(K25/M25^2+N25/O25^2+P25/MIN(M25,O25)^2)/(1/M25^2+1/O25^2+1/MIN(M25,O25)^2)</f>
        <v>909.95424703182766</v>
      </c>
      <c r="S25" s="12">
        <f>SQRT((K25-R25)^2+(N25-R25)^2+(P25-R25)^2)/R25</f>
        <v>0.27588171797034089</v>
      </c>
      <c r="T25" s="19">
        <f>R25/H25/G25/1800</f>
        <v>515147824.83939779</v>
      </c>
      <c r="U25" s="12">
        <f>SQRT(S25^2+I25^2)</f>
        <v>0.27750805809970042</v>
      </c>
      <c r="V25" s="54"/>
      <c r="W25" s="60"/>
      <c r="X25" s="54"/>
      <c r="Z25" s="27"/>
    </row>
    <row r="26" spans="1:33" x14ac:dyDescent="0.3">
      <c r="A26" s="15" t="s">
        <v>72</v>
      </c>
      <c r="B26" s="15">
        <v>133.51</v>
      </c>
      <c r="C26" s="15">
        <f t="shared" si="1"/>
        <v>4.8941763814020032</v>
      </c>
      <c r="D26" s="15">
        <v>452</v>
      </c>
      <c r="E26" s="14">
        <f>284.9/365</f>
        <v>0.78054794520547943</v>
      </c>
      <c r="F26" s="14">
        <f t="shared" si="0"/>
        <v>2.8139858493699533E-8</v>
      </c>
      <c r="G26" s="18">
        <v>0.1109</v>
      </c>
      <c r="H26" s="17">
        <f t="shared" si="2"/>
        <v>4.1390373941692822E-8</v>
      </c>
      <c r="I26" s="18">
        <f>3%</f>
        <v>0.03</v>
      </c>
      <c r="J26" s="20">
        <f t="shared" si="3"/>
        <v>0.52974881959236053</v>
      </c>
      <c r="K26" s="2">
        <v>23930</v>
      </c>
      <c r="L26" s="2">
        <v>361</v>
      </c>
      <c r="M26" s="12">
        <f t="shared" si="4"/>
        <v>1.50856665273715E-2</v>
      </c>
      <c r="N26" s="2">
        <v>23805</v>
      </c>
      <c r="O26" s="12">
        <v>1.4E-2</v>
      </c>
      <c r="P26" s="2">
        <v>24306</v>
      </c>
      <c r="Q26" s="30">
        <v>0.99829999999999997</v>
      </c>
      <c r="R26" s="3">
        <f>(K26/M26^2+N26/O26^2+P26/MIN(M26,O26)^2)/(1/M26^2+1/O26^2+1/MIN(M26,O26)^2)</f>
        <v>24017.724028843862</v>
      </c>
      <c r="S26" s="28">
        <f>SQRT((K26-R26)^2+(N26-R26)^2+(P26-R26)^2)/R26</f>
        <v>1.5357393337695761E-2</v>
      </c>
      <c r="T26" s="29">
        <f>R26/H26/G26/1800</f>
        <v>2906889003.6403246</v>
      </c>
      <c r="U26" s="28">
        <f>SQRT(S26^2+I26^2)</f>
        <v>3.3702366832741915E-2</v>
      </c>
      <c r="V26" s="19">
        <f>T26</f>
        <v>2906889003.6403246</v>
      </c>
      <c r="W26" s="12">
        <f>U26</f>
        <v>3.3702366832741915E-2</v>
      </c>
      <c r="X26" s="36">
        <f>V26/F26</f>
        <v>1.0330147908494893E+17</v>
      </c>
      <c r="Y26" s="27"/>
      <c r="Z26" s="27"/>
    </row>
    <row r="27" spans="1:33" x14ac:dyDescent="0.3">
      <c r="A27" s="15" t="s">
        <v>143</v>
      </c>
      <c r="B27" s="15">
        <v>1461</v>
      </c>
      <c r="C27" s="15">
        <f t="shared" si="1"/>
        <v>7.2868764117506997</v>
      </c>
      <c r="D27" s="15">
        <v>4963</v>
      </c>
      <c r="E27" s="16">
        <v>1277000000</v>
      </c>
      <c r="F27" s="14">
        <f t="shared" si="0"/>
        <v>1.7200085141448807E-17</v>
      </c>
      <c r="G27" s="18">
        <v>0.1067</v>
      </c>
      <c r="H27" s="17">
        <f t="shared" si="2"/>
        <v>1.6480111944612183E-8</v>
      </c>
      <c r="I27" s="18">
        <f>3%</f>
        <v>0.03</v>
      </c>
      <c r="J27" s="20">
        <f t="shared" si="3"/>
        <v>0.79318509293375206</v>
      </c>
      <c r="K27" s="2">
        <v>779</v>
      </c>
      <c r="L27" s="2">
        <v>43</v>
      </c>
      <c r="M27" s="12">
        <f t="shared" si="4"/>
        <v>5.5198973042362001E-2</v>
      </c>
      <c r="N27" s="2">
        <v>826</v>
      </c>
      <c r="O27" s="12">
        <v>5.4699999999999999E-2</v>
      </c>
      <c r="P27" s="2">
        <v>831</v>
      </c>
      <c r="Q27" s="30">
        <v>0.97170000000000001</v>
      </c>
      <c r="R27" s="3">
        <f>(K27/M27^2+N27/O27^2+P27/MIN(M27,O27)^2)/(1/M27^2+1/O27^2+1/MIN(M27,O27)^2)</f>
        <v>812.1991657412965</v>
      </c>
      <c r="S27" s="28">
        <f>SQRT((K27-R27)^2+(N27-R27)^2+(P27-R27)^2)/R27</f>
        <v>4.9953747571496919E-2</v>
      </c>
      <c r="T27" s="29">
        <f>R27/H27/G27/1800</f>
        <v>256605202.48158509</v>
      </c>
      <c r="U27" s="28">
        <f>SQRT(S27^2+I27^2)</f>
        <v>5.8269862677346629E-2</v>
      </c>
      <c r="V27" s="19">
        <f t="shared" ref="V27:W28" si="8">T27</f>
        <v>256605202.48158509</v>
      </c>
      <c r="W27" s="12">
        <f t="shared" si="8"/>
        <v>5.8269862677346629E-2</v>
      </c>
      <c r="X27" s="36">
        <f>V27/F27</f>
        <v>1.4918833271541036E+25</v>
      </c>
      <c r="Z27" s="27"/>
    </row>
    <row r="28" spans="1:33" x14ac:dyDescent="0.3">
      <c r="A28" s="61" t="s">
        <v>73</v>
      </c>
      <c r="B28" s="15">
        <v>497.08</v>
      </c>
      <c r="C28" s="15">
        <f t="shared" si="1"/>
        <v>6.2087509789377942</v>
      </c>
      <c r="D28" s="15">
        <v>1689</v>
      </c>
      <c r="E28" s="14">
        <f>39.26/365</f>
        <v>0.10756164383561644</v>
      </c>
      <c r="F28" s="14">
        <f t="shared" si="0"/>
        <v>2.0420391454037179E-7</v>
      </c>
      <c r="G28" s="18">
        <v>0.91</v>
      </c>
      <c r="H28" s="17">
        <f t="shared" si="2"/>
        <v>2.0034917626761884E-8</v>
      </c>
      <c r="I28" s="18">
        <f>3%</f>
        <v>0.03</v>
      </c>
      <c r="J28" s="20">
        <f t="shared" si="3"/>
        <v>0.67448348278105119</v>
      </c>
      <c r="K28" s="2">
        <v>20722</v>
      </c>
      <c r="L28" s="2">
        <v>401</v>
      </c>
      <c r="M28" s="12">
        <f t="shared" si="4"/>
        <v>1.9351413956181836E-2</v>
      </c>
      <c r="N28" s="2">
        <v>20798</v>
      </c>
      <c r="O28" s="12">
        <v>1.8599999999999998E-2</v>
      </c>
      <c r="P28" s="32">
        <v>20778</v>
      </c>
      <c r="Q28" s="30">
        <v>0.99809999999999999</v>
      </c>
      <c r="R28" s="3">
        <f>(K28/M28^2+N28/O28^2+P28/MIN(M28,O28)^2)/(1/M28^2+1/O28^2+1/MIN(M28,O28)^2)</f>
        <v>20767.145987048756</v>
      </c>
      <c r="S28" s="28">
        <f>SQRT((K28-R28)^2+(N28-R28)^2+(P28-R28)^2)/R28</f>
        <v>2.6844757630232643E-3</v>
      </c>
      <c r="T28" s="29">
        <f>R28/H28/G28/1800</f>
        <v>632812948.85451901</v>
      </c>
      <c r="U28" s="28">
        <f>SQRT(S28^2+I28^2)</f>
        <v>3.0119867365615328E-2</v>
      </c>
      <c r="V28" s="53">
        <f t="shared" si="8"/>
        <v>632812948.85451901</v>
      </c>
      <c r="W28" s="58">
        <f t="shared" si="8"/>
        <v>3.0119867365615328E-2</v>
      </c>
      <c r="X28" s="53">
        <f>V28/F28</f>
        <v>3098926630661675</v>
      </c>
      <c r="Y28" s="27"/>
      <c r="Z28" s="27"/>
    </row>
    <row r="29" spans="1:33" x14ac:dyDescent="0.3">
      <c r="A29" s="63"/>
      <c r="B29" s="15">
        <v>610.33000000000004</v>
      </c>
      <c r="C29" s="15">
        <f t="shared" si="1"/>
        <v>6.4139997944950373</v>
      </c>
      <c r="D29" s="15">
        <v>2074</v>
      </c>
      <c r="E29" s="14">
        <f>39.26/365</f>
        <v>0.10756164383561644</v>
      </c>
      <c r="F29" s="14">
        <f t="shared" si="0"/>
        <v>2.0420391454037179E-7</v>
      </c>
      <c r="G29" s="18">
        <v>5.7599999999999998E-2</v>
      </c>
      <c r="H29" s="17">
        <f t="shared" si="2"/>
        <v>1.9470099877022086E-8</v>
      </c>
      <c r="I29" s="18">
        <f>3%</f>
        <v>0.03</v>
      </c>
      <c r="J29" s="20">
        <f t="shared" si="3"/>
        <v>0.69708137737390363</v>
      </c>
      <c r="K29" s="2">
        <v>850</v>
      </c>
      <c r="L29" s="2">
        <v>140</v>
      </c>
      <c r="M29" s="12">
        <f t="shared" si="4"/>
        <v>0.16470588235294117</v>
      </c>
      <c r="N29" s="2">
        <v>824.88</v>
      </c>
      <c r="O29" s="12">
        <v>0.22950000000000001</v>
      </c>
      <c r="P29" s="2">
        <v>1257</v>
      </c>
      <c r="Q29" s="30">
        <v>0.88639999999999997</v>
      </c>
      <c r="R29" s="2">
        <f>(K29/M29^2+N29/O29^2+P29/MIN(M29,O29)^2)/(1/M29^2+1/O29^2+1/MIN(M29,O29)^2)</f>
        <v>1006.6812589969633</v>
      </c>
      <c r="S29" s="12">
        <f>SQRT((K29-R29)^2+(N29-R29)^2+(P29-R29)^2)/R29</f>
        <v>0.34448391916703613</v>
      </c>
      <c r="T29" s="19">
        <f>R29/H29/G29/1800</f>
        <v>498687882.7110166</v>
      </c>
      <c r="U29" s="12">
        <f>SQRT(S29^2+I29^2)</f>
        <v>0.34578775363607239</v>
      </c>
      <c r="V29" s="54"/>
      <c r="W29" s="60"/>
      <c r="X29" s="54"/>
      <c r="Z29" s="27"/>
    </row>
    <row r="30" spans="1:33" x14ac:dyDescent="0.3">
      <c r="A30" s="15" t="s">
        <v>132</v>
      </c>
      <c r="B30" s="15">
        <v>1204.67</v>
      </c>
      <c r="C30" s="15">
        <f t="shared" si="1"/>
        <v>7.0939609494973919</v>
      </c>
      <c r="D30" s="15">
        <v>4092</v>
      </c>
      <c r="E30" s="14">
        <f>39.26/365</f>
        <v>0.10756164383561644</v>
      </c>
      <c r="F30" s="14">
        <f t="shared" si="0"/>
        <v>2.0420391454037179E-7</v>
      </c>
      <c r="G30" s="18">
        <v>3.0000000000000001E-3</v>
      </c>
      <c r="H30" s="17">
        <f t="shared" si="2"/>
        <v>1.7475364088684313E-8</v>
      </c>
      <c r="I30" s="18">
        <f>3%</f>
        <v>0.03</v>
      </c>
      <c r="J30" s="20">
        <f t="shared" si="3"/>
        <v>0.77194510053966292</v>
      </c>
      <c r="K30" s="2">
        <v>614</v>
      </c>
      <c r="L30" s="2">
        <v>42</v>
      </c>
      <c r="M30" s="12">
        <f t="shared" si="4"/>
        <v>6.8403908794788276E-2</v>
      </c>
      <c r="N30" s="2">
        <v>592</v>
      </c>
      <c r="O30" s="12">
        <v>5.3699999999999998E-2</v>
      </c>
      <c r="P30" s="2">
        <v>582.79999999999995</v>
      </c>
      <c r="Q30" s="30">
        <v>0.95140000000000002</v>
      </c>
      <c r="R30" s="3">
        <f>(K30/M30^2+N30/O30^2+P30/MIN(M30,O30)^2)/(1/M30^2+1/O30^2+1/MIN(M30,O30)^2)</f>
        <v>593.66588050840528</v>
      </c>
      <c r="S30" s="28">
        <f>SQRT((K30-R30)^2+(N30-R30)^2+(P30-R30)^2)/R30</f>
        <v>3.8936614898932222E-2</v>
      </c>
      <c r="T30" s="29">
        <f>R30/H30/G30/1800</f>
        <v>6291034937.0782175</v>
      </c>
      <c r="U30" s="28">
        <f>SQRT(S30^2+I30^2)</f>
        <v>4.9153433041729151E-2</v>
      </c>
      <c r="V30" s="19">
        <f t="shared" ref="V30:W30" si="9">T30</f>
        <v>6291034937.0782175</v>
      </c>
      <c r="W30" s="12">
        <f t="shared" si="9"/>
        <v>4.9153433041729151E-2</v>
      </c>
      <c r="X30" s="36">
        <f>V30/F30</f>
        <v>3.0807611848373548E+16</v>
      </c>
      <c r="Y30" s="27"/>
      <c r="Z30" s="27"/>
    </row>
    <row r="31" spans="1:33" x14ac:dyDescent="0.3">
      <c r="T31" s="27"/>
      <c r="U31" s="27"/>
    </row>
    <row r="34" spans="21:31" ht="14.5" customHeight="1" x14ac:dyDescent="0.3">
      <c r="X34" s="65"/>
      <c r="Y34" s="27"/>
      <c r="AA34" s="27"/>
      <c r="AB34" s="27"/>
      <c r="AD34" s="27"/>
      <c r="AE34" s="27"/>
    </row>
    <row r="37" spans="21:31" x14ac:dyDescent="0.3">
      <c r="X37" s="27"/>
    </row>
    <row r="38" spans="21:31" x14ac:dyDescent="0.3">
      <c r="U38" s="27"/>
      <c r="X38" s="27"/>
      <c r="Y38" s="64"/>
    </row>
    <row r="39" spans="21:31" x14ac:dyDescent="0.3">
      <c r="X39" s="27"/>
    </row>
    <row r="40" spans="21:31" x14ac:dyDescent="0.3">
      <c r="X40" s="27"/>
    </row>
    <row r="41" spans="21:31" x14ac:dyDescent="0.3">
      <c r="X41" s="27"/>
    </row>
    <row r="42" spans="21:31" x14ac:dyDescent="0.3">
      <c r="X42" s="27"/>
    </row>
    <row r="43" spans="21:31" x14ac:dyDescent="0.3">
      <c r="X43" s="27"/>
    </row>
    <row r="45" spans="21:31" x14ac:dyDescent="0.3">
      <c r="X45" s="27"/>
    </row>
    <row r="46" spans="21:31" x14ac:dyDescent="0.3">
      <c r="X46" s="27"/>
    </row>
  </sheetData>
  <mergeCells count="28">
    <mergeCell ref="A23:A25"/>
    <mergeCell ref="V23:V25"/>
    <mergeCell ref="W23:W25"/>
    <mergeCell ref="X23:X25"/>
    <mergeCell ref="A28:A29"/>
    <mergeCell ref="V28:V29"/>
    <mergeCell ref="W28:W29"/>
    <mergeCell ref="X28:X29"/>
    <mergeCell ref="A13:A16"/>
    <mergeCell ref="V13:V16"/>
    <mergeCell ref="W13:W16"/>
    <mergeCell ref="X13:X16"/>
    <mergeCell ref="A17:A22"/>
    <mergeCell ref="V17:V22"/>
    <mergeCell ref="W17:W22"/>
    <mergeCell ref="X17:X22"/>
    <mergeCell ref="A3:A8"/>
    <mergeCell ref="V3:V8"/>
    <mergeCell ref="W3:W8"/>
    <mergeCell ref="X3:X8"/>
    <mergeCell ref="A10:A11"/>
    <mergeCell ref="V10:V11"/>
    <mergeCell ref="W10:W11"/>
    <mergeCell ref="X10:X11"/>
    <mergeCell ref="K1:M1"/>
    <mergeCell ref="N1:O1"/>
    <mergeCell ref="P1:Q1"/>
    <mergeCell ref="R1:W1"/>
  </mergeCells>
  <phoneticPr fontId="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6903C-8891-4D00-9AAA-D3C869C26647}">
  <dimension ref="A1:R52"/>
  <sheetViews>
    <sheetView workbookViewId="0">
      <selection activeCell="F54" sqref="F54"/>
    </sheetView>
  </sheetViews>
  <sheetFormatPr defaultRowHeight="14" x14ac:dyDescent="0.3"/>
  <cols>
    <col min="2" max="4" width="8.75" bestFit="1" customWidth="1"/>
    <col min="5" max="5" width="11.4140625" bestFit="1" customWidth="1"/>
    <col min="6" max="7" width="10.4140625" bestFit="1" customWidth="1"/>
    <col min="8" max="8" width="8.75" bestFit="1" customWidth="1"/>
    <col min="9" max="9" width="12.58203125" bestFit="1" customWidth="1"/>
    <col min="20" max="21" width="12.5" bestFit="1" customWidth="1"/>
    <col min="32" max="32" width="12.5" bestFit="1" customWidth="1"/>
  </cols>
  <sheetData>
    <row r="1" spans="1:18" x14ac:dyDescent="0.3">
      <c r="B1" s="35"/>
      <c r="C1" s="35" t="s">
        <v>153</v>
      </c>
      <c r="D1" s="35" t="s">
        <v>152</v>
      </c>
      <c r="E1" s="34" t="s">
        <v>155</v>
      </c>
      <c r="F1" s="35" t="s">
        <v>154</v>
      </c>
      <c r="G1" s="35" t="s">
        <v>156</v>
      </c>
      <c r="H1" s="35" t="s">
        <v>152</v>
      </c>
      <c r="I1" s="35" t="s">
        <v>157</v>
      </c>
    </row>
    <row r="2" spans="1:18" x14ac:dyDescent="0.3">
      <c r="A2" s="31"/>
      <c r="B2" s="34">
        <v>0</v>
      </c>
      <c r="C2" s="35">
        <v>100</v>
      </c>
      <c r="D2" s="35">
        <f>LN(C2)</f>
        <v>4.6051701859880918</v>
      </c>
      <c r="E2" s="35">
        <v>2.1550000000000001E-9</v>
      </c>
      <c r="F2" s="35">
        <v>1.0399999999999999E-9</v>
      </c>
      <c r="G2" s="35">
        <v>8.3750000000000005E-10</v>
      </c>
      <c r="H2" s="35">
        <f>LN(F2)</f>
        <v>-20.68404512379313</v>
      </c>
      <c r="I2" s="2">
        <f>EXP(-0.1335*D2^3+2.61*D2^2-17.13*D2+19.97)</f>
        <v>6.1577491432887123E-8</v>
      </c>
      <c r="J2" s="31"/>
    </row>
    <row r="3" spans="1:18" x14ac:dyDescent="0.3">
      <c r="A3" s="31"/>
      <c r="B3" s="34">
        <v>11</v>
      </c>
      <c r="C3" s="35">
        <v>200</v>
      </c>
      <c r="D3" s="35">
        <f t="shared" ref="D3:D22" si="0">LN(C3)</f>
        <v>5.2983173665480363</v>
      </c>
      <c r="E3" s="35">
        <v>2.7925E-8</v>
      </c>
      <c r="F3" s="35">
        <v>1.6025E-8</v>
      </c>
      <c r="G3" s="35">
        <v>1.43275E-8</v>
      </c>
      <c r="H3" s="35">
        <f t="shared" ref="H3:H22" si="1">LN(F3)</f>
        <v>-17.949115834139679</v>
      </c>
      <c r="I3" s="2">
        <f t="shared" ref="I3:I22" si="2">EXP(-0.1335*D3^3+2.61*D3^2-17.13*D3+19.97)</f>
        <v>2.8368778543948713E-8</v>
      </c>
      <c r="J3" s="31"/>
    </row>
    <row r="4" spans="1:18" x14ac:dyDescent="0.3">
      <c r="A4" s="31"/>
      <c r="B4" s="34">
        <v>13</v>
      </c>
      <c r="C4" s="35">
        <v>300</v>
      </c>
      <c r="D4" s="35">
        <f t="shared" si="0"/>
        <v>5.7037824746562009</v>
      </c>
      <c r="E4" s="35">
        <v>3.3275000000000012E-8</v>
      </c>
      <c r="F4" s="35">
        <v>2.0685E-8</v>
      </c>
      <c r="G4" s="35">
        <v>2.0015000000000001E-8</v>
      </c>
      <c r="H4" s="35">
        <f t="shared" si="1"/>
        <v>-17.693857037033037</v>
      </c>
      <c r="I4" s="2">
        <f t="shared" si="2"/>
        <v>2.2792612799099108E-8</v>
      </c>
      <c r="J4" s="31"/>
    </row>
    <row r="5" spans="1:18" x14ac:dyDescent="0.3">
      <c r="A5" s="31"/>
      <c r="B5" s="34">
        <v>14</v>
      </c>
      <c r="C5" s="35">
        <v>400</v>
      </c>
      <c r="D5" s="35">
        <f t="shared" si="0"/>
        <v>5.9914645471079817</v>
      </c>
      <c r="E5" s="35">
        <v>3.2267499999999988E-8</v>
      </c>
      <c r="F5" s="35">
        <v>2.096E-8</v>
      </c>
      <c r="G5" s="35">
        <v>2.072E-8</v>
      </c>
      <c r="H5" s="35">
        <f t="shared" si="1"/>
        <v>-17.680649977493569</v>
      </c>
      <c r="I5" s="2">
        <f t="shared" si="2"/>
        <v>2.0889091480693562E-8</v>
      </c>
      <c r="J5" s="31"/>
    </row>
    <row r="6" spans="1:18" x14ac:dyDescent="0.3">
      <c r="A6" s="31"/>
      <c r="B6" s="34">
        <v>15</v>
      </c>
      <c r="C6" s="35">
        <v>500</v>
      </c>
      <c r="D6" s="35">
        <f t="shared" si="0"/>
        <v>6.2146080984221914</v>
      </c>
      <c r="E6" s="35">
        <v>3.0335E-8</v>
      </c>
      <c r="F6" s="35">
        <v>2.0572500000000001E-8</v>
      </c>
      <c r="G6" s="35">
        <v>2.043750000000001E-8</v>
      </c>
      <c r="H6" s="35">
        <f t="shared" si="1"/>
        <v>-17.69931060444868</v>
      </c>
      <c r="I6" s="2">
        <f t="shared" si="2"/>
        <v>2.0016348870974913E-8</v>
      </c>
      <c r="J6" s="31"/>
    </row>
    <row r="7" spans="1:18" x14ac:dyDescent="0.3">
      <c r="A7" s="31"/>
      <c r="B7" s="34">
        <v>16</v>
      </c>
      <c r="C7" s="35">
        <v>600</v>
      </c>
      <c r="D7" s="35">
        <f t="shared" si="0"/>
        <v>6.3969296552161463</v>
      </c>
      <c r="E7" s="35">
        <v>2.8617500000000001E-8</v>
      </c>
      <c r="F7" s="35">
        <v>2.0030000000000001E-8</v>
      </c>
      <c r="G7" s="35">
        <v>1.9849999999999999E-8</v>
      </c>
      <c r="H7" s="35">
        <f t="shared" si="1"/>
        <v>-17.726034687268683</v>
      </c>
      <c r="I7" s="2">
        <f t="shared" si="2"/>
        <v>1.9512018698153707E-8</v>
      </c>
      <c r="J7" s="31"/>
    </row>
    <row r="8" spans="1:18" x14ac:dyDescent="0.3">
      <c r="A8" s="31"/>
      <c r="B8" s="34">
        <v>17</v>
      </c>
      <c r="C8" s="35">
        <v>661.66</v>
      </c>
      <c r="D8" s="35">
        <f t="shared" si="0"/>
        <v>6.4947518288356711</v>
      </c>
      <c r="E8" s="35">
        <v>2.756E-8</v>
      </c>
      <c r="F8" s="35">
        <v>1.9575000000000002E-8</v>
      </c>
      <c r="G8" s="35">
        <v>1.9499999999999999E-8</v>
      </c>
      <c r="H8" s="35">
        <f t="shared" si="1"/>
        <v>-17.749012595069544</v>
      </c>
      <c r="I8" s="2">
        <f t="shared" si="2"/>
        <v>1.9277993783460587E-8</v>
      </c>
      <c r="J8" s="31"/>
    </row>
    <row r="9" spans="1:18" x14ac:dyDescent="0.3">
      <c r="A9" s="31"/>
      <c r="B9" s="34">
        <v>18</v>
      </c>
      <c r="C9" s="35">
        <v>700</v>
      </c>
      <c r="D9" s="35">
        <f t="shared" si="0"/>
        <v>6.5510803350434044</v>
      </c>
      <c r="E9" s="35">
        <v>2.7155000000000001E-8</v>
      </c>
      <c r="F9" s="35">
        <v>1.946E-8</v>
      </c>
      <c r="G9" s="35">
        <v>1.9364999999999998E-8</v>
      </c>
      <c r="H9" s="35">
        <f t="shared" si="1"/>
        <v>-17.754904760188552</v>
      </c>
      <c r="I9" s="2">
        <f t="shared" si="2"/>
        <v>1.9146904367713541E-8</v>
      </c>
      <c r="J9" s="31"/>
    </row>
    <row r="10" spans="1:18" x14ac:dyDescent="0.3">
      <c r="A10" s="31"/>
      <c r="B10" s="34">
        <v>19</v>
      </c>
      <c r="C10" s="35">
        <v>800</v>
      </c>
      <c r="D10" s="35">
        <f t="shared" si="0"/>
        <v>6.6846117276679271</v>
      </c>
      <c r="E10" s="35">
        <v>2.5872500000000009E-8</v>
      </c>
      <c r="F10" s="35">
        <v>1.8945000000000009E-8</v>
      </c>
      <c r="G10" s="35">
        <v>1.8947500000000011E-8</v>
      </c>
      <c r="H10" s="35">
        <f t="shared" si="1"/>
        <v>-17.781725792475847</v>
      </c>
      <c r="I10" s="2">
        <f t="shared" si="2"/>
        <v>1.8828229833748008E-8</v>
      </c>
      <c r="J10" s="31"/>
    </row>
    <row r="11" spans="1:18" x14ac:dyDescent="0.3">
      <c r="A11" s="31"/>
      <c r="B11" s="34">
        <v>20</v>
      </c>
      <c r="C11" s="35">
        <v>900</v>
      </c>
      <c r="D11" s="35">
        <f t="shared" si="0"/>
        <v>6.8023947633243109</v>
      </c>
      <c r="E11" s="35">
        <v>2.4785E-8</v>
      </c>
      <c r="F11" s="35">
        <v>1.8644999999999999E-8</v>
      </c>
      <c r="G11" s="35">
        <v>1.8645000000000009E-8</v>
      </c>
      <c r="H11" s="35">
        <f t="shared" si="1"/>
        <v>-17.797687823315627</v>
      </c>
      <c r="I11" s="2">
        <f t="shared" si="2"/>
        <v>1.8515838456882094E-8</v>
      </c>
      <c r="J11" s="31"/>
    </row>
    <row r="12" spans="1:18" x14ac:dyDescent="0.3">
      <c r="A12" s="31"/>
      <c r="B12" s="34">
        <v>1</v>
      </c>
      <c r="C12" s="35">
        <v>1000</v>
      </c>
      <c r="D12" s="35">
        <f t="shared" si="0"/>
        <v>6.9077552789821368</v>
      </c>
      <c r="E12" s="35">
        <v>2.3884999999999998E-8</v>
      </c>
      <c r="F12" s="35">
        <v>1.8179999999999991E-8</v>
      </c>
      <c r="G12" s="35">
        <v>1.8145000000000001E-8</v>
      </c>
      <c r="H12" s="35">
        <f t="shared" si="1"/>
        <v>-17.82294374819708</v>
      </c>
      <c r="I12" s="2">
        <f t="shared" si="2"/>
        <v>1.8192521582682268E-8</v>
      </c>
      <c r="J12" s="31"/>
      <c r="R12" s="27"/>
    </row>
    <row r="13" spans="1:18" x14ac:dyDescent="0.3">
      <c r="A13" s="31"/>
      <c r="B13" s="34">
        <v>2</v>
      </c>
      <c r="C13" s="35">
        <v>1100</v>
      </c>
      <c r="D13" s="35">
        <f t="shared" si="0"/>
        <v>7.0030654587864616</v>
      </c>
      <c r="E13" s="35">
        <v>2.332E-8</v>
      </c>
      <c r="F13" s="35">
        <v>1.7917500000000001E-8</v>
      </c>
      <c r="G13" s="35">
        <v>1.7917500000000001E-8</v>
      </c>
      <c r="H13" s="35">
        <f t="shared" si="1"/>
        <v>-17.837487948060474</v>
      </c>
      <c r="I13" s="2">
        <f t="shared" si="2"/>
        <v>1.7851838031275565E-8</v>
      </c>
      <c r="J13" s="31"/>
    </row>
    <row r="14" spans="1:18" x14ac:dyDescent="0.3">
      <c r="A14" s="31"/>
      <c r="B14" s="34">
        <v>3</v>
      </c>
      <c r="C14" s="35">
        <v>1200</v>
      </c>
      <c r="D14" s="35">
        <f t="shared" si="0"/>
        <v>7.0900768357760917</v>
      </c>
      <c r="E14" s="35">
        <v>2.2784999999999999E-8</v>
      </c>
      <c r="F14" s="35">
        <v>1.7709999999999991E-8</v>
      </c>
      <c r="G14" s="35">
        <v>1.7645E-8</v>
      </c>
      <c r="H14" s="35">
        <f t="shared" si="1"/>
        <v>-17.84913638515167</v>
      </c>
      <c r="I14" s="2">
        <f t="shared" si="2"/>
        <v>1.7492579411409128E-8</v>
      </c>
      <c r="J14" s="31"/>
    </row>
    <row r="15" spans="1:18" x14ac:dyDescent="0.3">
      <c r="A15" s="31"/>
      <c r="B15" s="34">
        <v>4</v>
      </c>
      <c r="C15" s="35">
        <v>1300</v>
      </c>
      <c r="D15" s="35">
        <f t="shared" si="0"/>
        <v>7.1701195434496281</v>
      </c>
      <c r="E15" s="35">
        <v>2.2160000000000001E-8</v>
      </c>
      <c r="F15" s="35">
        <v>1.7409999999999998E-8</v>
      </c>
      <c r="G15" s="35">
        <v>1.738250000000001E-8</v>
      </c>
      <c r="H15" s="35">
        <f t="shared" si="1"/>
        <v>-17.866221083166312</v>
      </c>
      <c r="I15" s="2">
        <f t="shared" si="2"/>
        <v>1.7116072035751337E-8</v>
      </c>
      <c r="J15" s="31"/>
    </row>
    <row r="16" spans="1:18" x14ac:dyDescent="0.3">
      <c r="A16" s="31"/>
      <c r="B16" s="34">
        <v>5</v>
      </c>
      <c r="C16" s="35">
        <v>1400</v>
      </c>
      <c r="D16" s="35">
        <f t="shared" si="0"/>
        <v>7.2442275156033498</v>
      </c>
      <c r="E16" s="35">
        <v>2.17625E-8</v>
      </c>
      <c r="F16" s="35">
        <v>1.721E-8</v>
      </c>
      <c r="G16" s="35">
        <v>1.7199999999999999E-8</v>
      </c>
      <c r="H16" s="35">
        <f t="shared" si="1"/>
        <v>-17.877775226722964</v>
      </c>
      <c r="I16" s="2">
        <f t="shared" si="2"/>
        <v>1.6724798687928136E-8</v>
      </c>
      <c r="J16" s="31"/>
      <c r="Q16" s="27"/>
    </row>
    <row r="17" spans="1:17" x14ac:dyDescent="0.3">
      <c r="A17" s="31"/>
      <c r="B17" s="34">
        <v>6</v>
      </c>
      <c r="C17" s="35">
        <v>1500</v>
      </c>
      <c r="D17" s="35">
        <f t="shared" si="0"/>
        <v>7.3132203870903014</v>
      </c>
      <c r="E17" s="35">
        <v>2.117250000000001E-8</v>
      </c>
      <c r="F17" s="35">
        <v>1.6845E-8</v>
      </c>
      <c r="G17" s="35">
        <v>1.682750000000001E-8</v>
      </c>
      <c r="H17" s="35">
        <f t="shared" si="1"/>
        <v>-17.899211960087897</v>
      </c>
      <c r="I17" s="2">
        <f t="shared" si="2"/>
        <v>1.6321675673415907E-8</v>
      </c>
      <c r="J17" s="31"/>
      <c r="Q17" s="27"/>
    </row>
    <row r="18" spans="1:17" x14ac:dyDescent="0.3">
      <c r="A18" s="31"/>
      <c r="B18" s="34">
        <v>7</v>
      </c>
      <c r="C18" s="35">
        <v>1600</v>
      </c>
      <c r="D18" s="35">
        <f t="shared" si="0"/>
        <v>7.3777589082278725</v>
      </c>
      <c r="E18" s="35">
        <v>2.0552500000000002E-8</v>
      </c>
      <c r="F18" s="35">
        <v>1.6379999999999998E-8</v>
      </c>
      <c r="G18" s="35">
        <v>1.635499999999999E-8</v>
      </c>
      <c r="H18" s="35">
        <f t="shared" si="1"/>
        <v>-17.927204758521487</v>
      </c>
      <c r="I18" s="2">
        <f t="shared" si="2"/>
        <v>1.5909671370932353E-8</v>
      </c>
      <c r="J18" s="31"/>
      <c r="Q18" s="27"/>
    </row>
    <row r="19" spans="1:17" x14ac:dyDescent="0.3">
      <c r="A19" s="31"/>
      <c r="B19" s="34">
        <v>8</v>
      </c>
      <c r="C19" s="35">
        <v>1700</v>
      </c>
      <c r="D19" s="35">
        <f t="shared" si="0"/>
        <v>7.4383835300443071</v>
      </c>
      <c r="E19" s="35">
        <v>1.9632500000000001E-8</v>
      </c>
      <c r="F19" s="35">
        <v>1.5714999999999999E-8</v>
      </c>
      <c r="G19" s="35">
        <v>1.571E-8</v>
      </c>
      <c r="H19" s="35">
        <f t="shared" si="1"/>
        <v>-17.968650166696879</v>
      </c>
      <c r="I19" s="2">
        <f t="shared" si="2"/>
        <v>1.5491609095386089E-8</v>
      </c>
      <c r="J19" s="31"/>
      <c r="Q19" s="27"/>
    </row>
    <row r="20" spans="1:17" x14ac:dyDescent="0.3">
      <c r="A20" s="31"/>
      <c r="B20" s="34">
        <v>9</v>
      </c>
      <c r="C20" s="35">
        <v>1800</v>
      </c>
      <c r="D20" s="35">
        <f t="shared" si="0"/>
        <v>7.4955419438842563</v>
      </c>
      <c r="E20" s="35">
        <v>1.8749999999999999E-8</v>
      </c>
      <c r="F20" s="35">
        <v>1.5077500000000001E-8</v>
      </c>
      <c r="G20" s="35">
        <v>1.508E-8</v>
      </c>
      <c r="H20" s="35">
        <f t="shared" si="1"/>
        <v>-18.010062270603406</v>
      </c>
      <c r="I20" s="2">
        <f t="shared" si="2"/>
        <v>1.5070071739525416E-8</v>
      </c>
      <c r="J20" s="31"/>
      <c r="Q20" s="27"/>
    </row>
    <row r="21" spans="1:17" x14ac:dyDescent="0.3">
      <c r="A21" s="31"/>
      <c r="B21" s="34">
        <v>10</v>
      </c>
      <c r="C21" s="35">
        <v>1900</v>
      </c>
      <c r="D21" s="35">
        <f t="shared" si="0"/>
        <v>7.5496091651545321</v>
      </c>
      <c r="E21" s="35">
        <v>1.81525E-8</v>
      </c>
      <c r="F21" s="35">
        <v>1.479E-8</v>
      </c>
      <c r="G21" s="35">
        <v>1.4787499999999999E-8</v>
      </c>
      <c r="H21" s="35">
        <f t="shared" si="1"/>
        <v>-18.029314560223703</v>
      </c>
      <c r="I21" s="2">
        <f t="shared" si="2"/>
        <v>1.4647363225417461E-8</v>
      </c>
      <c r="J21" s="31"/>
      <c r="Q21" s="27"/>
    </row>
    <row r="22" spans="1:17" x14ac:dyDescent="0.3">
      <c r="A22" s="31"/>
      <c r="B22" s="34">
        <v>12</v>
      </c>
      <c r="C22" s="35">
        <v>2000</v>
      </c>
      <c r="D22" s="35">
        <f t="shared" si="0"/>
        <v>7.6009024595420822</v>
      </c>
      <c r="E22" s="35">
        <v>1.761E-8</v>
      </c>
      <c r="F22" s="35">
        <v>1.4387500000000001E-8</v>
      </c>
      <c r="G22" s="35">
        <v>1.4394999999999999E-8</v>
      </c>
      <c r="H22" s="35">
        <f t="shared" si="1"/>
        <v>-18.05690606289841</v>
      </c>
      <c r="I22" s="2">
        <f t="shared" si="2"/>
        <v>1.4225501557313225E-8</v>
      </c>
      <c r="J22" s="31"/>
      <c r="Q22" s="27"/>
    </row>
    <row r="23" spans="1:17" x14ac:dyDescent="0.3">
      <c r="A23" s="31"/>
      <c r="B23" s="31"/>
    </row>
    <row r="24" spans="1:17" x14ac:dyDescent="0.3">
      <c r="A24" s="31"/>
      <c r="B24" s="31"/>
    </row>
    <row r="25" spans="1:17" x14ac:dyDescent="0.3">
      <c r="A25" s="31"/>
      <c r="B25" s="31"/>
    </row>
    <row r="26" spans="1:17" x14ac:dyDescent="0.3">
      <c r="A26" s="31"/>
      <c r="B26" s="31"/>
    </row>
    <row r="27" spans="1:17" x14ac:dyDescent="0.3">
      <c r="A27" s="31"/>
      <c r="B27" s="31"/>
    </row>
    <row r="28" spans="1:17" x14ac:dyDescent="0.3">
      <c r="A28" s="31"/>
      <c r="B28" s="31"/>
    </row>
    <row r="29" spans="1:17" x14ac:dyDescent="0.3">
      <c r="A29" s="31"/>
      <c r="B29" s="31"/>
    </row>
    <row r="30" spans="1:17" x14ac:dyDescent="0.3">
      <c r="A30" s="31"/>
      <c r="B30" s="31"/>
    </row>
    <row r="31" spans="1:17" x14ac:dyDescent="0.3">
      <c r="A31" s="31"/>
      <c r="B31" s="31"/>
    </row>
    <row r="32" spans="1:17" x14ac:dyDescent="0.3">
      <c r="A32" s="31"/>
      <c r="B32" s="31"/>
    </row>
    <row r="33" spans="1:2" x14ac:dyDescent="0.3">
      <c r="A33" s="31"/>
      <c r="B33" s="31"/>
    </row>
    <row r="34" spans="1:2" x14ac:dyDescent="0.3">
      <c r="A34" s="31"/>
      <c r="B34" s="31"/>
    </row>
    <row r="35" spans="1:2" x14ac:dyDescent="0.3">
      <c r="A35" s="31"/>
      <c r="B35" s="31"/>
    </row>
    <row r="36" spans="1:2" x14ac:dyDescent="0.3">
      <c r="A36" s="31"/>
      <c r="B36" s="31"/>
    </row>
    <row r="37" spans="1:2" x14ac:dyDescent="0.3">
      <c r="A37" s="31"/>
      <c r="B37" s="31"/>
    </row>
    <row r="38" spans="1:2" x14ac:dyDescent="0.3">
      <c r="A38" s="31"/>
      <c r="B38" s="31"/>
    </row>
    <row r="39" spans="1:2" x14ac:dyDescent="0.3">
      <c r="A39" s="31"/>
      <c r="B39" s="31"/>
    </row>
    <row r="40" spans="1:2" x14ac:dyDescent="0.3">
      <c r="A40" s="31"/>
      <c r="B40" s="31"/>
    </row>
    <row r="41" spans="1:2" x14ac:dyDescent="0.3">
      <c r="A41" s="31"/>
      <c r="B41" s="31"/>
    </row>
    <row r="42" spans="1:2" x14ac:dyDescent="0.3">
      <c r="A42" s="31"/>
      <c r="B42" s="31"/>
    </row>
    <row r="43" spans="1:2" x14ac:dyDescent="0.3">
      <c r="A43" s="31"/>
      <c r="B43" s="31"/>
    </row>
    <row r="44" spans="1:2" x14ac:dyDescent="0.3">
      <c r="A44" s="31"/>
      <c r="B44" s="31"/>
    </row>
    <row r="45" spans="1:2" x14ac:dyDescent="0.3">
      <c r="A45" s="31"/>
      <c r="B45" s="31"/>
    </row>
    <row r="46" spans="1:2" x14ac:dyDescent="0.3">
      <c r="A46" s="31"/>
      <c r="B46" s="31"/>
    </row>
    <row r="47" spans="1:2" x14ac:dyDescent="0.3">
      <c r="A47" s="31"/>
      <c r="B47" s="31"/>
    </row>
    <row r="48" spans="1:2" x14ac:dyDescent="0.3">
      <c r="A48" s="31"/>
      <c r="B48" s="31"/>
    </row>
    <row r="49" spans="1:2" x14ac:dyDescent="0.3">
      <c r="A49" s="31"/>
      <c r="B49" s="31"/>
    </row>
    <row r="50" spans="1:2" x14ac:dyDescent="0.3">
      <c r="A50" s="31"/>
      <c r="B50" s="31"/>
    </row>
    <row r="51" spans="1:2" x14ac:dyDescent="0.3">
      <c r="A51" s="31"/>
      <c r="B51" s="31"/>
    </row>
    <row r="52" spans="1:2" x14ac:dyDescent="0.3">
      <c r="A52" s="31"/>
      <c r="B52" s="31"/>
    </row>
  </sheetData>
  <phoneticPr fontId="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GammaVision</vt:lpstr>
      <vt:lpstr>脚本</vt:lpstr>
      <vt:lpstr>峰区对应核素识别</vt:lpstr>
      <vt:lpstr>两种方法识别峰区比较</vt:lpstr>
      <vt:lpstr>核素活度计算结果</vt:lpstr>
      <vt:lpstr>Sheet1</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 ZHANG</dc:creator>
  <cp:lastModifiedBy>Albert ZHANG</cp:lastModifiedBy>
  <dcterms:created xsi:type="dcterms:W3CDTF">2022-09-19T02:20:17Z</dcterms:created>
  <dcterms:modified xsi:type="dcterms:W3CDTF">2022-10-19T12:05:38Z</dcterms:modified>
</cp:coreProperties>
</file>