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ectrum_analysis\Spectrum_data_reports\"/>
    </mc:Choice>
  </mc:AlternateContent>
  <xr:revisionPtr revIDLastSave="0" documentId="13_ncr:1_{A297E83E-65A3-45AD-8253-E944E565A9D7}" xr6:coauthVersionLast="47" xr6:coauthVersionMax="47" xr10:uidLastSave="{00000000-0000-0000-0000-000000000000}"/>
  <bookViews>
    <workbookView xWindow="-110" yWindow="-110" windowWidth="38620" windowHeight="21220" activeTab="4" xr2:uid="{77D654F2-207C-47C2-93DA-6D1B421B5F8A}"/>
  </bookViews>
  <sheets>
    <sheet name="GammaVision" sheetId="1" r:id="rId1"/>
    <sheet name="脚本" sheetId="2" r:id="rId2"/>
    <sheet name="核素识别结果" sheetId="3" r:id="rId3"/>
    <sheet name="核素识别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" i="4" l="1"/>
  <c r="E30" i="4"/>
  <c r="X23" i="4"/>
  <c r="X17" i="4"/>
  <c r="X13" i="4"/>
  <c r="X3" i="4"/>
  <c r="X9" i="4"/>
  <c r="X28" i="4"/>
  <c r="X27" i="4"/>
  <c r="X26" i="4"/>
  <c r="X10" i="4"/>
  <c r="X12" i="4"/>
  <c r="V26" i="4"/>
  <c r="V3" i="4"/>
  <c r="V4" i="4"/>
  <c r="V5" i="4"/>
  <c r="V9" i="4"/>
  <c r="V10" i="4"/>
  <c r="V11" i="4"/>
  <c r="V12" i="4"/>
  <c r="V13" i="4"/>
  <c r="V14" i="4"/>
  <c r="V15" i="4"/>
  <c r="M3" i="4" l="1"/>
  <c r="M4" i="4"/>
  <c r="M5" i="4"/>
  <c r="M23" i="4"/>
  <c r="M25" i="4"/>
  <c r="M26" i="4"/>
  <c r="M27" i="4"/>
  <c r="M28" i="4"/>
  <c r="M29" i="4"/>
  <c r="M30" i="4"/>
  <c r="M22" i="4"/>
  <c r="M21" i="4"/>
  <c r="M20" i="4"/>
  <c r="M19" i="4"/>
  <c r="M18" i="4"/>
  <c r="M17" i="4"/>
  <c r="M16" i="4"/>
  <c r="M15" i="4"/>
  <c r="M14" i="4"/>
  <c r="M10" i="4"/>
  <c r="M11" i="4"/>
  <c r="M12" i="4"/>
  <c r="M13" i="4"/>
  <c r="M9" i="4"/>
  <c r="E29" i="4"/>
  <c r="J30" i="4"/>
  <c r="I30" i="4"/>
  <c r="F30" i="4"/>
  <c r="C30" i="4"/>
  <c r="H30" i="4" s="1"/>
  <c r="J29" i="4"/>
  <c r="I29" i="4"/>
  <c r="F29" i="4"/>
  <c r="C29" i="4"/>
  <c r="H29" i="4" s="1"/>
  <c r="J28" i="4"/>
  <c r="I28" i="4"/>
  <c r="E28" i="4"/>
  <c r="F28" i="4" s="1"/>
  <c r="C28" i="4"/>
  <c r="H28" i="4" s="1"/>
  <c r="J27" i="4"/>
  <c r="I27" i="4"/>
  <c r="F27" i="4"/>
  <c r="C27" i="4"/>
  <c r="H27" i="4" s="1"/>
  <c r="J26" i="4"/>
  <c r="I26" i="4"/>
  <c r="E26" i="4"/>
  <c r="F26" i="4" s="1"/>
  <c r="C26" i="4"/>
  <c r="H26" i="4" s="1"/>
  <c r="J25" i="4"/>
  <c r="I25" i="4"/>
  <c r="F25" i="4"/>
  <c r="C25" i="4"/>
  <c r="H25" i="4" s="1"/>
  <c r="J24" i="4"/>
  <c r="I24" i="4"/>
  <c r="F24" i="4"/>
  <c r="C24" i="4"/>
  <c r="H24" i="4" s="1"/>
  <c r="J23" i="4"/>
  <c r="I23" i="4"/>
  <c r="F23" i="4"/>
  <c r="C23" i="4"/>
  <c r="H23" i="4" s="1"/>
  <c r="J22" i="4"/>
  <c r="I22" i="4"/>
  <c r="E22" i="4"/>
  <c r="F22" i="4" s="1"/>
  <c r="C22" i="4"/>
  <c r="H22" i="4" s="1"/>
  <c r="J21" i="4"/>
  <c r="I21" i="4"/>
  <c r="E21" i="4"/>
  <c r="F21" i="4" s="1"/>
  <c r="C21" i="4"/>
  <c r="H21" i="4" s="1"/>
  <c r="J20" i="4"/>
  <c r="I20" i="4"/>
  <c r="E20" i="4"/>
  <c r="F20" i="4" s="1"/>
  <c r="C20" i="4"/>
  <c r="H20" i="4" s="1"/>
  <c r="J19" i="4"/>
  <c r="I19" i="4"/>
  <c r="E19" i="4"/>
  <c r="F19" i="4" s="1"/>
  <c r="C19" i="4"/>
  <c r="H19" i="4" s="1"/>
  <c r="J18" i="4"/>
  <c r="I18" i="4"/>
  <c r="E18" i="4"/>
  <c r="F18" i="4" s="1"/>
  <c r="C18" i="4"/>
  <c r="H18" i="4" s="1"/>
  <c r="J17" i="4"/>
  <c r="I17" i="4"/>
  <c r="E17" i="4"/>
  <c r="F17" i="4" s="1"/>
  <c r="C17" i="4"/>
  <c r="H17" i="4" s="1"/>
  <c r="J16" i="4"/>
  <c r="I16" i="4"/>
  <c r="E16" i="4"/>
  <c r="F16" i="4" s="1"/>
  <c r="C16" i="4"/>
  <c r="H16" i="4" s="1"/>
  <c r="J15" i="4"/>
  <c r="I15" i="4"/>
  <c r="E15" i="4"/>
  <c r="F15" i="4" s="1"/>
  <c r="C15" i="4"/>
  <c r="H15" i="4" s="1"/>
  <c r="J14" i="4"/>
  <c r="I14" i="4"/>
  <c r="E14" i="4"/>
  <c r="F14" i="4" s="1"/>
  <c r="C14" i="4"/>
  <c r="H14" i="4" s="1"/>
  <c r="J13" i="4"/>
  <c r="I13" i="4"/>
  <c r="E13" i="4"/>
  <c r="F13" i="4" s="1"/>
  <c r="C13" i="4"/>
  <c r="H13" i="4" s="1"/>
  <c r="J12" i="4"/>
  <c r="I12" i="4"/>
  <c r="E12" i="4"/>
  <c r="F12" i="4" s="1"/>
  <c r="C12" i="4"/>
  <c r="H12" i="4" s="1"/>
  <c r="J11" i="4"/>
  <c r="I11" i="4"/>
  <c r="E11" i="4"/>
  <c r="F11" i="4" s="1"/>
  <c r="C11" i="4"/>
  <c r="H11" i="4" s="1"/>
  <c r="J10" i="4"/>
  <c r="I10" i="4"/>
  <c r="E10" i="4"/>
  <c r="F10" i="4" s="1"/>
  <c r="C10" i="4"/>
  <c r="H10" i="4" s="1"/>
  <c r="J9" i="4"/>
  <c r="I9" i="4"/>
  <c r="F9" i="4"/>
  <c r="C9" i="4"/>
  <c r="H9" i="4" s="1"/>
  <c r="J8" i="4"/>
  <c r="I8" i="4"/>
  <c r="F8" i="4"/>
  <c r="C8" i="4"/>
  <c r="H8" i="4" s="1"/>
  <c r="J7" i="4"/>
  <c r="I7" i="4"/>
  <c r="F7" i="4"/>
  <c r="C7" i="4"/>
  <c r="H7" i="4" s="1"/>
  <c r="J6" i="4"/>
  <c r="I6" i="4"/>
  <c r="F6" i="4"/>
  <c r="C6" i="4"/>
  <c r="H6" i="4" s="1"/>
  <c r="J5" i="4"/>
  <c r="I5" i="4"/>
  <c r="F5" i="4"/>
  <c r="C5" i="4"/>
  <c r="H5" i="4" s="1"/>
  <c r="J4" i="4"/>
  <c r="I4" i="4"/>
  <c r="G4" i="4"/>
  <c r="F4" i="4"/>
  <c r="C4" i="4"/>
  <c r="H4" i="4" s="1"/>
  <c r="J3" i="4"/>
  <c r="I3" i="4"/>
  <c r="F3" i="4"/>
  <c r="C3" i="4"/>
  <c r="H3" i="4" s="1"/>
  <c r="T28" i="4" l="1"/>
  <c r="V28" i="4" s="1"/>
  <c r="U28" i="4"/>
  <c r="W28" i="4" s="1"/>
  <c r="U27" i="4"/>
  <c r="W27" i="4" s="1"/>
  <c r="T27" i="4"/>
  <c r="V27" i="4" s="1"/>
  <c r="U10" i="4"/>
  <c r="W10" i="4" s="1"/>
  <c r="T10" i="4"/>
  <c r="T17" i="4"/>
  <c r="V17" i="4" s="1"/>
  <c r="U17" i="4"/>
  <c r="W17" i="4" s="1"/>
  <c r="T18" i="4"/>
  <c r="V18" i="4" s="1"/>
  <c r="U18" i="4"/>
  <c r="W18" i="4" s="1"/>
  <c r="U21" i="4"/>
  <c r="W21" i="4" s="1"/>
  <c r="T21" i="4"/>
  <c r="V21" i="4" s="1"/>
  <c r="U26" i="4"/>
  <c r="W26" i="4" s="1"/>
  <c r="T26" i="4"/>
  <c r="U25" i="4"/>
  <c r="W25" i="4" s="1"/>
  <c r="T25" i="4"/>
  <c r="V25" i="4" s="1"/>
  <c r="U23" i="4"/>
  <c r="W23" i="4" s="1"/>
  <c r="T23" i="4"/>
  <c r="V23" i="4" s="1"/>
  <c r="T19" i="4"/>
  <c r="V19" i="4" s="1"/>
  <c r="U19" i="4"/>
  <c r="W19" i="4" s="1"/>
  <c r="U30" i="4"/>
  <c r="W30" i="4" s="1"/>
  <c r="V30" i="4"/>
  <c r="X30" i="4" s="1"/>
  <c r="U29" i="4"/>
  <c r="W29" i="4" s="1"/>
  <c r="T29" i="4"/>
  <c r="V29" i="4" s="1"/>
  <c r="U5" i="4"/>
  <c r="W5" i="4" s="1"/>
  <c r="T5" i="4"/>
  <c r="U9" i="4"/>
  <c r="W9" i="4" s="1"/>
  <c r="T9" i="4"/>
  <c r="T12" i="4"/>
  <c r="U12" i="4"/>
  <c r="W12" i="4" s="1"/>
  <c r="T14" i="4"/>
  <c r="U14" i="4"/>
  <c r="W14" i="4" s="1"/>
  <c r="U15" i="4"/>
  <c r="W15" i="4" s="1"/>
  <c r="T15" i="4"/>
  <c r="U20" i="4"/>
  <c r="W20" i="4" s="1"/>
  <c r="T20" i="4"/>
  <c r="V20" i="4" s="1"/>
  <c r="U22" i="4"/>
  <c r="W22" i="4" s="1"/>
  <c r="T22" i="4"/>
  <c r="V22" i="4" s="1"/>
  <c r="T4" i="4"/>
  <c r="U4" i="4"/>
  <c r="W4" i="4" s="1"/>
  <c r="T13" i="4"/>
  <c r="U13" i="4"/>
  <c r="W13" i="4" s="1"/>
  <c r="U11" i="4"/>
  <c r="W11" i="4" s="1"/>
  <c r="T11" i="4"/>
  <c r="U3" i="4"/>
  <c r="W3" i="4" s="1"/>
  <c r="T3" i="4"/>
</calcChain>
</file>

<file path=xl/sharedStrings.xml><?xml version="1.0" encoding="utf-8"?>
<sst xmlns="http://schemas.openxmlformats.org/spreadsheetml/2006/main" count="310" uniqueCount="145">
  <si>
    <t>ROI#</t>
  </si>
  <si>
    <t>GROSS</t>
  </si>
  <si>
    <t>NET</t>
  </si>
  <si>
    <t>+/-</t>
  </si>
  <si>
    <t>CENTROID</t>
  </si>
  <si>
    <t>FWHM</t>
  </si>
  <si>
    <t>FW(1/5)M</t>
  </si>
  <si>
    <t>LIBRARY</t>
  </si>
  <si>
    <t>Nb-95</t>
  </si>
  <si>
    <t>W-187</t>
  </si>
  <si>
    <t>Sb-125</t>
  </si>
  <si>
    <t>Ag-108</t>
  </si>
  <si>
    <t>Rh-106</t>
  </si>
  <si>
    <t>Cs-134</t>
  </si>
  <si>
    <t>Cs-137</t>
  </si>
  <si>
    <t>Eu-154</t>
  </si>
  <si>
    <t>Zr-95</t>
  </si>
  <si>
    <t>Pa-234M1001.03</t>
  </si>
  <si>
    <t>Cs-136</t>
  </si>
  <si>
    <t>J-135</t>
  </si>
  <si>
    <t>Sb-124</t>
  </si>
  <si>
    <t>Pr-144</t>
  </si>
  <si>
    <t>GammaVision自动识别</t>
    <phoneticPr fontId="8" type="noConversion"/>
  </si>
  <si>
    <t>No.</t>
  </si>
  <si>
    <t>Channel</t>
  </si>
  <si>
    <t>Energy/keV</t>
  </si>
  <si>
    <t>Isotope</t>
  </si>
  <si>
    <t>Half_life(yrs)</t>
  </si>
  <si>
    <t>Intensity</t>
  </si>
  <si>
    <t>Net_area</t>
  </si>
  <si>
    <t>Error</t>
  </si>
  <si>
    <t>Total_area</t>
  </si>
  <si>
    <t>Peak</t>
  </si>
  <si>
    <t>boundaries</t>
  </si>
  <si>
    <t>Back</t>
  </si>
  <si>
    <t>Pa-234M</t>
  </si>
  <si>
    <t>Ce-144</t>
  </si>
  <si>
    <t>Ce-141</t>
  </si>
  <si>
    <t>Sb-126</t>
  </si>
  <si>
    <t>La-140</t>
  </si>
  <si>
    <t>Ru-103</t>
  </si>
  <si>
    <t>J-132</t>
  </si>
  <si>
    <t>Te-131</t>
  </si>
  <si>
    <t>Y-88</t>
  </si>
  <si>
    <t>Y-91</t>
  </si>
  <si>
    <t>K-40</t>
  </si>
  <si>
    <t>RANGE</t>
    <phoneticPr fontId="8" type="noConversion"/>
  </si>
  <si>
    <t>Ce144</t>
    <phoneticPr fontId="8" type="noConversion"/>
  </si>
  <si>
    <t>Ce-144</t>
    <phoneticPr fontId="8" type="noConversion"/>
  </si>
  <si>
    <t>Sb-125</t>
    <phoneticPr fontId="8" type="noConversion"/>
  </si>
  <si>
    <t>Ru-103</t>
    <phoneticPr fontId="8" type="noConversion"/>
  </si>
  <si>
    <t>Rh-106</t>
    <phoneticPr fontId="8" type="noConversion"/>
  </si>
  <si>
    <t>Cs-134</t>
    <phoneticPr fontId="8" type="noConversion"/>
  </si>
  <si>
    <t>Cs-137</t>
    <phoneticPr fontId="8" type="noConversion"/>
  </si>
  <si>
    <t>Pr-144</t>
    <phoneticPr fontId="8" type="noConversion"/>
  </si>
  <si>
    <t>Zr-95</t>
    <phoneticPr fontId="8" type="noConversion"/>
  </si>
  <si>
    <t>Nb-95</t>
    <phoneticPr fontId="8" type="noConversion"/>
  </si>
  <si>
    <t>Y-91</t>
    <phoneticPr fontId="8" type="noConversion"/>
  </si>
  <si>
    <t>K-40</t>
    <phoneticPr fontId="8" type="noConversion"/>
  </si>
  <si>
    <t>GammaVision</t>
    <phoneticPr fontId="8" type="noConversion"/>
  </si>
  <si>
    <t>Genie2000</t>
    <phoneticPr fontId="8" type="noConversion"/>
  </si>
  <si>
    <t>TPA Script</t>
    <phoneticPr fontId="8" type="noConversion"/>
  </si>
  <si>
    <t>核素活度</t>
    <phoneticPr fontId="8" type="noConversion"/>
  </si>
  <si>
    <t>Peakfit</t>
    <phoneticPr fontId="8" type="noConversion"/>
  </si>
  <si>
    <t>最大似然估计</t>
    <phoneticPr fontId="8" type="noConversion"/>
  </si>
  <si>
    <t>可能元素</t>
    <phoneticPr fontId="8" type="noConversion"/>
  </si>
  <si>
    <t>能量/keV</t>
    <phoneticPr fontId="8" type="noConversion"/>
  </si>
  <si>
    <t>对数</t>
    <phoneticPr fontId="8" type="noConversion"/>
  </si>
  <si>
    <t>峰位</t>
    <phoneticPr fontId="8" type="noConversion"/>
  </si>
  <si>
    <t>半衰期/y</t>
    <phoneticPr fontId="8" type="noConversion"/>
  </si>
  <si>
    <t>衰变系数</t>
    <phoneticPr fontId="8" type="noConversion"/>
  </si>
  <si>
    <t>绝对强度</t>
    <phoneticPr fontId="8" type="noConversion"/>
  </si>
  <si>
    <t>探测效率(拟合值)</t>
    <phoneticPr fontId="8" type="noConversion"/>
  </si>
  <si>
    <t>探测效率误差</t>
    <phoneticPr fontId="8" type="noConversion"/>
  </si>
  <si>
    <t>吸收修正因子</t>
    <phoneticPr fontId="8" type="noConversion"/>
  </si>
  <si>
    <t>峰面积</t>
    <phoneticPr fontId="8" type="noConversion"/>
  </si>
  <si>
    <t>误差</t>
    <phoneticPr fontId="8" type="noConversion"/>
  </si>
  <si>
    <t>不确定度</t>
    <phoneticPr fontId="8" type="noConversion"/>
  </si>
  <si>
    <t>R2</t>
    <phoneticPr fontId="8" type="noConversion"/>
  </si>
  <si>
    <t>面积</t>
    <phoneticPr fontId="8" type="noConversion"/>
  </si>
  <si>
    <t>点活度</t>
    <phoneticPr fontId="8" type="noConversion"/>
  </si>
  <si>
    <t>核素含量</t>
    <phoneticPr fontId="8" type="noConversion"/>
  </si>
  <si>
    <t>Cs134</t>
    <phoneticPr fontId="8" type="noConversion"/>
  </si>
  <si>
    <t>-</t>
    <phoneticPr fontId="8" type="noConversion"/>
  </si>
  <si>
    <t>Cs137</t>
    <phoneticPr fontId="8" type="noConversion"/>
  </si>
  <si>
    <t xml:space="preserve">Zr95 </t>
    <phoneticPr fontId="8" type="noConversion"/>
  </si>
  <si>
    <t>Nb95</t>
    <phoneticPr fontId="8" type="noConversion"/>
  </si>
  <si>
    <t>Pr144</t>
    <phoneticPr fontId="8" type="noConversion"/>
  </si>
  <si>
    <t>Rh106</t>
    <phoneticPr fontId="8" type="noConversion"/>
  </si>
  <si>
    <t>Sb125</t>
    <phoneticPr fontId="8" type="noConversion"/>
  </si>
  <si>
    <t>Ru103</t>
    <phoneticPr fontId="8" type="noConversion"/>
  </si>
  <si>
    <t>不存在</t>
    <phoneticPr fontId="8" type="noConversion"/>
  </si>
  <si>
    <t>核素</t>
    <phoneticPr fontId="8" type="noConversion"/>
  </si>
  <si>
    <t>峰区对应核素识别情况</t>
    <phoneticPr fontId="8" type="noConversion"/>
  </si>
  <si>
    <t>ROI</t>
    <phoneticPr fontId="8" type="noConversion"/>
  </si>
  <si>
    <t>谱能量</t>
    <phoneticPr fontId="8" type="noConversion"/>
  </si>
  <si>
    <t>可能性</t>
    <phoneticPr fontId="8" type="noConversion"/>
  </si>
  <si>
    <t>可能核素</t>
    <phoneticPr fontId="8" type="noConversion"/>
  </si>
  <si>
    <t>峰能量</t>
    <phoneticPr fontId="8" type="noConversion"/>
  </si>
  <si>
    <t>其他峰存在情况</t>
    <phoneticPr fontId="8" type="noConversion"/>
  </si>
  <si>
    <t>Cl38</t>
    <phoneticPr fontId="8" type="noConversion"/>
  </si>
  <si>
    <t>NUIT模拟中产量为0，1643keV分支比稍小，谱上不存在</t>
    <phoneticPr fontId="8" type="noConversion"/>
  </si>
  <si>
    <t>能谱峰位和Pr144特征峰位有一定偏差，但是其他特征峰1489.16keV和696.51keV在谱上存在，且计算活度一致</t>
  </si>
  <si>
    <t>Kr88</t>
    <phoneticPr fontId="8" type="noConversion"/>
  </si>
  <si>
    <t>2392keV，1529keV分支比相似，不存在峰</t>
    <phoneticPr fontId="8" type="noConversion"/>
  </si>
  <si>
    <t>在非反康谱中已经出现过的峰区识别结果参考023-noanti-activity.xlsx表格</t>
    <phoneticPr fontId="8" type="noConversion"/>
  </si>
  <si>
    <t>U-235</t>
    <phoneticPr fontId="8" type="noConversion"/>
  </si>
  <si>
    <t>Yb-175</t>
    <phoneticPr fontId="8" type="noConversion"/>
  </si>
  <si>
    <t>Eu-155</t>
    <phoneticPr fontId="8" type="noConversion"/>
  </si>
  <si>
    <t>Te-131</t>
    <phoneticPr fontId="8" type="noConversion"/>
  </si>
  <si>
    <t>产额过低</t>
    <phoneticPr fontId="8" type="noConversion"/>
  </si>
  <si>
    <t>产额和绝对强度都小于Ce141，强度较高的86keV处不存在峰</t>
    <phoneticPr fontId="8" type="noConversion"/>
  </si>
  <si>
    <t>半衰期短，母核也都为短寿命核素</t>
    <phoneticPr fontId="8" type="noConversion"/>
  </si>
  <si>
    <t>自发衰变半衰期长，绝对强度低</t>
    <phoneticPr fontId="8" type="noConversion"/>
  </si>
  <si>
    <t>Ce-141</t>
    <phoneticPr fontId="8" type="noConversion"/>
  </si>
  <si>
    <t>Pb-212</t>
    <phoneticPr fontId="8" type="noConversion"/>
  </si>
  <si>
    <t>Te-132</t>
    <phoneticPr fontId="8" type="noConversion"/>
  </si>
  <si>
    <t>U-237</t>
    <phoneticPr fontId="8" type="noConversion"/>
  </si>
  <si>
    <t>Ta-182</t>
    <phoneticPr fontId="8" type="noConversion"/>
  </si>
  <si>
    <t>Ba-140</t>
    <phoneticPr fontId="8" type="noConversion"/>
  </si>
  <si>
    <t>产额极低</t>
    <phoneticPr fontId="8" type="noConversion"/>
  </si>
  <si>
    <t>产额低，且相似强度的282leV，396keV峰不存在</t>
    <phoneticPr fontId="8" type="noConversion"/>
  </si>
  <si>
    <t>产额低，且1121keV主峰不存在</t>
    <phoneticPr fontId="8" type="noConversion"/>
  </si>
  <si>
    <t>存在，根据497keV峰面积算的面积约为1.43，不是主要成分</t>
    <phoneticPr fontId="8" type="noConversion"/>
  </si>
  <si>
    <t>主峰228keV不存在</t>
    <phoneticPr fontId="8" type="noConversion"/>
  </si>
  <si>
    <t>Np-239</t>
    <phoneticPr fontId="8" type="noConversion"/>
  </si>
  <si>
    <t>103keV</t>
    <phoneticPr fontId="8" type="noConversion"/>
  </si>
  <si>
    <t>106keV峰不存在</t>
    <phoneticPr fontId="8" type="noConversion"/>
  </si>
  <si>
    <t>59keV强度更高但不存在-可能是U的特征X射线</t>
    <phoneticPr fontId="8" type="noConversion"/>
  </si>
  <si>
    <t>U(X)-114keV</t>
    <phoneticPr fontId="8" type="noConversion"/>
  </si>
  <si>
    <t>Ag-110M</t>
    <phoneticPr fontId="8" type="noConversion"/>
  </si>
  <si>
    <t>I-135</t>
    <phoneticPr fontId="8" type="noConversion"/>
  </si>
  <si>
    <t>产额过低，且1706，1791keV不存在峰</t>
    <phoneticPr fontId="8" type="noConversion"/>
  </si>
  <si>
    <t>1505keV不存在峰</t>
    <phoneticPr fontId="8" type="noConversion"/>
  </si>
  <si>
    <t>存在，根据511keV峰面积算的面积约为163</t>
    <phoneticPr fontId="8" type="noConversion"/>
  </si>
  <si>
    <t>存在，根据2185keV峰面积算的面积约为2.15，非主要成分</t>
    <phoneticPr fontId="8" type="noConversion"/>
  </si>
  <si>
    <t>U特征X射线</t>
    <phoneticPr fontId="8" type="noConversion"/>
  </si>
  <si>
    <t>U(X)-110keV</t>
    <phoneticPr fontId="8" type="noConversion"/>
  </si>
  <si>
    <t>U(X)-98.1keV</t>
    <phoneticPr fontId="8" type="noConversion"/>
  </si>
  <si>
    <t>检测到峰，识别核素正确</t>
    <phoneticPr fontId="8" type="noConversion"/>
  </si>
  <si>
    <t>检测到峰，识别核素不正确</t>
    <phoneticPr fontId="8" type="noConversion"/>
  </si>
  <si>
    <t>没有检测到峰</t>
    <phoneticPr fontId="8" type="noConversion"/>
  </si>
  <si>
    <t>检测到假峰</t>
    <phoneticPr fontId="8" type="noConversion"/>
  </si>
  <si>
    <t>脚本</t>
    <phoneticPr fontId="8" type="noConversion"/>
  </si>
  <si>
    <t>U(X)-94keV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</si>
</sst>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0_);[Red]\(0.000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4" fillId="5" borderId="1" xfId="4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5" fillId="6" borderId="2" xfId="5" applyAlignment="1">
      <alignment horizontal="center" vertical="center"/>
    </xf>
    <xf numFmtId="0" fontId="1" fillId="2" borderId="1" xfId="1" applyBorder="1">
      <alignment vertical="center"/>
    </xf>
    <xf numFmtId="0" fontId="7" fillId="5" borderId="1" xfId="7" applyFill="1" applyBorder="1">
      <alignment vertical="center"/>
    </xf>
    <xf numFmtId="11" fontId="7" fillId="5" borderId="1" xfId="7" applyNumberFormat="1" applyFill="1" applyBorder="1">
      <alignment vertical="center"/>
    </xf>
    <xf numFmtId="0" fontId="7" fillId="5" borderId="1" xfId="7" applyFill="1" applyBorder="1" applyAlignment="1">
      <alignment vertical="center"/>
    </xf>
    <xf numFmtId="0" fontId="7" fillId="5" borderId="1" xfId="7" applyFill="1" applyBorder="1" applyAlignment="1">
      <alignment horizontal="center" vertical="center"/>
    </xf>
    <xf numFmtId="11" fontId="7" fillId="5" borderId="1" xfId="7" applyNumberFormat="1" applyFill="1" applyBorder="1" applyAlignment="1">
      <alignment horizontal="center" vertical="center"/>
    </xf>
    <xf numFmtId="10" fontId="7" fillId="5" borderId="1" xfId="7" applyNumberFormat="1" applyFill="1" applyBorder="1" applyAlignment="1">
      <alignment horizontal="center" vertical="center"/>
    </xf>
    <xf numFmtId="176" fontId="7" fillId="5" borderId="1" xfId="7" applyNumberFormat="1" applyFill="1" applyBorder="1" applyAlignment="1">
      <alignment horizontal="center" vertical="center"/>
    </xf>
    <xf numFmtId="10" fontId="4" fillId="5" borderId="1" xfId="4" applyNumberFormat="1" applyAlignment="1">
      <alignment horizontal="center" vertical="center"/>
    </xf>
    <xf numFmtId="11" fontId="4" fillId="5" borderId="1" xfId="4" applyNumberFormat="1" applyAlignment="1">
      <alignment horizontal="center" vertical="center"/>
    </xf>
    <xf numFmtId="0" fontId="4" fillId="5" borderId="1" xfId="4" applyNumberFormat="1" applyAlignment="1">
      <alignment horizontal="center" vertical="center"/>
    </xf>
    <xf numFmtId="177" fontId="4" fillId="5" borderId="1" xfId="4" applyNumberFormat="1" applyAlignment="1">
      <alignment horizontal="center" vertical="center"/>
    </xf>
    <xf numFmtId="11" fontId="4" fillId="5" borderId="1" xfId="4" applyNumberForma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7">
      <alignment vertical="center"/>
    </xf>
    <xf numFmtId="0" fontId="7" fillId="0" borderId="0" xfId="7" applyAlignment="1">
      <alignment vertical="center" wrapText="1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6" fillId="0" borderId="0" xfId="6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6" fillId="0" borderId="0" xfId="6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5" borderId="1" xfId="4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4" fillId="5" borderId="4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7" applyAlignment="1">
      <alignment horizontal="center" vertical="center"/>
    </xf>
    <xf numFmtId="0" fontId="7" fillId="0" borderId="0" xfId="7" applyAlignment="1">
      <alignment vertical="center" wrapText="1"/>
    </xf>
    <xf numFmtId="0" fontId="7" fillId="0" borderId="0" xfId="7" applyAlignment="1">
      <alignment horizontal="center" vertical="center" wrapText="1"/>
    </xf>
    <xf numFmtId="0" fontId="7" fillId="5" borderId="6" xfId="7" applyFill="1" applyBorder="1" applyAlignment="1">
      <alignment horizontal="center" vertical="center"/>
    </xf>
    <xf numFmtId="0" fontId="7" fillId="5" borderId="7" xfId="7" applyFill="1" applyBorder="1" applyAlignment="1">
      <alignment horizontal="center" vertical="center"/>
    </xf>
    <xf numFmtId="0" fontId="7" fillId="5" borderId="8" xfId="7" applyFill="1" applyBorder="1" applyAlignment="1">
      <alignment horizontal="center" vertical="center"/>
    </xf>
    <xf numFmtId="11" fontId="4" fillId="5" borderId="6" xfId="4" applyNumberFormat="1" applyBorder="1" applyAlignment="1">
      <alignment horizontal="center" vertical="center"/>
    </xf>
    <xf numFmtId="11" fontId="4" fillId="5" borderId="7" xfId="4" applyNumberFormat="1" applyBorder="1" applyAlignment="1">
      <alignment horizontal="center" vertical="center"/>
    </xf>
    <xf numFmtId="11" fontId="4" fillId="5" borderId="8" xfId="4" applyNumberFormat="1" applyBorder="1" applyAlignment="1">
      <alignment horizontal="center" vertical="center"/>
    </xf>
    <xf numFmtId="10" fontId="4" fillId="5" borderId="6" xfId="4" applyNumberFormat="1" applyBorder="1" applyAlignment="1">
      <alignment horizontal="center" vertical="center"/>
    </xf>
    <xf numFmtId="10" fontId="4" fillId="5" borderId="7" xfId="4" applyNumberFormat="1" applyBorder="1" applyAlignment="1">
      <alignment horizontal="center" vertical="center"/>
    </xf>
    <xf numFmtId="10" fontId="4" fillId="5" borderId="8" xfId="4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5" borderId="5" xfId="4" applyBorder="1" applyAlignment="1">
      <alignment horizontal="center" vertical="center"/>
    </xf>
  </cellXfs>
  <cellStyles count="8">
    <cellStyle name="差" xfId="2" builtinId="27"/>
    <cellStyle name="常规" xfId="0" builtinId="0"/>
    <cellStyle name="好" xfId="1" builtinId="26"/>
    <cellStyle name="检查单元格" xfId="5" builtinId="23"/>
    <cellStyle name="解释性文本" xfId="7" builtinId="53"/>
    <cellStyle name="警告文本" xfId="6" builtinId="11"/>
    <cellStyle name="适中" xfId="3" builtinId="28"/>
    <cellStyle name="输出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31-EB94-4EAE-89A5-3BE0A52D67E5}">
  <dimension ref="A1:K25"/>
  <sheetViews>
    <sheetView workbookViewId="0">
      <selection activeCell="A4" sqref="A4:K25"/>
    </sheetView>
  </sheetViews>
  <sheetFormatPr defaultRowHeight="14" x14ac:dyDescent="0.3"/>
  <sheetData>
    <row r="1" spans="1:11" x14ac:dyDescent="0.3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x14ac:dyDescent="0.3">
      <c r="A4" s="3" t="s">
        <v>0</v>
      </c>
      <c r="B4" s="32" t="s">
        <v>46</v>
      </c>
      <c r="C4" s="33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2" t="s">
        <v>7</v>
      </c>
      <c r="K4" s="33"/>
    </row>
    <row r="5" spans="1:11" x14ac:dyDescent="0.3">
      <c r="A5" s="3">
        <v>1</v>
      </c>
      <c r="B5" s="3">
        <v>12.18</v>
      </c>
      <c r="C5" s="3">
        <v>18.66</v>
      </c>
      <c r="D5" s="3">
        <v>30414</v>
      </c>
      <c r="E5" s="3">
        <v>3561</v>
      </c>
      <c r="F5" s="3">
        <v>282</v>
      </c>
      <c r="G5" s="3">
        <v>16.09</v>
      </c>
      <c r="H5" s="3">
        <v>0.38</v>
      </c>
      <c r="I5" s="3">
        <v>2.17</v>
      </c>
      <c r="J5" s="3" t="s">
        <v>43</v>
      </c>
      <c r="K5" s="3">
        <v>15.8</v>
      </c>
    </row>
    <row r="6" spans="1:11" x14ac:dyDescent="0.3">
      <c r="A6" s="3">
        <v>2</v>
      </c>
      <c r="B6" s="3">
        <v>107.85</v>
      </c>
      <c r="C6" s="3">
        <v>114.33</v>
      </c>
      <c r="D6" s="3">
        <v>19212</v>
      </c>
      <c r="E6" s="3">
        <v>1441</v>
      </c>
      <c r="F6" s="3">
        <v>227</v>
      </c>
      <c r="G6" s="3">
        <v>111.13</v>
      </c>
      <c r="H6" s="3">
        <v>1.59</v>
      </c>
      <c r="I6" s="3">
        <v>3.09</v>
      </c>
      <c r="J6" s="3" t="s">
        <v>35</v>
      </c>
      <c r="K6" s="3">
        <v>111</v>
      </c>
    </row>
    <row r="7" spans="1:11" x14ac:dyDescent="0.3">
      <c r="A7" s="3">
        <v>3</v>
      </c>
      <c r="B7" s="3">
        <v>130.52000000000001</v>
      </c>
      <c r="C7" s="3">
        <v>137</v>
      </c>
      <c r="D7" s="3">
        <v>41566</v>
      </c>
      <c r="E7" s="3">
        <v>17393</v>
      </c>
      <c r="F7" s="3">
        <v>293</v>
      </c>
      <c r="G7" s="3">
        <v>133.55000000000001</v>
      </c>
      <c r="H7" s="3">
        <v>1.73</v>
      </c>
      <c r="I7" s="3">
        <v>2.67</v>
      </c>
      <c r="J7" s="3" t="s">
        <v>36</v>
      </c>
      <c r="K7" s="3">
        <v>133.51</v>
      </c>
    </row>
    <row r="8" spans="1:11" x14ac:dyDescent="0.3">
      <c r="A8" s="3">
        <v>4</v>
      </c>
      <c r="B8" s="3">
        <v>142.30000000000001</v>
      </c>
      <c r="C8" s="3">
        <v>148.77000000000001</v>
      </c>
      <c r="D8" s="3">
        <v>25627</v>
      </c>
      <c r="E8" s="3">
        <v>1205</v>
      </c>
      <c r="F8" s="3">
        <v>265</v>
      </c>
      <c r="G8" s="3">
        <v>145.32</v>
      </c>
      <c r="H8" s="3">
        <v>1.05</v>
      </c>
      <c r="I8" s="3">
        <v>1.94</v>
      </c>
      <c r="J8" s="3" t="s">
        <v>37</v>
      </c>
      <c r="K8" s="3">
        <v>145.44</v>
      </c>
    </row>
    <row r="9" spans="1:11" x14ac:dyDescent="0.3">
      <c r="A9" s="3">
        <v>5</v>
      </c>
      <c r="B9" s="3">
        <v>424.6</v>
      </c>
      <c r="C9" s="3">
        <v>431.67</v>
      </c>
      <c r="D9" s="3">
        <v>25858</v>
      </c>
      <c r="E9" s="3">
        <v>1320</v>
      </c>
      <c r="F9" s="3">
        <v>281</v>
      </c>
      <c r="G9" s="3">
        <v>427.89</v>
      </c>
      <c r="H9" s="3">
        <v>1.48</v>
      </c>
      <c r="I9" s="3">
        <v>2.65</v>
      </c>
      <c r="J9" s="3" t="s">
        <v>10</v>
      </c>
      <c r="K9" s="3">
        <v>427.88</v>
      </c>
    </row>
    <row r="10" spans="1:11" x14ac:dyDescent="0.3">
      <c r="A10" s="3">
        <v>6</v>
      </c>
      <c r="B10" s="3">
        <v>493.49</v>
      </c>
      <c r="C10" s="3">
        <v>500.55</v>
      </c>
      <c r="D10" s="3">
        <v>42715</v>
      </c>
      <c r="E10" s="3">
        <v>17623</v>
      </c>
      <c r="F10" s="3">
        <v>311</v>
      </c>
      <c r="G10" s="3">
        <v>497.13</v>
      </c>
      <c r="H10" s="3">
        <v>1.94</v>
      </c>
      <c r="I10" s="3">
        <v>2.99</v>
      </c>
      <c r="J10" s="3" t="s">
        <v>11</v>
      </c>
      <c r="K10" s="3">
        <v>497.1</v>
      </c>
    </row>
    <row r="11" spans="1:11" x14ac:dyDescent="0.3">
      <c r="A11" s="3">
        <v>7</v>
      </c>
      <c r="B11" s="3">
        <v>508.5</v>
      </c>
      <c r="C11" s="3">
        <v>515.55999999999995</v>
      </c>
      <c r="D11" s="3">
        <v>45419</v>
      </c>
      <c r="E11" s="3">
        <v>20273</v>
      </c>
      <c r="F11" s="3">
        <v>316</v>
      </c>
      <c r="G11" s="3">
        <v>511.9</v>
      </c>
      <c r="H11" s="3">
        <v>1.98</v>
      </c>
      <c r="I11" s="3">
        <v>2.98</v>
      </c>
      <c r="J11" s="3" t="s">
        <v>12</v>
      </c>
      <c r="K11" s="3">
        <v>511.86</v>
      </c>
    </row>
    <row r="12" spans="1:11" x14ac:dyDescent="0.3">
      <c r="A12" s="3">
        <v>8</v>
      </c>
      <c r="B12" s="3">
        <v>601.23</v>
      </c>
      <c r="C12" s="3">
        <v>608.88</v>
      </c>
      <c r="D12" s="3">
        <v>28931</v>
      </c>
      <c r="E12" s="3">
        <v>1238</v>
      </c>
      <c r="F12" s="3">
        <v>313</v>
      </c>
      <c r="G12" s="3">
        <v>604.73</v>
      </c>
      <c r="H12" s="3">
        <v>1.43</v>
      </c>
      <c r="I12" s="3">
        <v>2.27</v>
      </c>
      <c r="J12" s="3" t="s">
        <v>13</v>
      </c>
      <c r="K12" s="3">
        <v>604.72</v>
      </c>
    </row>
    <row r="13" spans="1:11" x14ac:dyDescent="0.3">
      <c r="A13" s="3">
        <v>9</v>
      </c>
      <c r="B13" s="3">
        <v>618.29999999999995</v>
      </c>
      <c r="C13" s="3">
        <v>625.96</v>
      </c>
      <c r="D13" s="3">
        <v>36639</v>
      </c>
      <c r="E13" s="3">
        <v>10278</v>
      </c>
      <c r="F13" s="3">
        <v>320</v>
      </c>
      <c r="G13" s="3">
        <v>622.02</v>
      </c>
      <c r="H13" s="3">
        <v>2.0299999999999998</v>
      </c>
      <c r="I13" s="3">
        <v>3.12</v>
      </c>
      <c r="J13" s="3" t="s">
        <v>12</v>
      </c>
      <c r="K13" s="3">
        <v>621.92999999999995</v>
      </c>
    </row>
    <row r="14" spans="1:11" x14ac:dyDescent="0.3">
      <c r="A14" s="3">
        <v>10</v>
      </c>
      <c r="B14" s="3">
        <v>657.75</v>
      </c>
      <c r="C14" s="3">
        <v>665.4</v>
      </c>
      <c r="D14" s="3">
        <v>111062</v>
      </c>
      <c r="E14" s="3">
        <v>85308</v>
      </c>
      <c r="F14" s="3">
        <v>418</v>
      </c>
      <c r="G14" s="3">
        <v>661.61</v>
      </c>
      <c r="H14" s="3">
        <v>2.0299999999999998</v>
      </c>
      <c r="I14" s="3">
        <v>3.1</v>
      </c>
      <c r="J14" s="3" t="s">
        <v>14</v>
      </c>
      <c r="K14" s="3">
        <v>661.66</v>
      </c>
    </row>
    <row r="15" spans="1:11" x14ac:dyDescent="0.3">
      <c r="A15" s="3">
        <v>11</v>
      </c>
      <c r="B15" s="3">
        <v>692.48</v>
      </c>
      <c r="C15" s="3">
        <v>700.14</v>
      </c>
      <c r="D15" s="3">
        <v>43286</v>
      </c>
      <c r="E15" s="3">
        <v>18410</v>
      </c>
      <c r="F15" s="3">
        <v>324</v>
      </c>
      <c r="G15" s="3">
        <v>696.45</v>
      </c>
      <c r="H15" s="3">
        <v>2.09</v>
      </c>
      <c r="I15" s="3">
        <v>3.16</v>
      </c>
      <c r="J15" s="3" t="s">
        <v>21</v>
      </c>
      <c r="K15" s="3">
        <v>696.51</v>
      </c>
    </row>
    <row r="16" spans="1:11" x14ac:dyDescent="0.3">
      <c r="A16" s="3">
        <v>12</v>
      </c>
      <c r="B16" s="3">
        <v>720.16</v>
      </c>
      <c r="C16" s="3">
        <v>727.81</v>
      </c>
      <c r="D16" s="3">
        <v>161663</v>
      </c>
      <c r="E16" s="3">
        <v>137853</v>
      </c>
      <c r="F16" s="3">
        <v>470</v>
      </c>
      <c r="G16" s="3">
        <v>724.12</v>
      </c>
      <c r="H16" s="3">
        <v>2.0699999999999998</v>
      </c>
      <c r="I16" s="3">
        <v>3.17</v>
      </c>
      <c r="J16" s="3" t="s">
        <v>16</v>
      </c>
      <c r="K16" s="3">
        <v>724.2</v>
      </c>
    </row>
    <row r="17" spans="1:11" x14ac:dyDescent="0.3">
      <c r="A17" s="3">
        <v>13</v>
      </c>
      <c r="B17" s="3">
        <v>752.83</v>
      </c>
      <c r="C17" s="3">
        <v>760.49</v>
      </c>
      <c r="D17" s="3">
        <v>190300</v>
      </c>
      <c r="E17" s="3">
        <v>169258</v>
      </c>
      <c r="F17" s="3">
        <v>492</v>
      </c>
      <c r="G17" s="3">
        <v>756.64</v>
      </c>
      <c r="H17" s="3">
        <v>2.08</v>
      </c>
      <c r="I17" s="3">
        <v>3.19</v>
      </c>
      <c r="J17" s="3" t="s">
        <v>16</v>
      </c>
      <c r="K17" s="3">
        <v>756.73</v>
      </c>
    </row>
    <row r="18" spans="1:11" x14ac:dyDescent="0.3">
      <c r="A18" s="3">
        <v>14</v>
      </c>
      <c r="B18" s="3">
        <v>761.96</v>
      </c>
      <c r="C18" s="3">
        <v>769.61</v>
      </c>
      <c r="D18" s="3">
        <v>669475</v>
      </c>
      <c r="E18" s="3">
        <v>656866</v>
      </c>
      <c r="F18" s="3">
        <v>837</v>
      </c>
      <c r="G18" s="3">
        <v>765.71</v>
      </c>
      <c r="H18" s="3">
        <v>2.09</v>
      </c>
      <c r="I18" s="3">
        <v>3.19</v>
      </c>
      <c r="J18" s="3" t="s">
        <v>8</v>
      </c>
      <c r="K18" s="3">
        <v>765.81</v>
      </c>
    </row>
    <row r="19" spans="1:11" x14ac:dyDescent="0.3">
      <c r="A19" s="3">
        <v>15</v>
      </c>
      <c r="B19" s="3">
        <v>791.98</v>
      </c>
      <c r="C19" s="3">
        <v>799.64</v>
      </c>
      <c r="D19" s="3">
        <v>2770</v>
      </c>
      <c r="E19" s="3">
        <v>1978</v>
      </c>
      <c r="F19" s="3">
        <v>68</v>
      </c>
      <c r="G19" s="3">
        <v>795.81</v>
      </c>
      <c r="H19" s="3">
        <v>2.09</v>
      </c>
      <c r="I19" s="3">
        <v>3.3</v>
      </c>
      <c r="J19" s="3" t="s">
        <v>13</v>
      </c>
      <c r="K19" s="3">
        <v>795.86</v>
      </c>
    </row>
    <row r="20" spans="1:11" x14ac:dyDescent="0.3">
      <c r="A20" s="3">
        <v>16</v>
      </c>
      <c r="B20" s="3">
        <v>996.28</v>
      </c>
      <c r="C20" s="3">
        <v>1004.52</v>
      </c>
      <c r="D20" s="3">
        <v>482</v>
      </c>
      <c r="E20" s="3">
        <v>-11</v>
      </c>
      <c r="F20" s="3">
        <v>43</v>
      </c>
      <c r="G20" s="3">
        <v>1000.41</v>
      </c>
      <c r="H20" s="3">
        <v>0.71</v>
      </c>
      <c r="I20" s="3">
        <v>0.99</v>
      </c>
      <c r="J20" s="3" t="s">
        <v>17</v>
      </c>
      <c r="K20" s="3">
        <v>0</v>
      </c>
    </row>
    <row r="21" spans="1:11" x14ac:dyDescent="0.3">
      <c r="A21" s="3">
        <v>17</v>
      </c>
      <c r="B21" s="3">
        <v>1046.32</v>
      </c>
      <c r="C21" s="3">
        <v>1054.57</v>
      </c>
      <c r="D21" s="3">
        <v>1880</v>
      </c>
      <c r="E21" s="3">
        <v>1421</v>
      </c>
      <c r="F21" s="3">
        <v>56</v>
      </c>
      <c r="G21" s="3">
        <v>1050.25</v>
      </c>
      <c r="H21" s="3">
        <v>1.9</v>
      </c>
      <c r="I21" s="3">
        <v>3.57</v>
      </c>
      <c r="J21" s="3" t="s">
        <v>12</v>
      </c>
      <c r="K21" s="3">
        <v>1050.4100000000001</v>
      </c>
    </row>
    <row r="22" spans="1:11" x14ac:dyDescent="0.3">
      <c r="A22" s="3">
        <v>18</v>
      </c>
      <c r="B22" s="3">
        <v>1200.8699999999999</v>
      </c>
      <c r="C22" s="3">
        <v>1209.1099999999999</v>
      </c>
      <c r="D22" s="3">
        <v>792</v>
      </c>
      <c r="E22" s="3">
        <v>425</v>
      </c>
      <c r="F22" s="3">
        <v>42</v>
      </c>
      <c r="G22" s="3">
        <v>1204.58</v>
      </c>
      <c r="H22" s="3">
        <v>2.64</v>
      </c>
      <c r="I22" s="3">
        <v>3.58</v>
      </c>
      <c r="J22" s="3" t="s">
        <v>44</v>
      </c>
      <c r="K22" s="3">
        <v>1204.67</v>
      </c>
    </row>
    <row r="23" spans="1:11" x14ac:dyDescent="0.3">
      <c r="A23" s="3">
        <v>19</v>
      </c>
      <c r="B23" s="3">
        <v>1456.39</v>
      </c>
      <c r="C23" s="3">
        <v>1465.22</v>
      </c>
      <c r="D23" s="3">
        <v>1045</v>
      </c>
      <c r="E23" s="3">
        <v>823</v>
      </c>
      <c r="F23" s="3">
        <v>41</v>
      </c>
      <c r="G23" s="3">
        <v>1460.94</v>
      </c>
      <c r="H23" s="3">
        <v>2.57</v>
      </c>
      <c r="I23" s="3">
        <v>4.07</v>
      </c>
      <c r="J23" s="3" t="s">
        <v>45</v>
      </c>
      <c r="K23" s="3">
        <v>1461</v>
      </c>
    </row>
    <row r="24" spans="1:11" x14ac:dyDescent="0.3">
      <c r="A24" s="3">
        <v>20</v>
      </c>
      <c r="B24" s="3">
        <v>1484.65</v>
      </c>
      <c r="C24" s="3">
        <v>1493.48</v>
      </c>
      <c r="D24" s="3">
        <v>3574</v>
      </c>
      <c r="E24" s="3">
        <v>3285</v>
      </c>
      <c r="F24" s="3">
        <v>67</v>
      </c>
      <c r="G24" s="3">
        <v>1488.88</v>
      </c>
      <c r="H24" s="3">
        <v>2.65</v>
      </c>
      <c r="I24" s="3">
        <v>3.9</v>
      </c>
      <c r="J24" s="3" t="s">
        <v>20</v>
      </c>
      <c r="K24" s="3">
        <v>1488.89</v>
      </c>
    </row>
    <row r="25" spans="1:11" x14ac:dyDescent="0.3">
      <c r="A25" s="3">
        <v>21</v>
      </c>
      <c r="B25" s="3">
        <v>2180.2600000000002</v>
      </c>
      <c r="C25" s="3">
        <v>2190.27</v>
      </c>
      <c r="D25" s="3">
        <v>7550</v>
      </c>
      <c r="E25" s="3">
        <v>7468</v>
      </c>
      <c r="F25" s="3">
        <v>88</v>
      </c>
      <c r="G25" s="3">
        <v>2185.27</v>
      </c>
      <c r="H25" s="3">
        <v>2.95</v>
      </c>
      <c r="I25" s="3">
        <v>4.62</v>
      </c>
      <c r="J25" s="3" t="s">
        <v>21</v>
      </c>
      <c r="K25" s="3">
        <v>2185.66</v>
      </c>
    </row>
  </sheetData>
  <mergeCells count="3">
    <mergeCell ref="A1:K3"/>
    <mergeCell ref="B4:C4"/>
    <mergeCell ref="J4:K4"/>
  </mergeCells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CFA9-E733-4B8D-A5EB-7AF260E65736}">
  <dimension ref="A1:N80"/>
  <sheetViews>
    <sheetView workbookViewId="0">
      <selection activeCell="O12" sqref="O12"/>
    </sheetView>
  </sheetViews>
  <sheetFormatPr defaultRowHeight="14" x14ac:dyDescent="0.3"/>
  <sheetData>
    <row r="1" spans="1:14" x14ac:dyDescent="0.3">
      <c r="A1" t="s">
        <v>23</v>
      </c>
      <c r="B1" t="s">
        <v>24</v>
      </c>
      <c r="C1" t="s">
        <v>25</v>
      </c>
      <c r="D1" t="s">
        <v>26</v>
      </c>
      <c r="E1" t="s">
        <v>25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33</v>
      </c>
    </row>
    <row r="2" spans="1:14" x14ac:dyDescent="0.3">
      <c r="A2">
        <v>0</v>
      </c>
      <c r="B2">
        <v>69</v>
      </c>
      <c r="C2">
        <v>20.04</v>
      </c>
      <c r="D2" t="s">
        <v>40</v>
      </c>
      <c r="E2">
        <v>20.07</v>
      </c>
      <c r="F2" s="4">
        <v>0.107</v>
      </c>
      <c r="G2" s="5">
        <v>2.5999999999999999E-2</v>
      </c>
      <c r="H2" s="4">
        <v>16414</v>
      </c>
      <c r="I2" s="5">
        <v>8.5000000000000006E-3</v>
      </c>
      <c r="J2" s="4">
        <v>17900</v>
      </c>
      <c r="K2">
        <v>66</v>
      </c>
      <c r="L2">
        <v>73</v>
      </c>
      <c r="M2">
        <v>-820</v>
      </c>
      <c r="N2">
        <v>73</v>
      </c>
    </row>
    <row r="3" spans="1:14" x14ac:dyDescent="0.3">
      <c r="A3">
        <v>1</v>
      </c>
      <c r="B3">
        <v>334</v>
      </c>
      <c r="C3">
        <v>98.1</v>
      </c>
      <c r="D3" t="s">
        <v>35</v>
      </c>
      <c r="E3">
        <v>98.44</v>
      </c>
      <c r="F3" s="4">
        <v>2.2199999999999999E-6</v>
      </c>
      <c r="G3" s="5">
        <v>2.3E-3</v>
      </c>
      <c r="H3" s="4">
        <v>833.39</v>
      </c>
      <c r="I3" s="5">
        <v>0.14460000000000001</v>
      </c>
      <c r="J3" s="4">
        <v>7670</v>
      </c>
      <c r="K3">
        <v>329</v>
      </c>
      <c r="L3">
        <v>339</v>
      </c>
      <c r="M3">
        <v>321</v>
      </c>
      <c r="N3">
        <v>351</v>
      </c>
    </row>
    <row r="4" spans="1:14" x14ac:dyDescent="0.3">
      <c r="A4">
        <v>2</v>
      </c>
      <c r="B4">
        <v>376</v>
      </c>
      <c r="C4">
        <v>110.48</v>
      </c>
      <c r="D4" t="s">
        <v>35</v>
      </c>
      <c r="E4">
        <v>111</v>
      </c>
      <c r="F4" s="4">
        <v>2.2199999999999999E-6</v>
      </c>
      <c r="G4" s="5">
        <v>1.1000000000000001E-3</v>
      </c>
      <c r="H4" s="4">
        <v>1063.3</v>
      </c>
      <c r="I4" s="5">
        <v>0.11559999999999999</v>
      </c>
      <c r="J4" s="4">
        <v>8080</v>
      </c>
      <c r="K4">
        <v>373</v>
      </c>
      <c r="L4">
        <v>381</v>
      </c>
      <c r="M4">
        <v>361</v>
      </c>
      <c r="N4">
        <v>392</v>
      </c>
    </row>
    <row r="5" spans="1:14" x14ac:dyDescent="0.3">
      <c r="A5">
        <v>3</v>
      </c>
      <c r="B5">
        <v>452</v>
      </c>
      <c r="C5">
        <v>132.87</v>
      </c>
      <c r="D5" t="s">
        <v>36</v>
      </c>
      <c r="E5">
        <v>133.51</v>
      </c>
      <c r="F5" s="4">
        <v>0.78</v>
      </c>
      <c r="G5" s="5">
        <v>0.1109</v>
      </c>
      <c r="H5" s="4">
        <v>16931</v>
      </c>
      <c r="I5" s="5">
        <v>1.6E-2</v>
      </c>
      <c r="J5" s="4">
        <v>44900</v>
      </c>
      <c r="K5">
        <v>439</v>
      </c>
      <c r="L5">
        <v>464</v>
      </c>
      <c r="M5">
        <v>430</v>
      </c>
      <c r="N5">
        <v>467</v>
      </c>
    </row>
    <row r="6" spans="1:14" x14ac:dyDescent="0.3">
      <c r="A6">
        <v>4</v>
      </c>
      <c r="B6">
        <v>493</v>
      </c>
      <c r="C6">
        <v>144.94</v>
      </c>
      <c r="D6" t="s">
        <v>37</v>
      </c>
      <c r="E6">
        <v>145.44</v>
      </c>
      <c r="F6" s="4">
        <v>8.8999999999999996E-2</v>
      </c>
      <c r="G6" s="5">
        <v>0.48199999999999998</v>
      </c>
      <c r="H6" s="4">
        <v>303.45999999999998</v>
      </c>
      <c r="I6" s="5">
        <v>0.65939999999999999</v>
      </c>
      <c r="J6" s="4">
        <v>20200</v>
      </c>
      <c r="K6">
        <v>482</v>
      </c>
      <c r="L6">
        <v>499</v>
      </c>
      <c r="M6">
        <v>474</v>
      </c>
      <c r="N6">
        <v>501</v>
      </c>
    </row>
    <row r="7" spans="1:14" x14ac:dyDescent="0.3">
      <c r="A7">
        <v>5</v>
      </c>
      <c r="B7">
        <v>1411</v>
      </c>
      <c r="C7">
        <v>415.38</v>
      </c>
      <c r="D7" t="s">
        <v>38</v>
      </c>
      <c r="E7">
        <v>414.8</v>
      </c>
      <c r="F7" s="4">
        <v>3.4099999999999998E-2</v>
      </c>
      <c r="G7" s="5">
        <v>0.83299999999999996</v>
      </c>
      <c r="H7" s="4">
        <v>81.194999999999993</v>
      </c>
      <c r="I7" s="5">
        <v>2.3216999999999999</v>
      </c>
      <c r="J7" s="4">
        <v>17800</v>
      </c>
      <c r="K7">
        <v>1406</v>
      </c>
      <c r="L7">
        <v>1423</v>
      </c>
      <c r="M7">
        <v>1396</v>
      </c>
      <c r="N7">
        <v>1423</v>
      </c>
    </row>
    <row r="8" spans="1:14" x14ac:dyDescent="0.3">
      <c r="A8">
        <v>6</v>
      </c>
      <c r="B8">
        <v>1531</v>
      </c>
      <c r="C8">
        <v>450.73</v>
      </c>
      <c r="D8" t="s">
        <v>42</v>
      </c>
      <c r="E8">
        <v>452.32</v>
      </c>
      <c r="F8" s="4">
        <v>4.7500000000000003E-5</v>
      </c>
      <c r="G8" s="5">
        <v>0.182</v>
      </c>
      <c r="H8" s="4">
        <v>199.39</v>
      </c>
      <c r="I8" s="5">
        <v>0.67100000000000004</v>
      </c>
      <c r="J8" s="4">
        <v>9050</v>
      </c>
      <c r="K8">
        <v>1529</v>
      </c>
      <c r="L8">
        <v>1537</v>
      </c>
      <c r="M8">
        <v>1524</v>
      </c>
      <c r="N8">
        <v>1537</v>
      </c>
    </row>
    <row r="9" spans="1:14" x14ac:dyDescent="0.3">
      <c r="A9">
        <v>7</v>
      </c>
      <c r="B9">
        <v>1687</v>
      </c>
      <c r="C9">
        <v>496.69</v>
      </c>
      <c r="D9" t="s">
        <v>40</v>
      </c>
      <c r="E9">
        <v>497.08</v>
      </c>
      <c r="F9" s="4">
        <v>0.107</v>
      </c>
      <c r="G9" s="5">
        <v>0.91</v>
      </c>
      <c r="H9" s="4">
        <v>17219</v>
      </c>
      <c r="I9" s="5">
        <v>1.52E-2</v>
      </c>
      <c r="J9" s="4">
        <v>42700</v>
      </c>
      <c r="K9">
        <v>1677</v>
      </c>
      <c r="L9">
        <v>1701</v>
      </c>
      <c r="M9">
        <v>1671</v>
      </c>
      <c r="N9">
        <v>1701</v>
      </c>
    </row>
    <row r="10" spans="1:14" x14ac:dyDescent="0.3">
      <c r="A10">
        <v>8</v>
      </c>
      <c r="B10">
        <v>1738</v>
      </c>
      <c r="C10">
        <v>511.71</v>
      </c>
      <c r="D10" t="s">
        <v>12</v>
      </c>
      <c r="E10">
        <v>511.86</v>
      </c>
      <c r="F10" s="4">
        <v>9.4399999999999998E-7</v>
      </c>
      <c r="G10" s="5">
        <v>0.20399999999999999</v>
      </c>
      <c r="H10" s="4">
        <v>20555</v>
      </c>
      <c r="I10" s="5">
        <v>1.43E-2</v>
      </c>
      <c r="J10" s="4">
        <v>53300</v>
      </c>
      <c r="K10">
        <v>1720</v>
      </c>
      <c r="L10">
        <v>1752</v>
      </c>
      <c r="M10">
        <v>1720</v>
      </c>
      <c r="N10">
        <v>1752</v>
      </c>
    </row>
    <row r="11" spans="1:14" x14ac:dyDescent="0.3">
      <c r="A11">
        <v>9</v>
      </c>
      <c r="B11">
        <v>1868</v>
      </c>
      <c r="C11">
        <v>550.01</v>
      </c>
      <c r="D11" t="s">
        <v>9</v>
      </c>
      <c r="E11">
        <v>551.52</v>
      </c>
      <c r="F11" s="4">
        <v>2.7100000000000002E-3</v>
      </c>
      <c r="G11" s="5">
        <v>5.0799999999999998E-2</v>
      </c>
      <c r="H11" s="4">
        <v>52.131</v>
      </c>
      <c r="I11" s="5">
        <v>2.4049</v>
      </c>
      <c r="J11" s="4">
        <v>7880</v>
      </c>
      <c r="K11">
        <v>1864</v>
      </c>
      <c r="L11">
        <v>1871</v>
      </c>
      <c r="M11">
        <v>1864</v>
      </c>
      <c r="N11">
        <v>1871</v>
      </c>
    </row>
    <row r="12" spans="1:14" x14ac:dyDescent="0.3">
      <c r="A12">
        <v>10</v>
      </c>
      <c r="B12">
        <v>1910</v>
      </c>
      <c r="C12">
        <v>562.38</v>
      </c>
      <c r="D12" t="s">
        <v>8</v>
      </c>
      <c r="E12">
        <v>561.88</v>
      </c>
      <c r="F12" s="4">
        <v>9.5799999999999996E-2</v>
      </c>
      <c r="G12" s="5">
        <v>1E-4</v>
      </c>
      <c r="H12" s="4">
        <v>221.1</v>
      </c>
      <c r="I12" s="5">
        <v>0.54549999999999998</v>
      </c>
      <c r="J12" s="4">
        <v>7380</v>
      </c>
      <c r="K12">
        <v>1907</v>
      </c>
      <c r="L12">
        <v>1913</v>
      </c>
      <c r="M12">
        <v>1907</v>
      </c>
      <c r="N12">
        <v>1915</v>
      </c>
    </row>
    <row r="13" spans="1:14" x14ac:dyDescent="0.3">
      <c r="A13">
        <v>11</v>
      </c>
      <c r="B13">
        <v>1925</v>
      </c>
      <c r="C13">
        <v>566.79999999999995</v>
      </c>
      <c r="D13" t="s">
        <v>13</v>
      </c>
      <c r="E13">
        <v>569.33000000000004</v>
      </c>
      <c r="F13" s="4">
        <v>2.06</v>
      </c>
      <c r="G13" s="5">
        <v>0.15379999999999999</v>
      </c>
      <c r="H13" s="4">
        <v>120.75</v>
      </c>
      <c r="I13" s="5">
        <v>1.45</v>
      </c>
      <c r="J13" s="4">
        <v>15400</v>
      </c>
      <c r="K13">
        <v>1922</v>
      </c>
      <c r="L13">
        <v>1936</v>
      </c>
      <c r="M13">
        <v>1922</v>
      </c>
      <c r="N13">
        <v>1936</v>
      </c>
    </row>
    <row r="14" spans="1:14" x14ac:dyDescent="0.3">
      <c r="A14">
        <v>12</v>
      </c>
      <c r="B14">
        <v>2040</v>
      </c>
      <c r="C14">
        <v>600.67999999999995</v>
      </c>
      <c r="D14" t="s">
        <v>10</v>
      </c>
      <c r="E14">
        <v>600.6</v>
      </c>
      <c r="F14" s="4">
        <v>2.76</v>
      </c>
      <c r="G14" s="5">
        <v>0.17899999999999999</v>
      </c>
      <c r="H14" s="4">
        <v>428.37</v>
      </c>
      <c r="I14" s="5">
        <v>0.29630000000000001</v>
      </c>
      <c r="J14" s="4">
        <v>8270</v>
      </c>
      <c r="K14">
        <v>2035</v>
      </c>
      <c r="L14">
        <v>2042</v>
      </c>
      <c r="M14">
        <v>2031</v>
      </c>
      <c r="N14">
        <v>2061</v>
      </c>
    </row>
    <row r="15" spans="1:14" x14ac:dyDescent="0.3">
      <c r="A15">
        <v>13</v>
      </c>
      <c r="B15">
        <v>2053</v>
      </c>
      <c r="C15">
        <v>604.51</v>
      </c>
      <c r="D15" t="s">
        <v>13</v>
      </c>
      <c r="E15">
        <v>604.72</v>
      </c>
      <c r="F15" s="4">
        <v>2.06</v>
      </c>
      <c r="G15" s="5">
        <v>0.97619999999999996</v>
      </c>
      <c r="H15" s="4">
        <v>2224.1</v>
      </c>
      <c r="I15" s="5">
        <v>7.7499999999999999E-2</v>
      </c>
      <c r="J15" s="4">
        <v>16000</v>
      </c>
      <c r="K15">
        <v>2045</v>
      </c>
      <c r="L15">
        <v>2058</v>
      </c>
      <c r="M15">
        <v>2031</v>
      </c>
      <c r="N15">
        <v>2061</v>
      </c>
    </row>
    <row r="16" spans="1:14" x14ac:dyDescent="0.3">
      <c r="A16">
        <v>14</v>
      </c>
      <c r="B16">
        <v>2071</v>
      </c>
      <c r="C16">
        <v>609.80999999999995</v>
      </c>
      <c r="D16" t="s">
        <v>40</v>
      </c>
      <c r="E16">
        <v>610.33000000000004</v>
      </c>
      <c r="F16" s="4">
        <v>0.107</v>
      </c>
      <c r="G16" s="5">
        <v>5.7599999999999998E-2</v>
      </c>
      <c r="H16" s="4">
        <v>634.67999999999995</v>
      </c>
      <c r="I16" s="5">
        <v>0.22370000000000001</v>
      </c>
      <c r="J16" s="4">
        <v>10400</v>
      </c>
      <c r="K16">
        <v>2063</v>
      </c>
      <c r="L16">
        <v>2072</v>
      </c>
      <c r="M16">
        <v>2031</v>
      </c>
      <c r="N16">
        <v>2130</v>
      </c>
    </row>
    <row r="17" spans="1:14" x14ac:dyDescent="0.3">
      <c r="A17">
        <v>15</v>
      </c>
      <c r="B17">
        <v>2091</v>
      </c>
      <c r="C17">
        <v>615.70000000000005</v>
      </c>
      <c r="D17" t="s">
        <v>12</v>
      </c>
      <c r="E17">
        <v>616.22</v>
      </c>
      <c r="F17" s="4">
        <v>9.4399999999999998E-7</v>
      </c>
      <c r="G17" s="5">
        <v>7.4999999999999997E-3</v>
      </c>
      <c r="H17" s="4">
        <v>480.41</v>
      </c>
      <c r="I17" s="5">
        <v>0.3105</v>
      </c>
      <c r="J17" s="4">
        <v>11400</v>
      </c>
      <c r="K17">
        <v>2089</v>
      </c>
      <c r="L17">
        <v>2099</v>
      </c>
      <c r="M17">
        <v>2073</v>
      </c>
      <c r="N17">
        <v>2130</v>
      </c>
    </row>
    <row r="18" spans="1:14" x14ac:dyDescent="0.3">
      <c r="A18">
        <v>16</v>
      </c>
      <c r="B18">
        <v>2112</v>
      </c>
      <c r="C18">
        <v>621.89</v>
      </c>
      <c r="D18" t="s">
        <v>12</v>
      </c>
      <c r="E18">
        <v>621.92999999999995</v>
      </c>
      <c r="F18" s="4">
        <v>9.4399999999999998E-7</v>
      </c>
      <c r="G18" s="5">
        <v>9.9299999999999999E-2</v>
      </c>
      <c r="H18" s="4">
        <v>10402</v>
      </c>
      <c r="I18" s="5">
        <v>2.1299999999999999E-2</v>
      </c>
      <c r="J18" s="4">
        <v>29800</v>
      </c>
      <c r="K18">
        <v>2102</v>
      </c>
      <c r="L18">
        <v>2121</v>
      </c>
      <c r="M18">
        <v>2073</v>
      </c>
      <c r="N18">
        <v>2130</v>
      </c>
    </row>
    <row r="19" spans="1:14" x14ac:dyDescent="0.3">
      <c r="A19">
        <v>17</v>
      </c>
      <c r="B19">
        <v>2214</v>
      </c>
      <c r="C19">
        <v>651.94000000000005</v>
      </c>
      <c r="D19" t="s">
        <v>41</v>
      </c>
      <c r="E19">
        <v>650.5</v>
      </c>
      <c r="F19" s="4">
        <v>2.6200000000000003E-4</v>
      </c>
      <c r="G19" s="5">
        <v>2.5700000000000001E-2</v>
      </c>
      <c r="H19" s="4">
        <v>317.06</v>
      </c>
      <c r="I19" s="5">
        <v>0.4642</v>
      </c>
      <c r="J19" s="4">
        <v>11000</v>
      </c>
      <c r="K19">
        <v>2212</v>
      </c>
      <c r="L19">
        <v>2222</v>
      </c>
      <c r="M19">
        <v>2212</v>
      </c>
      <c r="N19">
        <v>2222</v>
      </c>
    </row>
    <row r="20" spans="1:14" x14ac:dyDescent="0.3">
      <c r="A20">
        <v>18</v>
      </c>
      <c r="B20">
        <v>2246</v>
      </c>
      <c r="C20">
        <v>661.37</v>
      </c>
      <c r="D20" t="s">
        <v>14</v>
      </c>
      <c r="E20">
        <v>661.66</v>
      </c>
      <c r="F20" s="4">
        <v>30.1</v>
      </c>
      <c r="G20" s="5">
        <v>0.85099999999999998</v>
      </c>
      <c r="H20" s="4">
        <v>85636</v>
      </c>
      <c r="I20" s="5">
        <v>4.3E-3</v>
      </c>
      <c r="J20" s="4">
        <v>112000</v>
      </c>
      <c r="K20">
        <v>2233</v>
      </c>
      <c r="L20">
        <v>2260</v>
      </c>
      <c r="M20">
        <v>2231</v>
      </c>
      <c r="N20">
        <v>2277</v>
      </c>
    </row>
    <row r="21" spans="1:14" x14ac:dyDescent="0.3">
      <c r="A21">
        <v>19</v>
      </c>
      <c r="B21">
        <v>2364</v>
      </c>
      <c r="C21">
        <v>696.13</v>
      </c>
      <c r="D21" t="s">
        <v>21</v>
      </c>
      <c r="E21">
        <v>696.51</v>
      </c>
      <c r="F21" s="4">
        <v>3.29E-5</v>
      </c>
      <c r="G21" s="5">
        <v>1.34E-2</v>
      </c>
      <c r="H21" s="4">
        <v>18376</v>
      </c>
      <c r="I21" s="5">
        <v>1.3599999999999999E-2</v>
      </c>
      <c r="J21" s="4">
        <v>40500</v>
      </c>
      <c r="K21">
        <v>2353</v>
      </c>
      <c r="L21">
        <v>2376</v>
      </c>
      <c r="M21">
        <v>2343</v>
      </c>
      <c r="N21">
        <v>2382</v>
      </c>
    </row>
    <row r="22" spans="1:14" x14ac:dyDescent="0.3">
      <c r="A22">
        <v>20</v>
      </c>
      <c r="B22">
        <v>2436</v>
      </c>
      <c r="C22">
        <v>717.34</v>
      </c>
      <c r="D22" t="s">
        <v>38</v>
      </c>
      <c r="E22">
        <v>720.5</v>
      </c>
      <c r="F22" s="4">
        <v>3.4099999999999998E-2</v>
      </c>
      <c r="G22" s="5">
        <v>0.53800000000000003</v>
      </c>
      <c r="H22" s="4">
        <v>331.33</v>
      </c>
      <c r="I22" s="5">
        <v>0.46279999999999999</v>
      </c>
      <c r="J22" s="4">
        <v>11900</v>
      </c>
      <c r="K22">
        <v>2433</v>
      </c>
      <c r="L22">
        <v>2445</v>
      </c>
      <c r="M22">
        <v>2414</v>
      </c>
      <c r="N22">
        <v>2469</v>
      </c>
    </row>
    <row r="23" spans="1:14" x14ac:dyDescent="0.3">
      <c r="A23">
        <v>21</v>
      </c>
      <c r="B23">
        <v>2458</v>
      </c>
      <c r="C23">
        <v>723.82</v>
      </c>
      <c r="D23" t="s">
        <v>16</v>
      </c>
      <c r="E23">
        <v>724.2</v>
      </c>
      <c r="F23" s="4">
        <v>0.17499999999999999</v>
      </c>
      <c r="G23" s="5">
        <v>0.44169999999999998</v>
      </c>
      <c r="H23" s="4">
        <v>138370</v>
      </c>
      <c r="I23" s="5">
        <v>3.0999999999999999E-3</v>
      </c>
      <c r="J23" s="4">
        <v>161000</v>
      </c>
      <c r="K23">
        <v>2445</v>
      </c>
      <c r="L23">
        <v>2470</v>
      </c>
      <c r="M23">
        <v>2414</v>
      </c>
      <c r="N23">
        <v>2470</v>
      </c>
    </row>
    <row r="24" spans="1:14" x14ac:dyDescent="0.3">
      <c r="A24">
        <v>22</v>
      </c>
      <c r="B24">
        <v>2552</v>
      </c>
      <c r="C24">
        <v>751.51</v>
      </c>
      <c r="D24" t="s">
        <v>39</v>
      </c>
      <c r="E24">
        <v>751.64</v>
      </c>
      <c r="F24" s="4">
        <v>4.5900000000000003E-3</v>
      </c>
      <c r="G24" s="5">
        <v>4.3299999999999998E-2</v>
      </c>
      <c r="H24" s="4">
        <v>122.9</v>
      </c>
      <c r="I24" s="5">
        <v>0.73360000000000003</v>
      </c>
      <c r="J24" s="4">
        <v>4130</v>
      </c>
      <c r="K24">
        <v>2550</v>
      </c>
      <c r="L24">
        <v>2554</v>
      </c>
      <c r="M24">
        <v>2548</v>
      </c>
      <c r="N24">
        <v>2580</v>
      </c>
    </row>
    <row r="25" spans="1:14" x14ac:dyDescent="0.3">
      <c r="A25">
        <v>23</v>
      </c>
      <c r="B25">
        <v>2569</v>
      </c>
      <c r="C25">
        <v>756.52</v>
      </c>
      <c r="D25" t="s">
        <v>16</v>
      </c>
      <c r="E25">
        <v>756.73</v>
      </c>
      <c r="F25" s="4">
        <v>0.17499999999999999</v>
      </c>
      <c r="G25" s="5">
        <v>0.54459999999999997</v>
      </c>
      <c r="H25" s="4">
        <v>171180</v>
      </c>
      <c r="I25" s="5">
        <v>2.7000000000000001E-3</v>
      </c>
      <c r="J25" s="4">
        <v>189000</v>
      </c>
      <c r="K25">
        <v>2557</v>
      </c>
      <c r="L25">
        <v>2581</v>
      </c>
      <c r="M25">
        <v>2548</v>
      </c>
      <c r="N25">
        <v>2657</v>
      </c>
    </row>
    <row r="26" spans="1:14" x14ac:dyDescent="0.3">
      <c r="A26">
        <v>24</v>
      </c>
      <c r="B26">
        <v>2600</v>
      </c>
      <c r="C26">
        <v>765.65</v>
      </c>
      <c r="D26" t="s">
        <v>8</v>
      </c>
      <c r="E26">
        <v>765.81</v>
      </c>
      <c r="F26" s="4">
        <v>9.5799999999999996E-2</v>
      </c>
      <c r="G26" s="5">
        <v>0.99809999999999999</v>
      </c>
      <c r="H26" s="4">
        <v>659680</v>
      </c>
      <c r="I26" s="5">
        <v>1.2999999999999999E-3</v>
      </c>
      <c r="J26" s="4">
        <v>670000</v>
      </c>
      <c r="K26">
        <v>2586</v>
      </c>
      <c r="L26">
        <v>2613</v>
      </c>
      <c r="M26">
        <v>2586</v>
      </c>
      <c r="N26">
        <v>2657</v>
      </c>
    </row>
    <row r="27" spans="1:14" x14ac:dyDescent="0.3">
      <c r="A27">
        <v>25</v>
      </c>
      <c r="B27">
        <v>2702</v>
      </c>
      <c r="C27">
        <v>795.7</v>
      </c>
      <c r="D27" t="s">
        <v>13</v>
      </c>
      <c r="E27">
        <v>795.86</v>
      </c>
      <c r="F27" s="4">
        <v>2.06</v>
      </c>
      <c r="G27" s="5">
        <v>0.85529999999999995</v>
      </c>
      <c r="H27" s="4">
        <v>1928.6</v>
      </c>
      <c r="I27" s="5">
        <v>2.92E-2</v>
      </c>
      <c r="J27" s="4">
        <v>2550</v>
      </c>
      <c r="K27">
        <v>2693</v>
      </c>
      <c r="L27">
        <v>2712</v>
      </c>
      <c r="M27">
        <v>2676</v>
      </c>
      <c r="N27">
        <v>2793</v>
      </c>
    </row>
    <row r="28" spans="1:14" x14ac:dyDescent="0.3">
      <c r="A28">
        <v>26</v>
      </c>
      <c r="B28">
        <v>2723</v>
      </c>
      <c r="C28">
        <v>801.89</v>
      </c>
      <c r="D28" t="s">
        <v>13</v>
      </c>
      <c r="E28">
        <v>801.95</v>
      </c>
      <c r="F28" s="4">
        <v>2.06</v>
      </c>
      <c r="G28" s="5">
        <v>8.6900000000000005E-2</v>
      </c>
      <c r="H28" s="4">
        <v>202.8</v>
      </c>
      <c r="I28" s="5">
        <v>0.15409999999999999</v>
      </c>
      <c r="J28" s="4">
        <v>590</v>
      </c>
      <c r="K28">
        <v>2715</v>
      </c>
      <c r="L28">
        <v>2728</v>
      </c>
      <c r="M28">
        <v>2715</v>
      </c>
      <c r="N28">
        <v>2793</v>
      </c>
    </row>
    <row r="29" spans="1:14" x14ac:dyDescent="0.3">
      <c r="A29">
        <v>27</v>
      </c>
      <c r="B29">
        <v>2966</v>
      </c>
      <c r="C29">
        <v>873.47</v>
      </c>
      <c r="D29" t="s">
        <v>12</v>
      </c>
      <c r="E29">
        <v>873.49</v>
      </c>
      <c r="F29" s="4">
        <v>9.4399999999999998E-7</v>
      </c>
      <c r="G29" s="5">
        <v>4.4000000000000003E-3</v>
      </c>
      <c r="H29" s="4">
        <v>336.4</v>
      </c>
      <c r="I29" s="5">
        <v>8.6099999999999996E-2</v>
      </c>
      <c r="J29" s="4">
        <v>588</v>
      </c>
      <c r="K29">
        <v>2964</v>
      </c>
      <c r="L29">
        <v>2975</v>
      </c>
      <c r="M29">
        <v>2927</v>
      </c>
      <c r="N29">
        <v>2975</v>
      </c>
    </row>
    <row r="30" spans="1:14" x14ac:dyDescent="0.3">
      <c r="A30">
        <v>28</v>
      </c>
      <c r="B30">
        <v>3567</v>
      </c>
      <c r="C30">
        <v>1050.52</v>
      </c>
      <c r="D30" t="s">
        <v>12</v>
      </c>
      <c r="E30">
        <v>1050.4100000000001</v>
      </c>
      <c r="F30" s="4">
        <v>9.4399999999999998E-7</v>
      </c>
      <c r="G30" s="5">
        <v>1.5599999999999999E-2</v>
      </c>
      <c r="H30" s="4">
        <v>1366.7</v>
      </c>
      <c r="I30" s="5">
        <v>3.4599999999999999E-2</v>
      </c>
      <c r="J30" s="4">
        <v>1800</v>
      </c>
      <c r="K30">
        <v>3555</v>
      </c>
      <c r="L30">
        <v>3578</v>
      </c>
      <c r="M30">
        <v>3555</v>
      </c>
      <c r="N30">
        <v>3583</v>
      </c>
    </row>
    <row r="31" spans="1:14" x14ac:dyDescent="0.3">
      <c r="A31">
        <v>29</v>
      </c>
      <c r="B31">
        <v>3828</v>
      </c>
      <c r="C31">
        <v>1127.4100000000001</v>
      </c>
      <c r="D31" t="s">
        <v>12</v>
      </c>
      <c r="E31">
        <v>1128.07</v>
      </c>
      <c r="F31" s="4">
        <v>9.4399999999999998E-7</v>
      </c>
      <c r="G31" s="5">
        <v>4.0000000000000001E-3</v>
      </c>
      <c r="H31" s="4">
        <v>360.42</v>
      </c>
      <c r="I31" s="5">
        <v>8.1199999999999994E-2</v>
      </c>
      <c r="J31" s="4">
        <v>608</v>
      </c>
      <c r="K31">
        <v>3821</v>
      </c>
      <c r="L31">
        <v>3842</v>
      </c>
      <c r="M31">
        <v>3790</v>
      </c>
      <c r="N31">
        <v>3842</v>
      </c>
    </row>
    <row r="32" spans="1:14" x14ac:dyDescent="0.3">
      <c r="A32">
        <v>30</v>
      </c>
      <c r="B32">
        <v>3962</v>
      </c>
      <c r="C32">
        <v>1166.8900000000001</v>
      </c>
      <c r="D32" t="s">
        <v>13</v>
      </c>
      <c r="E32">
        <v>1167.97</v>
      </c>
      <c r="F32" s="4">
        <v>2.06</v>
      </c>
      <c r="G32" s="5">
        <v>1.7899999999999999E-2</v>
      </c>
      <c r="H32" s="4">
        <v>63.853999999999999</v>
      </c>
      <c r="I32" s="5">
        <v>0.33450000000000002</v>
      </c>
      <c r="J32" s="4">
        <v>260</v>
      </c>
      <c r="K32">
        <v>3950</v>
      </c>
      <c r="L32">
        <v>3967</v>
      </c>
      <c r="M32">
        <v>3943</v>
      </c>
      <c r="N32">
        <v>3995</v>
      </c>
    </row>
    <row r="33" spans="1:14" x14ac:dyDescent="0.3">
      <c r="A33">
        <v>31</v>
      </c>
      <c r="B33">
        <v>4191</v>
      </c>
      <c r="C33">
        <v>1234.3499999999999</v>
      </c>
      <c r="D33" t="s">
        <v>18</v>
      </c>
      <c r="E33">
        <v>1235.3599999999999</v>
      </c>
      <c r="F33" s="4">
        <v>3.5999999999999997E-2</v>
      </c>
      <c r="G33" s="5">
        <v>0.2</v>
      </c>
      <c r="H33" s="4">
        <v>57.26</v>
      </c>
      <c r="I33" s="5">
        <v>0.36270000000000002</v>
      </c>
      <c r="J33" s="4">
        <v>244</v>
      </c>
      <c r="K33">
        <v>4186</v>
      </c>
      <c r="L33">
        <v>4209</v>
      </c>
      <c r="M33">
        <v>4172</v>
      </c>
      <c r="N33">
        <v>4236</v>
      </c>
    </row>
    <row r="34" spans="1:14" x14ac:dyDescent="0.3">
      <c r="A34">
        <v>32</v>
      </c>
      <c r="B34">
        <v>4223</v>
      </c>
      <c r="C34">
        <v>1243.78</v>
      </c>
      <c r="D34" t="s">
        <v>15</v>
      </c>
      <c r="E34">
        <v>1246.1500000000001</v>
      </c>
      <c r="F34" s="4">
        <v>8.59</v>
      </c>
      <c r="G34" s="5">
        <v>8.6E-3</v>
      </c>
      <c r="H34" s="4">
        <v>52.231000000000002</v>
      </c>
      <c r="I34" s="5">
        <v>0.2702</v>
      </c>
      <c r="J34" s="4">
        <v>126</v>
      </c>
      <c r="K34">
        <v>4220</v>
      </c>
      <c r="L34">
        <v>4229</v>
      </c>
      <c r="M34">
        <v>4194</v>
      </c>
      <c r="N34">
        <v>4236</v>
      </c>
    </row>
    <row r="35" spans="1:14" x14ac:dyDescent="0.3">
      <c r="A35">
        <v>33</v>
      </c>
      <c r="B35">
        <v>4961</v>
      </c>
      <c r="C35">
        <v>1461.18</v>
      </c>
      <c r="D35" t="s">
        <v>19</v>
      </c>
      <c r="E35">
        <v>1457.56</v>
      </c>
      <c r="F35" s="4">
        <v>7.4899999999999999E-4</v>
      </c>
      <c r="G35" s="5">
        <v>8.7300000000000003E-2</v>
      </c>
      <c r="H35" s="4">
        <v>808.05</v>
      </c>
      <c r="I35" s="5">
        <v>4.1200000000000001E-2</v>
      </c>
      <c r="J35" s="4">
        <v>958</v>
      </c>
      <c r="K35">
        <v>4952</v>
      </c>
      <c r="L35">
        <v>4972</v>
      </c>
      <c r="M35">
        <v>4951</v>
      </c>
      <c r="N35">
        <v>4980</v>
      </c>
    </row>
    <row r="36" spans="1:14" x14ac:dyDescent="0.3">
      <c r="A36">
        <v>34</v>
      </c>
      <c r="B36">
        <v>5056</v>
      </c>
      <c r="C36">
        <v>1489.17</v>
      </c>
      <c r="D36" t="s">
        <v>21</v>
      </c>
      <c r="E36">
        <v>1489.16</v>
      </c>
      <c r="F36" s="4">
        <v>3.29E-5</v>
      </c>
      <c r="G36" s="5">
        <v>2.8E-3</v>
      </c>
      <c r="H36" s="4">
        <v>3365.8</v>
      </c>
      <c r="I36" s="5">
        <v>1.8200000000000001E-2</v>
      </c>
      <c r="J36" s="4">
        <v>3550</v>
      </c>
      <c r="K36">
        <v>5043</v>
      </c>
      <c r="L36">
        <v>5070</v>
      </c>
      <c r="M36">
        <v>5043</v>
      </c>
      <c r="N36">
        <v>5095</v>
      </c>
    </row>
    <row r="37" spans="1:14" x14ac:dyDescent="0.3">
      <c r="A37">
        <v>35</v>
      </c>
      <c r="B37">
        <v>5307</v>
      </c>
      <c r="C37">
        <v>1563.11</v>
      </c>
      <c r="D37" t="s">
        <v>12</v>
      </c>
      <c r="E37">
        <v>1562.25</v>
      </c>
      <c r="F37" s="4">
        <v>9.4399999999999998E-7</v>
      </c>
      <c r="G37" s="5">
        <v>1.6000000000000001E-3</v>
      </c>
      <c r="H37" s="4">
        <v>84.935000000000002</v>
      </c>
      <c r="I37" s="5">
        <v>0.1542</v>
      </c>
      <c r="J37" s="4">
        <v>128</v>
      </c>
      <c r="K37">
        <v>5304</v>
      </c>
      <c r="L37">
        <v>5312</v>
      </c>
      <c r="M37">
        <v>5286</v>
      </c>
      <c r="N37">
        <v>5321</v>
      </c>
    </row>
    <row r="38" spans="1:14" x14ac:dyDescent="0.3">
      <c r="A38">
        <v>36</v>
      </c>
      <c r="B38">
        <v>7422</v>
      </c>
      <c r="C38">
        <v>2186.1799999999998</v>
      </c>
      <c r="D38" t="s">
        <v>21</v>
      </c>
      <c r="E38">
        <v>2185.66</v>
      </c>
      <c r="F38" s="4">
        <v>3.29E-5</v>
      </c>
      <c r="G38" s="5">
        <v>6.8999999999999999E-3</v>
      </c>
      <c r="H38" s="4">
        <v>7450</v>
      </c>
      <c r="I38" s="5">
        <v>1.17E-2</v>
      </c>
      <c r="J38" s="4">
        <v>7550</v>
      </c>
      <c r="K38">
        <v>7403</v>
      </c>
      <c r="L38">
        <v>7436</v>
      </c>
      <c r="M38">
        <v>7371</v>
      </c>
      <c r="N38">
        <v>8187</v>
      </c>
    </row>
    <row r="39" spans="1:14" x14ac:dyDescent="0.3">
      <c r="F39" s="4"/>
      <c r="G39" s="5"/>
      <c r="H39" s="4"/>
      <c r="I39" s="5"/>
      <c r="J39" s="4"/>
    </row>
    <row r="40" spans="1:14" x14ac:dyDescent="0.3">
      <c r="F40" s="4"/>
      <c r="G40" s="5"/>
      <c r="H40" s="4"/>
      <c r="I40" s="5"/>
      <c r="J40" s="4"/>
    </row>
    <row r="41" spans="1:14" x14ac:dyDescent="0.3">
      <c r="F41" s="4"/>
      <c r="G41" s="5"/>
      <c r="H41" s="4"/>
      <c r="I41" s="5"/>
      <c r="J41" s="4"/>
    </row>
    <row r="42" spans="1:14" x14ac:dyDescent="0.3">
      <c r="F42" s="4"/>
      <c r="G42" s="5"/>
      <c r="H42" s="4"/>
      <c r="I42" s="5"/>
      <c r="J42" s="4"/>
    </row>
    <row r="43" spans="1:14" x14ac:dyDescent="0.3">
      <c r="F43" s="4"/>
      <c r="G43" s="5"/>
      <c r="H43" s="4"/>
      <c r="I43" s="5"/>
      <c r="J43" s="4"/>
    </row>
    <row r="44" spans="1:14" x14ac:dyDescent="0.3">
      <c r="F44" s="4"/>
      <c r="G44" s="5"/>
      <c r="H44" s="4"/>
      <c r="I44" s="5"/>
      <c r="J44" s="4"/>
    </row>
    <row r="45" spans="1:14" x14ac:dyDescent="0.3">
      <c r="F45" s="4"/>
      <c r="G45" s="5"/>
      <c r="H45" s="4"/>
      <c r="I45" s="5"/>
      <c r="J45" s="4"/>
    </row>
    <row r="46" spans="1:14" x14ac:dyDescent="0.3">
      <c r="F46" s="4"/>
      <c r="G46" s="5"/>
      <c r="H46" s="4"/>
      <c r="I46" s="5"/>
      <c r="J46" s="4"/>
    </row>
    <row r="47" spans="1:14" x14ac:dyDescent="0.3">
      <c r="F47" s="4"/>
      <c r="G47" s="5"/>
      <c r="H47" s="4"/>
      <c r="I47" s="5"/>
      <c r="J47" s="4"/>
    </row>
    <row r="48" spans="1:14" x14ac:dyDescent="0.3">
      <c r="F48" s="4"/>
      <c r="G48" s="5"/>
      <c r="H48" s="4"/>
      <c r="I48" s="5"/>
      <c r="J48" s="4"/>
    </row>
    <row r="49" spans="6:10" x14ac:dyDescent="0.3">
      <c r="F49" s="4"/>
      <c r="G49" s="5"/>
      <c r="H49" s="4"/>
      <c r="I49" s="5"/>
      <c r="J49" s="4"/>
    </row>
    <row r="50" spans="6:10" x14ac:dyDescent="0.3">
      <c r="F50" s="4"/>
      <c r="G50" s="5"/>
      <c r="H50" s="4"/>
      <c r="I50" s="5"/>
      <c r="J50" s="4"/>
    </row>
    <row r="51" spans="6:10" x14ac:dyDescent="0.3">
      <c r="F51" s="4"/>
      <c r="G51" s="5"/>
      <c r="H51" s="4"/>
      <c r="I51" s="5"/>
      <c r="J51" s="4"/>
    </row>
    <row r="52" spans="6:10" x14ac:dyDescent="0.3">
      <c r="F52" s="4"/>
      <c r="G52" s="5"/>
      <c r="H52" s="4"/>
      <c r="I52" s="5"/>
      <c r="J52" s="4"/>
    </row>
    <row r="53" spans="6:10" x14ac:dyDescent="0.3">
      <c r="F53" s="4"/>
      <c r="G53" s="5"/>
      <c r="H53" s="4"/>
      <c r="I53" s="5"/>
      <c r="J53" s="4"/>
    </row>
    <row r="54" spans="6:10" x14ac:dyDescent="0.3">
      <c r="F54" s="4"/>
      <c r="G54" s="5"/>
      <c r="H54" s="4"/>
      <c r="I54" s="5"/>
      <c r="J54" s="4"/>
    </row>
    <row r="55" spans="6:10" x14ac:dyDescent="0.3">
      <c r="F55" s="4"/>
      <c r="G55" s="5"/>
      <c r="H55" s="4"/>
      <c r="I55" s="5"/>
      <c r="J55" s="4"/>
    </row>
    <row r="56" spans="6:10" x14ac:dyDescent="0.3">
      <c r="F56" s="4"/>
      <c r="G56" s="5"/>
      <c r="H56" s="4"/>
      <c r="I56" s="5"/>
      <c r="J56" s="4"/>
    </row>
    <row r="57" spans="6:10" x14ac:dyDescent="0.3">
      <c r="F57" s="4"/>
      <c r="G57" s="5"/>
      <c r="H57" s="4"/>
      <c r="I57" s="5"/>
      <c r="J57" s="4"/>
    </row>
    <row r="58" spans="6:10" x14ac:dyDescent="0.3">
      <c r="F58" s="4"/>
      <c r="G58" s="5"/>
      <c r="H58" s="4"/>
      <c r="I58" s="5"/>
      <c r="J58" s="4"/>
    </row>
    <row r="59" spans="6:10" x14ac:dyDescent="0.3">
      <c r="F59" s="4"/>
      <c r="G59" s="5"/>
      <c r="H59" s="4"/>
      <c r="I59" s="5"/>
      <c r="J59" s="4"/>
    </row>
    <row r="60" spans="6:10" x14ac:dyDescent="0.3">
      <c r="F60" s="4"/>
      <c r="G60" s="5"/>
      <c r="H60" s="4"/>
      <c r="I60" s="5"/>
      <c r="J60" s="4"/>
    </row>
    <row r="61" spans="6:10" x14ac:dyDescent="0.3">
      <c r="F61" s="4"/>
      <c r="G61" s="5"/>
      <c r="H61" s="4"/>
      <c r="I61" s="5"/>
      <c r="J61" s="4"/>
    </row>
    <row r="62" spans="6:10" x14ac:dyDescent="0.3">
      <c r="F62" s="4"/>
      <c r="G62" s="5"/>
      <c r="H62" s="4"/>
      <c r="I62" s="5"/>
      <c r="J62" s="4"/>
    </row>
    <row r="63" spans="6:10" x14ac:dyDescent="0.3">
      <c r="F63" s="4"/>
      <c r="G63" s="5"/>
      <c r="H63" s="4"/>
      <c r="I63" s="5"/>
      <c r="J63" s="4"/>
    </row>
    <row r="64" spans="6:10" x14ac:dyDescent="0.3">
      <c r="F64" s="4"/>
      <c r="G64" s="5"/>
      <c r="H64" s="4"/>
      <c r="I64" s="5"/>
      <c r="J64" s="4"/>
    </row>
    <row r="65" spans="6:10" x14ac:dyDescent="0.3">
      <c r="F65" s="4"/>
      <c r="G65" s="5"/>
      <c r="H65" s="4"/>
      <c r="I65" s="5"/>
      <c r="J65" s="4"/>
    </row>
    <row r="66" spans="6:10" x14ac:dyDescent="0.3">
      <c r="F66" s="4"/>
      <c r="G66" s="5"/>
      <c r="H66" s="4"/>
      <c r="I66" s="5"/>
      <c r="J66" s="4"/>
    </row>
    <row r="67" spans="6:10" x14ac:dyDescent="0.3">
      <c r="F67" s="4"/>
      <c r="G67" s="5"/>
      <c r="H67" s="4"/>
      <c r="I67" s="5"/>
      <c r="J67" s="4"/>
    </row>
    <row r="68" spans="6:10" x14ac:dyDescent="0.3">
      <c r="F68" s="4"/>
      <c r="G68" s="5"/>
      <c r="H68" s="4"/>
      <c r="I68" s="5"/>
      <c r="J68" s="4"/>
    </row>
    <row r="69" spans="6:10" x14ac:dyDescent="0.3">
      <c r="F69" s="4"/>
      <c r="G69" s="5"/>
      <c r="H69" s="4"/>
      <c r="I69" s="5"/>
      <c r="J69" s="4"/>
    </row>
    <row r="70" spans="6:10" x14ac:dyDescent="0.3">
      <c r="F70" s="4"/>
      <c r="G70" s="5"/>
      <c r="H70" s="4"/>
      <c r="I70" s="5"/>
      <c r="J70" s="4"/>
    </row>
    <row r="71" spans="6:10" x14ac:dyDescent="0.3">
      <c r="F71" s="4"/>
      <c r="G71" s="5"/>
      <c r="H71" s="4"/>
      <c r="I71" s="5"/>
      <c r="J71" s="4"/>
    </row>
    <row r="72" spans="6:10" x14ac:dyDescent="0.3">
      <c r="F72" s="4"/>
      <c r="G72" s="5"/>
      <c r="H72" s="4"/>
      <c r="I72" s="5"/>
      <c r="J72" s="4"/>
    </row>
    <row r="73" spans="6:10" x14ac:dyDescent="0.3">
      <c r="F73" s="4"/>
      <c r="G73" s="5"/>
      <c r="H73" s="4"/>
      <c r="I73" s="5"/>
      <c r="J73" s="4"/>
    </row>
    <row r="74" spans="6:10" x14ac:dyDescent="0.3">
      <c r="F74" s="4"/>
      <c r="G74" s="5"/>
      <c r="H74" s="4"/>
      <c r="I74" s="5"/>
      <c r="J74" s="4"/>
    </row>
    <row r="75" spans="6:10" x14ac:dyDescent="0.3">
      <c r="F75" s="4"/>
      <c r="G75" s="5"/>
      <c r="H75" s="4"/>
      <c r="I75" s="5"/>
      <c r="J75" s="4"/>
    </row>
    <row r="76" spans="6:10" x14ac:dyDescent="0.3">
      <c r="F76" s="4"/>
      <c r="G76" s="5"/>
      <c r="H76" s="4"/>
      <c r="I76" s="5"/>
      <c r="J76" s="4"/>
    </row>
    <row r="77" spans="6:10" x14ac:dyDescent="0.3">
      <c r="F77" s="4"/>
      <c r="G77" s="5"/>
      <c r="H77" s="4"/>
      <c r="I77" s="5"/>
      <c r="J77" s="4"/>
    </row>
    <row r="78" spans="6:10" x14ac:dyDescent="0.3">
      <c r="F78" s="4"/>
      <c r="G78" s="5"/>
      <c r="H78" s="4"/>
      <c r="I78" s="5"/>
      <c r="J78" s="4"/>
    </row>
    <row r="79" spans="6:10" x14ac:dyDescent="0.3">
      <c r="F79" s="4"/>
      <c r="G79" s="5"/>
      <c r="H79" s="4"/>
      <c r="I79" s="5"/>
      <c r="J79" s="4"/>
    </row>
    <row r="80" spans="6:10" x14ac:dyDescent="0.3">
      <c r="F80" s="4"/>
      <c r="G80" s="5"/>
      <c r="H80" s="4"/>
      <c r="I80" s="5"/>
      <c r="J80" s="4"/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906C-6955-4F0B-82F6-94283DCCB68A}">
  <dimension ref="A1:K46"/>
  <sheetViews>
    <sheetView zoomScaleNormal="100" workbookViewId="0">
      <selection activeCell="F58" sqref="F58"/>
    </sheetView>
  </sheetViews>
  <sheetFormatPr defaultRowHeight="14" x14ac:dyDescent="0.3"/>
  <cols>
    <col min="1" max="1" width="8.6640625" customWidth="1"/>
    <col min="4" max="4" width="15.58203125" customWidth="1"/>
    <col min="5" max="5" width="8.6640625" style="23" hidden="1" customWidth="1"/>
    <col min="9" max="9" width="22.08203125" customWidth="1"/>
    <col min="10" max="10" width="14.08203125" customWidth="1"/>
  </cols>
  <sheetData>
    <row r="1" spans="1:11" ht="14.5" thickBot="1" x14ac:dyDescent="0.35">
      <c r="A1" s="34" t="s">
        <v>143</v>
      </c>
      <c r="B1" s="34"/>
      <c r="C1" s="34"/>
      <c r="F1" s="34" t="s">
        <v>59</v>
      </c>
      <c r="G1" s="34"/>
    </row>
    <row r="2" spans="1:11" ht="15" thickTop="1" thickBot="1" x14ac:dyDescent="0.35">
      <c r="A2" t="s">
        <v>24</v>
      </c>
      <c r="B2" t="s">
        <v>25</v>
      </c>
      <c r="C2" t="s">
        <v>26</v>
      </c>
      <c r="D2" s="6" t="s">
        <v>92</v>
      </c>
      <c r="E2" s="7" t="s">
        <v>4</v>
      </c>
      <c r="F2" s="34" t="s">
        <v>7</v>
      </c>
      <c r="G2" s="34"/>
    </row>
    <row r="3" spans="1:11" ht="15" thickTop="1" thickBot="1" x14ac:dyDescent="0.35">
      <c r="D3" s="6" t="s">
        <v>91</v>
      </c>
      <c r="E3" s="7">
        <v>16.09</v>
      </c>
      <c r="F3" s="26" t="s">
        <v>43</v>
      </c>
      <c r="G3">
        <v>15.8</v>
      </c>
      <c r="I3" s="1"/>
      <c r="J3" s="1" t="s">
        <v>59</v>
      </c>
      <c r="K3" s="1" t="s">
        <v>143</v>
      </c>
    </row>
    <row r="4" spans="1:11" ht="15" thickTop="1" thickBot="1" x14ac:dyDescent="0.35">
      <c r="A4">
        <v>69</v>
      </c>
      <c r="B4">
        <v>20.04</v>
      </c>
      <c r="C4" s="26" t="s">
        <v>40</v>
      </c>
      <c r="D4" s="6" t="s">
        <v>91</v>
      </c>
      <c r="E4" s="7"/>
      <c r="I4" s="27" t="s">
        <v>139</v>
      </c>
      <c r="J4" s="1">
        <v>16</v>
      </c>
      <c r="K4" s="1">
        <v>22</v>
      </c>
    </row>
    <row r="5" spans="1:11" ht="15" thickTop="1" thickBot="1" x14ac:dyDescent="0.35">
      <c r="C5" s="25"/>
      <c r="D5" s="6" t="s">
        <v>144</v>
      </c>
      <c r="E5" s="7"/>
      <c r="F5" s="25"/>
      <c r="I5" s="28" t="s">
        <v>140</v>
      </c>
      <c r="J5" s="1">
        <v>3</v>
      </c>
      <c r="K5" s="1">
        <v>4</v>
      </c>
    </row>
    <row r="6" spans="1:11" ht="15" thickTop="1" thickBot="1" x14ac:dyDescent="0.35">
      <c r="A6">
        <v>334</v>
      </c>
      <c r="B6">
        <v>98.1</v>
      </c>
      <c r="C6" s="24" t="s">
        <v>35</v>
      </c>
      <c r="D6" s="6" t="s">
        <v>138</v>
      </c>
      <c r="E6" s="7"/>
      <c r="F6" s="25"/>
      <c r="I6" s="29" t="s">
        <v>142</v>
      </c>
      <c r="J6" s="1">
        <v>2</v>
      </c>
      <c r="K6" s="29">
        <v>11</v>
      </c>
    </row>
    <row r="7" spans="1:11" ht="15" thickTop="1" thickBot="1" x14ac:dyDescent="0.35">
      <c r="A7">
        <v>376</v>
      </c>
      <c r="B7">
        <v>110.48</v>
      </c>
      <c r="C7" s="24" t="s">
        <v>35</v>
      </c>
      <c r="D7" s="6" t="s">
        <v>137</v>
      </c>
      <c r="E7" s="7">
        <v>111.13</v>
      </c>
      <c r="F7" s="24" t="s">
        <v>35</v>
      </c>
      <c r="G7">
        <v>111</v>
      </c>
      <c r="I7" s="30" t="s">
        <v>141</v>
      </c>
      <c r="J7" s="1">
        <v>4</v>
      </c>
      <c r="K7" s="1">
        <v>3</v>
      </c>
    </row>
    <row r="8" spans="1:11" ht="15" thickTop="1" thickBot="1" x14ac:dyDescent="0.35">
      <c r="C8" s="25"/>
      <c r="D8" s="6" t="s">
        <v>129</v>
      </c>
      <c r="E8" s="7"/>
      <c r="F8" s="25"/>
    </row>
    <row r="9" spans="1:11" ht="15" thickTop="1" thickBot="1" x14ac:dyDescent="0.35">
      <c r="A9">
        <v>452</v>
      </c>
      <c r="B9">
        <v>132.87</v>
      </c>
      <c r="C9" s="23" t="s">
        <v>36</v>
      </c>
      <c r="D9" s="6" t="s">
        <v>48</v>
      </c>
      <c r="E9" s="7">
        <v>133.55000000000001</v>
      </c>
      <c r="F9" s="23" t="s">
        <v>36</v>
      </c>
      <c r="G9">
        <v>133.51</v>
      </c>
    </row>
    <row r="10" spans="1:11" ht="15" thickTop="1" thickBot="1" x14ac:dyDescent="0.35">
      <c r="A10">
        <v>493</v>
      </c>
      <c r="B10">
        <v>144.94</v>
      </c>
      <c r="C10" s="23" t="s">
        <v>37</v>
      </c>
      <c r="D10" s="6" t="s">
        <v>114</v>
      </c>
      <c r="E10" s="7">
        <v>145.32</v>
      </c>
      <c r="F10" s="23" t="s">
        <v>37</v>
      </c>
      <c r="G10">
        <v>145.44</v>
      </c>
    </row>
    <row r="11" spans="1:11" ht="15" thickTop="1" thickBot="1" x14ac:dyDescent="0.35">
      <c r="A11">
        <v>1411</v>
      </c>
      <c r="B11">
        <v>415.38</v>
      </c>
      <c r="C11" s="26" t="s">
        <v>38</v>
      </c>
      <c r="D11" s="6" t="s">
        <v>91</v>
      </c>
      <c r="E11" s="7"/>
    </row>
    <row r="12" spans="1:11" ht="15" thickTop="1" thickBot="1" x14ac:dyDescent="0.35">
      <c r="C12" s="25"/>
      <c r="D12" s="6" t="s">
        <v>49</v>
      </c>
      <c r="E12" s="7">
        <v>427.89</v>
      </c>
      <c r="F12" s="23" t="s">
        <v>10</v>
      </c>
      <c r="G12">
        <v>427.88</v>
      </c>
    </row>
    <row r="13" spans="1:11" ht="15" thickTop="1" thickBot="1" x14ac:dyDescent="0.35">
      <c r="A13">
        <v>1531</v>
      </c>
      <c r="B13">
        <v>450.73</v>
      </c>
      <c r="C13" s="26" t="s">
        <v>42</v>
      </c>
      <c r="D13" s="6" t="s">
        <v>91</v>
      </c>
      <c r="E13" s="7"/>
    </row>
    <row r="14" spans="1:11" ht="15" thickTop="1" thickBot="1" x14ac:dyDescent="0.35">
      <c r="A14">
        <v>1687</v>
      </c>
      <c r="B14">
        <v>496.69</v>
      </c>
      <c r="C14" s="23" t="s">
        <v>40</v>
      </c>
      <c r="D14" s="6" t="s">
        <v>50</v>
      </c>
      <c r="E14" s="7">
        <v>497.13</v>
      </c>
      <c r="F14" s="24" t="s">
        <v>11</v>
      </c>
      <c r="G14">
        <v>497.1</v>
      </c>
    </row>
    <row r="15" spans="1:11" ht="15" thickTop="1" thickBot="1" x14ac:dyDescent="0.35">
      <c r="A15">
        <v>1738</v>
      </c>
      <c r="B15">
        <v>511.71</v>
      </c>
      <c r="C15" s="23" t="s">
        <v>12</v>
      </c>
      <c r="D15" s="6" t="s">
        <v>51</v>
      </c>
      <c r="E15" s="7">
        <v>511.9</v>
      </c>
      <c r="F15" s="23" t="s">
        <v>12</v>
      </c>
      <c r="G15">
        <v>511.86</v>
      </c>
    </row>
    <row r="16" spans="1:11" ht="15" thickTop="1" thickBot="1" x14ac:dyDescent="0.35">
      <c r="A16">
        <v>1868</v>
      </c>
      <c r="B16">
        <v>550.01</v>
      </c>
      <c r="C16" s="26" t="s">
        <v>9</v>
      </c>
      <c r="D16" s="6" t="s">
        <v>91</v>
      </c>
      <c r="E16" s="7"/>
    </row>
    <row r="17" spans="1:7" ht="15" thickTop="1" thickBot="1" x14ac:dyDescent="0.35">
      <c r="A17">
        <v>1910</v>
      </c>
      <c r="B17">
        <v>562.38</v>
      </c>
      <c r="C17" s="24" t="s">
        <v>8</v>
      </c>
      <c r="D17" s="6" t="s">
        <v>52</v>
      </c>
      <c r="E17" s="7"/>
    </row>
    <row r="18" spans="1:7" ht="15" thickTop="1" thickBot="1" x14ac:dyDescent="0.35">
      <c r="A18">
        <v>1925</v>
      </c>
      <c r="B18">
        <v>566.79999999999995</v>
      </c>
      <c r="C18" s="26" t="s">
        <v>13</v>
      </c>
      <c r="D18" s="6" t="s">
        <v>91</v>
      </c>
      <c r="E18" s="7"/>
    </row>
    <row r="19" spans="1:7" ht="15" thickTop="1" thickBot="1" x14ac:dyDescent="0.35">
      <c r="A19">
        <v>2040</v>
      </c>
      <c r="B19">
        <v>600.67999999999995</v>
      </c>
      <c r="C19" s="23" t="s">
        <v>10</v>
      </c>
      <c r="D19" s="6" t="s">
        <v>49</v>
      </c>
      <c r="E19" s="7"/>
    </row>
    <row r="20" spans="1:7" ht="15" thickTop="1" thickBot="1" x14ac:dyDescent="0.35">
      <c r="A20">
        <v>2053</v>
      </c>
      <c r="B20">
        <v>604.51</v>
      </c>
      <c r="C20" s="23" t="s">
        <v>13</v>
      </c>
      <c r="D20" s="6" t="s">
        <v>52</v>
      </c>
      <c r="E20" s="7">
        <v>604.73</v>
      </c>
      <c r="F20" s="23" t="s">
        <v>13</v>
      </c>
      <c r="G20">
        <v>604.72</v>
      </c>
    </row>
    <row r="21" spans="1:7" ht="15" thickTop="1" thickBot="1" x14ac:dyDescent="0.35">
      <c r="A21">
        <v>2071</v>
      </c>
      <c r="B21">
        <v>609.80999999999995</v>
      </c>
      <c r="C21" s="23" t="s">
        <v>40</v>
      </c>
      <c r="D21" s="6" t="s">
        <v>50</v>
      </c>
      <c r="E21" s="7"/>
    </row>
    <row r="22" spans="1:7" ht="15" thickTop="1" thickBot="1" x14ac:dyDescent="0.35">
      <c r="A22">
        <v>2091</v>
      </c>
      <c r="B22">
        <v>615.70000000000005</v>
      </c>
      <c r="C22" s="23" t="s">
        <v>12</v>
      </c>
      <c r="D22" s="6" t="s">
        <v>51</v>
      </c>
      <c r="E22" s="7"/>
    </row>
    <row r="23" spans="1:7" ht="15" thickTop="1" thickBot="1" x14ac:dyDescent="0.35">
      <c r="A23">
        <v>2112</v>
      </c>
      <c r="B23">
        <v>621.89</v>
      </c>
      <c r="C23" s="23" t="s">
        <v>12</v>
      </c>
      <c r="D23" s="6" t="s">
        <v>51</v>
      </c>
      <c r="E23" s="7">
        <v>622.02</v>
      </c>
      <c r="F23" s="23" t="s">
        <v>12</v>
      </c>
      <c r="G23">
        <v>621.92999999999995</v>
      </c>
    </row>
    <row r="24" spans="1:7" ht="15" thickTop="1" thickBot="1" x14ac:dyDescent="0.35">
      <c r="A24">
        <v>2214</v>
      </c>
      <c r="B24">
        <v>651.94000000000005</v>
      </c>
      <c r="C24" s="26" t="s">
        <v>41</v>
      </c>
      <c r="D24" s="6" t="s">
        <v>91</v>
      </c>
      <c r="E24" s="7"/>
    </row>
    <row r="25" spans="1:7" ht="15" thickTop="1" thickBot="1" x14ac:dyDescent="0.35">
      <c r="A25">
        <v>2246</v>
      </c>
      <c r="B25">
        <v>661.37</v>
      </c>
      <c r="C25" s="23" t="s">
        <v>14</v>
      </c>
      <c r="D25" s="6" t="s">
        <v>53</v>
      </c>
      <c r="E25" s="7">
        <v>661.61</v>
      </c>
      <c r="F25" s="23" t="s">
        <v>14</v>
      </c>
      <c r="G25">
        <v>661.66</v>
      </c>
    </row>
    <row r="26" spans="1:7" ht="15" thickTop="1" thickBot="1" x14ac:dyDescent="0.35">
      <c r="A26">
        <v>2364</v>
      </c>
      <c r="B26">
        <v>696.13</v>
      </c>
      <c r="C26" s="23" t="s">
        <v>21</v>
      </c>
      <c r="D26" s="6" t="s">
        <v>54</v>
      </c>
      <c r="E26" s="7">
        <v>696.45</v>
      </c>
      <c r="F26" s="23" t="s">
        <v>21</v>
      </c>
      <c r="G26">
        <v>696.51</v>
      </c>
    </row>
    <row r="27" spans="1:7" ht="15" thickTop="1" thickBot="1" x14ac:dyDescent="0.35">
      <c r="A27">
        <v>2436</v>
      </c>
      <c r="B27">
        <v>717.34</v>
      </c>
      <c r="C27" s="26" t="s">
        <v>38</v>
      </c>
      <c r="D27" s="6" t="s">
        <v>91</v>
      </c>
      <c r="E27" s="7"/>
    </row>
    <row r="28" spans="1:7" ht="15" thickTop="1" thickBot="1" x14ac:dyDescent="0.35">
      <c r="A28">
        <v>2458</v>
      </c>
      <c r="B28">
        <v>723.82</v>
      </c>
      <c r="C28" s="23" t="s">
        <v>16</v>
      </c>
      <c r="D28" s="6" t="s">
        <v>55</v>
      </c>
      <c r="E28" s="7">
        <v>724.12</v>
      </c>
      <c r="F28" s="23" t="s">
        <v>16</v>
      </c>
      <c r="G28">
        <v>724.2</v>
      </c>
    </row>
    <row r="29" spans="1:7" ht="15" thickTop="1" thickBot="1" x14ac:dyDescent="0.35">
      <c r="A29">
        <v>2552</v>
      </c>
      <c r="B29">
        <v>751.51</v>
      </c>
      <c r="C29" s="26" t="s">
        <v>39</v>
      </c>
      <c r="D29" s="6" t="s">
        <v>91</v>
      </c>
      <c r="E29" s="7"/>
    </row>
    <row r="30" spans="1:7" ht="15" thickTop="1" thickBot="1" x14ac:dyDescent="0.35">
      <c r="A30">
        <v>2569</v>
      </c>
      <c r="B30">
        <v>756.52</v>
      </c>
      <c r="C30" s="23" t="s">
        <v>16</v>
      </c>
      <c r="D30" s="6" t="s">
        <v>55</v>
      </c>
      <c r="E30" s="7">
        <v>756.64</v>
      </c>
      <c r="F30" s="23" t="s">
        <v>16</v>
      </c>
      <c r="G30">
        <v>756.73</v>
      </c>
    </row>
    <row r="31" spans="1:7" ht="15" thickTop="1" thickBot="1" x14ac:dyDescent="0.35">
      <c r="A31">
        <v>2600</v>
      </c>
      <c r="B31">
        <v>765.65</v>
      </c>
      <c r="C31" s="23" t="s">
        <v>8</v>
      </c>
      <c r="D31" s="6" t="s">
        <v>56</v>
      </c>
      <c r="E31" s="7">
        <v>765.71</v>
      </c>
      <c r="F31" s="23" t="s">
        <v>8</v>
      </c>
      <c r="G31">
        <v>765.81</v>
      </c>
    </row>
    <row r="32" spans="1:7" ht="15" thickTop="1" thickBot="1" x14ac:dyDescent="0.35">
      <c r="A32">
        <v>2702</v>
      </c>
      <c r="B32">
        <v>795.7</v>
      </c>
      <c r="C32" s="23" t="s">
        <v>13</v>
      </c>
      <c r="D32" s="6" t="s">
        <v>52</v>
      </c>
      <c r="E32" s="7">
        <v>795.81</v>
      </c>
      <c r="F32" s="23" t="s">
        <v>13</v>
      </c>
      <c r="G32">
        <v>795.86</v>
      </c>
    </row>
    <row r="33" spans="1:7" ht="15" thickTop="1" thickBot="1" x14ac:dyDescent="0.35">
      <c r="A33">
        <v>2723</v>
      </c>
      <c r="B33">
        <v>801.89</v>
      </c>
      <c r="C33" s="23" t="s">
        <v>13</v>
      </c>
      <c r="D33" s="6" t="s">
        <v>52</v>
      </c>
      <c r="E33" s="7"/>
    </row>
    <row r="34" spans="1:7" ht="15" thickTop="1" thickBot="1" x14ac:dyDescent="0.35">
      <c r="A34">
        <v>2966</v>
      </c>
      <c r="B34">
        <v>873.47</v>
      </c>
      <c r="C34" s="23" t="s">
        <v>12</v>
      </c>
      <c r="D34" s="6" t="s">
        <v>51</v>
      </c>
      <c r="E34" s="7"/>
    </row>
    <row r="35" spans="1:7" ht="15" thickTop="1" thickBot="1" x14ac:dyDescent="0.35">
      <c r="D35" s="6" t="s">
        <v>91</v>
      </c>
      <c r="E35" s="7">
        <v>1000.41</v>
      </c>
      <c r="F35" s="26" t="s">
        <v>17</v>
      </c>
      <c r="G35">
        <v>1001.1</v>
      </c>
    </row>
    <row r="36" spans="1:7" ht="15" thickTop="1" thickBot="1" x14ac:dyDescent="0.35">
      <c r="A36">
        <v>3567</v>
      </c>
      <c r="B36">
        <v>1050.52</v>
      </c>
      <c r="C36" s="23" t="s">
        <v>12</v>
      </c>
      <c r="D36" s="6" t="s">
        <v>51</v>
      </c>
      <c r="E36" s="7">
        <v>1050.25</v>
      </c>
      <c r="F36" s="23" t="s">
        <v>12</v>
      </c>
      <c r="G36">
        <v>1050.4100000000001</v>
      </c>
    </row>
    <row r="37" spans="1:7" ht="15" thickTop="1" thickBot="1" x14ac:dyDescent="0.35">
      <c r="A37">
        <v>3828</v>
      </c>
      <c r="B37">
        <v>1127.4100000000001</v>
      </c>
      <c r="C37" s="23" t="s">
        <v>12</v>
      </c>
      <c r="D37" s="6" t="s">
        <v>51</v>
      </c>
      <c r="E37" s="7"/>
      <c r="F37" s="25"/>
    </row>
    <row r="38" spans="1:7" ht="15" thickTop="1" thickBot="1" x14ac:dyDescent="0.35">
      <c r="A38">
        <v>3962</v>
      </c>
      <c r="B38">
        <v>1166.8900000000001</v>
      </c>
      <c r="C38" s="26" t="s">
        <v>13</v>
      </c>
      <c r="D38" s="6" t="s">
        <v>91</v>
      </c>
      <c r="E38" s="7"/>
    </row>
    <row r="39" spans="1:7" ht="15" thickTop="1" thickBot="1" x14ac:dyDescent="0.35">
      <c r="D39" s="6" t="s">
        <v>57</v>
      </c>
      <c r="E39" s="7">
        <v>1204.58</v>
      </c>
      <c r="F39" s="23" t="s">
        <v>44</v>
      </c>
      <c r="G39">
        <v>1204.67</v>
      </c>
    </row>
    <row r="40" spans="1:7" ht="15" thickTop="1" thickBot="1" x14ac:dyDescent="0.35">
      <c r="A40">
        <v>4191</v>
      </c>
      <c r="B40">
        <v>1234.3499999999999</v>
      </c>
      <c r="C40" s="26" t="s">
        <v>18</v>
      </c>
      <c r="D40" s="6" t="s">
        <v>91</v>
      </c>
      <c r="E40" s="7"/>
    </row>
    <row r="41" spans="1:7" ht="15" thickTop="1" thickBot="1" x14ac:dyDescent="0.35">
      <c r="A41">
        <v>4223</v>
      </c>
      <c r="B41">
        <v>1243.78</v>
      </c>
      <c r="C41" s="26" t="s">
        <v>15</v>
      </c>
      <c r="D41" s="6" t="s">
        <v>91</v>
      </c>
      <c r="E41" s="7"/>
    </row>
    <row r="42" spans="1:7" ht="15" thickTop="1" thickBot="1" x14ac:dyDescent="0.35">
      <c r="A42">
        <v>4961</v>
      </c>
      <c r="B42">
        <v>1461.18</v>
      </c>
      <c r="C42" s="24" t="s">
        <v>19</v>
      </c>
      <c r="D42" s="6" t="s">
        <v>58</v>
      </c>
      <c r="E42" s="7">
        <v>1460.94</v>
      </c>
      <c r="F42" s="23" t="s">
        <v>45</v>
      </c>
      <c r="G42">
        <v>1461</v>
      </c>
    </row>
    <row r="43" spans="1:7" ht="15" thickTop="1" thickBot="1" x14ac:dyDescent="0.35">
      <c r="A43">
        <v>5056</v>
      </c>
      <c r="B43">
        <v>1489.17</v>
      </c>
      <c r="C43" s="23" t="s">
        <v>21</v>
      </c>
      <c r="D43" s="6" t="s">
        <v>54</v>
      </c>
      <c r="E43" s="7">
        <v>1488.88</v>
      </c>
      <c r="F43" s="24" t="s">
        <v>20</v>
      </c>
      <c r="G43">
        <v>1488.89</v>
      </c>
    </row>
    <row r="44" spans="1:7" ht="15" thickTop="1" thickBot="1" x14ac:dyDescent="0.35">
      <c r="A44">
        <v>5307</v>
      </c>
      <c r="B44">
        <v>1563.11</v>
      </c>
      <c r="C44" s="23" t="s">
        <v>12</v>
      </c>
      <c r="D44" s="6" t="s">
        <v>51</v>
      </c>
      <c r="E44" s="7"/>
      <c r="F44" s="25"/>
    </row>
    <row r="45" spans="1:7" ht="15" thickTop="1" thickBot="1" x14ac:dyDescent="0.35">
      <c r="A45">
        <v>7422</v>
      </c>
      <c r="B45">
        <v>2186.1799999999998</v>
      </c>
      <c r="C45" s="23" t="s">
        <v>21</v>
      </c>
      <c r="D45" s="6" t="s">
        <v>54</v>
      </c>
      <c r="E45" s="7">
        <v>2185.27</v>
      </c>
      <c r="F45" s="23" t="s">
        <v>21</v>
      </c>
      <c r="G45">
        <v>2185.66</v>
      </c>
    </row>
    <row r="46" spans="1:7" ht="14.5" thickTop="1" x14ac:dyDescent="0.3"/>
  </sheetData>
  <mergeCells count="3">
    <mergeCell ref="F2:G2"/>
    <mergeCell ref="A1:C1"/>
    <mergeCell ref="F1:G1"/>
  </mergeCells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A505-7A85-45E3-B75E-03E1B1414978}">
  <dimension ref="A1:F23"/>
  <sheetViews>
    <sheetView workbookViewId="0">
      <selection activeCell="E60" sqref="E60"/>
    </sheetView>
  </sheetViews>
  <sheetFormatPr defaultRowHeight="14" x14ac:dyDescent="0.3"/>
  <cols>
    <col min="3" max="3" width="16.1640625" customWidth="1"/>
    <col min="6" max="6" width="56.25" customWidth="1"/>
  </cols>
  <sheetData>
    <row r="1" spans="1:6" x14ac:dyDescent="0.3">
      <c r="A1" s="35" t="s">
        <v>93</v>
      </c>
      <c r="B1" s="35"/>
      <c r="C1" s="35"/>
      <c r="D1" s="35"/>
      <c r="E1" s="35"/>
      <c r="F1" s="35"/>
    </row>
    <row r="2" spans="1:6" x14ac:dyDescent="0.3">
      <c r="A2" s="21" t="s">
        <v>94</v>
      </c>
      <c r="B2" s="22" t="s">
        <v>95</v>
      </c>
      <c r="C2" s="22" t="s">
        <v>96</v>
      </c>
      <c r="D2" s="22" t="s">
        <v>97</v>
      </c>
      <c r="E2" s="22" t="s">
        <v>98</v>
      </c>
      <c r="F2" s="22" t="s">
        <v>99</v>
      </c>
    </row>
    <row r="3" spans="1:6" x14ac:dyDescent="0.3">
      <c r="A3" s="35">
        <v>1</v>
      </c>
      <c r="B3" s="36">
        <v>2181.56</v>
      </c>
      <c r="C3" s="37" t="s">
        <v>87</v>
      </c>
      <c r="D3" s="22" t="s">
        <v>100</v>
      </c>
      <c r="E3" s="22">
        <v>2167</v>
      </c>
      <c r="F3" s="22" t="s">
        <v>101</v>
      </c>
    </row>
    <row r="4" spans="1:6" ht="28" x14ac:dyDescent="0.3">
      <c r="A4" s="35"/>
      <c r="B4" s="36"/>
      <c r="C4" s="37"/>
      <c r="D4" s="22" t="s">
        <v>87</v>
      </c>
      <c r="E4" s="22">
        <v>2185.66</v>
      </c>
      <c r="F4" s="22" t="s">
        <v>102</v>
      </c>
    </row>
    <row r="5" spans="1:6" x14ac:dyDescent="0.3">
      <c r="A5" s="35"/>
      <c r="B5" s="36"/>
      <c r="C5" s="37"/>
      <c r="D5" s="22" t="s">
        <v>103</v>
      </c>
      <c r="E5" s="22">
        <v>2195.84</v>
      </c>
      <c r="F5" s="22" t="s">
        <v>104</v>
      </c>
    </row>
    <row r="6" spans="1:6" x14ac:dyDescent="0.3">
      <c r="A6" s="35" t="s">
        <v>105</v>
      </c>
      <c r="B6" s="35"/>
      <c r="C6" s="35"/>
      <c r="D6" s="35"/>
      <c r="E6" s="35"/>
      <c r="F6" s="35"/>
    </row>
    <row r="7" spans="1:6" x14ac:dyDescent="0.3">
      <c r="A7" s="35">
        <v>1</v>
      </c>
      <c r="B7" s="35">
        <v>114.62</v>
      </c>
      <c r="C7" s="35" t="s">
        <v>136</v>
      </c>
      <c r="D7" s="21" t="s">
        <v>50</v>
      </c>
      <c r="E7" s="21">
        <v>114.97</v>
      </c>
      <c r="F7" s="21" t="s">
        <v>123</v>
      </c>
    </row>
    <row r="8" spans="1:6" x14ac:dyDescent="0.3">
      <c r="A8" s="35"/>
      <c r="B8" s="35"/>
      <c r="C8" s="35"/>
      <c r="D8" s="21" t="s">
        <v>115</v>
      </c>
      <c r="E8" s="21">
        <v>115.18</v>
      </c>
      <c r="F8" s="21" t="s">
        <v>120</v>
      </c>
    </row>
    <row r="9" spans="1:6" x14ac:dyDescent="0.3">
      <c r="A9" s="35"/>
      <c r="B9" s="35"/>
      <c r="C9" s="35"/>
      <c r="D9" s="21" t="s">
        <v>116</v>
      </c>
      <c r="E9" s="21">
        <v>116.3</v>
      </c>
      <c r="F9" s="21" t="s">
        <v>124</v>
      </c>
    </row>
    <row r="10" spans="1:6" x14ac:dyDescent="0.3">
      <c r="A10" s="35"/>
      <c r="B10" s="35"/>
      <c r="C10" s="35"/>
      <c r="D10" s="21" t="s">
        <v>117</v>
      </c>
      <c r="E10" s="21">
        <v>114</v>
      </c>
      <c r="F10" s="21" t="s">
        <v>128</v>
      </c>
    </row>
    <row r="11" spans="1:6" x14ac:dyDescent="0.3">
      <c r="A11" s="35"/>
      <c r="B11" s="35"/>
      <c r="C11" s="35"/>
      <c r="D11" s="21" t="s">
        <v>107</v>
      </c>
      <c r="E11" s="21">
        <v>113.81</v>
      </c>
      <c r="F11" s="21" t="s">
        <v>121</v>
      </c>
    </row>
    <row r="12" spans="1:6" x14ac:dyDescent="0.3">
      <c r="A12" s="35"/>
      <c r="B12" s="35"/>
      <c r="C12" s="35"/>
      <c r="D12" s="21" t="s">
        <v>118</v>
      </c>
      <c r="E12" s="21">
        <v>113.67</v>
      </c>
      <c r="F12" s="21" t="s">
        <v>122</v>
      </c>
    </row>
    <row r="13" spans="1:6" x14ac:dyDescent="0.3">
      <c r="A13" s="35"/>
      <c r="B13" s="35"/>
      <c r="C13" s="35"/>
      <c r="D13" s="21" t="s">
        <v>119</v>
      </c>
      <c r="E13" s="21">
        <v>113.51</v>
      </c>
      <c r="F13" s="21" t="s">
        <v>127</v>
      </c>
    </row>
    <row r="14" spans="1:6" x14ac:dyDescent="0.3">
      <c r="A14" s="35"/>
      <c r="B14" s="35"/>
      <c r="C14" s="35"/>
      <c r="D14" s="21" t="s">
        <v>125</v>
      </c>
      <c r="E14" s="21">
        <v>117</v>
      </c>
      <c r="F14" s="21" t="s">
        <v>126</v>
      </c>
    </row>
    <row r="15" spans="1:6" x14ac:dyDescent="0.3">
      <c r="A15" s="35">
        <v>2</v>
      </c>
      <c r="B15" s="35">
        <v>145.36000000000001</v>
      </c>
      <c r="C15" s="35" t="s">
        <v>114</v>
      </c>
      <c r="D15" s="21" t="s">
        <v>106</v>
      </c>
      <c r="E15" s="21">
        <v>143.76</v>
      </c>
      <c r="F15" s="21" t="s">
        <v>113</v>
      </c>
    </row>
    <row r="16" spans="1:6" x14ac:dyDescent="0.3">
      <c r="A16" s="35"/>
      <c r="B16" s="35"/>
      <c r="C16" s="35"/>
      <c r="D16" s="21" t="s">
        <v>107</v>
      </c>
      <c r="E16" s="21">
        <v>144.86000000000001</v>
      </c>
      <c r="F16" s="21" t="s">
        <v>110</v>
      </c>
    </row>
    <row r="17" spans="1:6" x14ac:dyDescent="0.3">
      <c r="A17" s="35"/>
      <c r="B17" s="35"/>
      <c r="C17" s="35"/>
      <c r="D17" s="21" t="s">
        <v>37</v>
      </c>
      <c r="E17" s="21">
        <v>145.44</v>
      </c>
      <c r="F17" s="21"/>
    </row>
    <row r="18" spans="1:6" x14ac:dyDescent="0.3">
      <c r="A18" s="35"/>
      <c r="B18" s="35"/>
      <c r="C18" s="35"/>
      <c r="D18" s="21" t="s">
        <v>108</v>
      </c>
      <c r="E18" s="21">
        <v>146.06</v>
      </c>
      <c r="F18" s="21" t="s">
        <v>111</v>
      </c>
    </row>
    <row r="19" spans="1:6" x14ac:dyDescent="0.3">
      <c r="A19" s="35"/>
      <c r="B19" s="35"/>
      <c r="C19" s="35"/>
      <c r="D19" s="21" t="s">
        <v>109</v>
      </c>
      <c r="E19" s="21">
        <v>149.72</v>
      </c>
      <c r="F19" s="21" t="s">
        <v>112</v>
      </c>
    </row>
    <row r="20" spans="1:6" x14ac:dyDescent="0.3">
      <c r="A20" s="35">
        <v>3</v>
      </c>
      <c r="B20" s="35">
        <v>1563.11</v>
      </c>
      <c r="C20" s="35" t="s">
        <v>51</v>
      </c>
      <c r="D20" s="21" t="s">
        <v>54</v>
      </c>
      <c r="E20" s="21">
        <v>1560.97</v>
      </c>
      <c r="F20" s="21" t="s">
        <v>135</v>
      </c>
    </row>
    <row r="21" spans="1:6" x14ac:dyDescent="0.3">
      <c r="A21" s="35"/>
      <c r="B21" s="35"/>
      <c r="C21" s="35"/>
      <c r="D21" s="21" t="s">
        <v>51</v>
      </c>
      <c r="E21" s="21">
        <v>1562.25</v>
      </c>
      <c r="F21" s="21" t="s">
        <v>134</v>
      </c>
    </row>
    <row r="22" spans="1:6" x14ac:dyDescent="0.3">
      <c r="A22" s="35"/>
      <c r="B22" s="35"/>
      <c r="C22" s="35"/>
      <c r="D22" s="21" t="s">
        <v>130</v>
      </c>
      <c r="E22" s="21">
        <v>1562.3</v>
      </c>
      <c r="F22" s="21" t="s">
        <v>133</v>
      </c>
    </row>
    <row r="23" spans="1:6" x14ac:dyDescent="0.3">
      <c r="A23" s="35"/>
      <c r="B23" s="35"/>
      <c r="C23" s="35"/>
      <c r="D23" s="21" t="s">
        <v>131</v>
      </c>
      <c r="E23" s="21">
        <v>1566.3</v>
      </c>
      <c r="F23" s="21" t="s">
        <v>132</v>
      </c>
    </row>
  </sheetData>
  <mergeCells count="14">
    <mergeCell ref="A7:A14"/>
    <mergeCell ref="B7:B14"/>
    <mergeCell ref="C7:C14"/>
    <mergeCell ref="A1:F1"/>
    <mergeCell ref="A3:A5"/>
    <mergeCell ref="B3:B5"/>
    <mergeCell ref="C3:C5"/>
    <mergeCell ref="A6:F6"/>
    <mergeCell ref="A15:A19"/>
    <mergeCell ref="B15:B19"/>
    <mergeCell ref="C15:C19"/>
    <mergeCell ref="A20:A23"/>
    <mergeCell ref="C20:C23"/>
    <mergeCell ref="B20:B23"/>
  </mergeCells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F1FC-23AD-4EE6-BD0B-555FCDF3D97A}">
  <dimension ref="A1:AD34"/>
  <sheetViews>
    <sheetView tabSelected="1" topLeftCell="E1" zoomScale="130" zoomScaleNormal="130" workbookViewId="0">
      <selection activeCell="T32" sqref="T32"/>
    </sheetView>
  </sheetViews>
  <sheetFormatPr defaultRowHeight="14" x14ac:dyDescent="0.3"/>
  <cols>
    <col min="2" max="5" width="9.08203125" customWidth="1"/>
    <col min="6" max="6" width="10.75" customWidth="1"/>
    <col min="7" max="7" width="13.1640625" customWidth="1"/>
    <col min="8" max="10" width="11.4140625" customWidth="1"/>
    <col min="11" max="11" width="7.58203125" bestFit="1" customWidth="1"/>
    <col min="12" max="13" width="7.58203125" customWidth="1"/>
    <col min="14" max="15" width="7.58203125" hidden="1" customWidth="1"/>
    <col min="16" max="16" width="11.83203125" customWidth="1"/>
    <col min="17" max="17" width="9.08203125" customWidth="1"/>
    <col min="18" max="18" width="9.1640625" customWidth="1"/>
    <col min="19" max="21" width="9.83203125" customWidth="1"/>
    <col min="22" max="23" width="10.6640625" customWidth="1"/>
    <col min="24" max="24" width="14.58203125" customWidth="1"/>
    <col min="25" max="25" width="13.75" customWidth="1"/>
    <col min="27" max="27" width="12.4140625" customWidth="1"/>
    <col min="28" max="28" width="15.83203125" customWidth="1"/>
    <col min="29" max="29" width="13" customWidth="1"/>
  </cols>
  <sheetData>
    <row r="1" spans="1:30" x14ac:dyDescent="0.3">
      <c r="A1" s="8"/>
      <c r="B1" s="8"/>
      <c r="C1" s="8"/>
      <c r="D1" s="8"/>
      <c r="E1" s="9"/>
      <c r="F1" s="8"/>
      <c r="G1" s="8"/>
      <c r="H1" s="10"/>
      <c r="I1" s="10"/>
      <c r="J1" s="10"/>
      <c r="K1" s="32" t="s">
        <v>59</v>
      </c>
      <c r="L1" s="48"/>
      <c r="M1" s="33"/>
      <c r="N1" s="32" t="s">
        <v>60</v>
      </c>
      <c r="O1" s="33"/>
      <c r="P1" s="32" t="s">
        <v>61</v>
      </c>
      <c r="Q1" s="33"/>
      <c r="R1" s="32" t="s">
        <v>63</v>
      </c>
      <c r="S1" s="48"/>
      <c r="T1" s="32" t="s">
        <v>64</v>
      </c>
      <c r="U1" s="48"/>
      <c r="V1" s="48"/>
      <c r="W1" s="48"/>
      <c r="X1" s="48"/>
      <c r="Y1" s="33"/>
      <c r="Z1" s="3"/>
    </row>
    <row r="2" spans="1:30" x14ac:dyDescent="0.3">
      <c r="A2" s="8" t="s">
        <v>65</v>
      </c>
      <c r="B2" s="11" t="s">
        <v>66</v>
      </c>
      <c r="C2" s="11" t="s">
        <v>67</v>
      </c>
      <c r="D2" s="11" t="s">
        <v>68</v>
      </c>
      <c r="E2" s="9" t="s">
        <v>69</v>
      </c>
      <c r="F2" s="8" t="s">
        <v>70</v>
      </c>
      <c r="G2" s="11" t="s">
        <v>71</v>
      </c>
      <c r="H2" s="11" t="s">
        <v>72</v>
      </c>
      <c r="I2" s="11" t="s">
        <v>73</v>
      </c>
      <c r="J2" s="11" t="s">
        <v>74</v>
      </c>
      <c r="K2" s="2" t="s">
        <v>75</v>
      </c>
      <c r="L2" s="2" t="s">
        <v>76</v>
      </c>
      <c r="M2" s="2" t="s">
        <v>77</v>
      </c>
      <c r="N2" s="2" t="s">
        <v>75</v>
      </c>
      <c r="O2" s="2" t="s">
        <v>77</v>
      </c>
      <c r="P2" s="2" t="s">
        <v>75</v>
      </c>
      <c r="Q2" s="2" t="s">
        <v>77</v>
      </c>
      <c r="R2" s="2" t="s">
        <v>75</v>
      </c>
      <c r="S2" s="2" t="s">
        <v>78</v>
      </c>
      <c r="T2" s="2" t="s">
        <v>79</v>
      </c>
      <c r="U2" s="2" t="s">
        <v>76</v>
      </c>
      <c r="V2" s="2" t="s">
        <v>80</v>
      </c>
      <c r="W2" s="2" t="s">
        <v>76</v>
      </c>
      <c r="X2" s="2" t="s">
        <v>62</v>
      </c>
      <c r="Y2" s="2" t="s">
        <v>76</v>
      </c>
      <c r="Z2" s="2" t="s">
        <v>81</v>
      </c>
    </row>
    <row r="3" spans="1:30" x14ac:dyDescent="0.3">
      <c r="A3" s="38" t="s">
        <v>82</v>
      </c>
      <c r="B3" s="11">
        <v>801.58</v>
      </c>
      <c r="C3" s="11">
        <f>LN(B3)</f>
        <v>6.6865847799195413</v>
      </c>
      <c r="D3" s="11">
        <v>2724</v>
      </c>
      <c r="E3" s="12">
        <v>2.0651999999999999</v>
      </c>
      <c r="F3" s="11">
        <f t="shared" ref="F3:F30" si="0">LN(2)/E3/365.25/24/3600</f>
        <v>1.0635535892712632E-8</v>
      </c>
      <c r="G3" s="13">
        <v>8.6999999999999994E-2</v>
      </c>
      <c r="H3" s="12">
        <f>EXP(-0.1335*C3^3+2.61*C3^2-17.13*C3+19.97)</f>
        <v>1.8823311363538639E-8</v>
      </c>
      <c r="I3" s="13">
        <f>3%</f>
        <v>0.03</v>
      </c>
      <c r="J3" s="14">
        <f>0.1101*LN(B3)-0.0091</f>
        <v>0.72709298426914148</v>
      </c>
      <c r="K3" s="2">
        <v>243</v>
      </c>
      <c r="L3" s="2">
        <v>28</v>
      </c>
      <c r="M3" s="15">
        <f t="shared" ref="M3:M5" si="1">L3/K3</f>
        <v>0.11522633744855967</v>
      </c>
      <c r="N3" s="2"/>
      <c r="O3" s="15"/>
      <c r="P3" s="16">
        <v>202.8</v>
      </c>
      <c r="Q3" s="15">
        <v>0.15409999999999999</v>
      </c>
      <c r="R3" s="17">
        <v>264.7</v>
      </c>
      <c r="S3" s="18">
        <v>0.98650000000000004</v>
      </c>
      <c r="T3" s="16">
        <f>(K3/M3^2+P3/Q3^2)/(1/M3^2+1/Q3^2)</f>
        <v>228.58392001340471</v>
      </c>
      <c r="U3" s="15">
        <f>SQRT(1/(1/M3^2+1/Q3^2))</f>
        <v>9.228119372917544E-2</v>
      </c>
      <c r="V3" s="16">
        <f>T3/G3/H3/1800</f>
        <v>77545730.65519242</v>
      </c>
      <c r="W3" s="15">
        <f>SQRT(U3^2+I4^2)</f>
        <v>9.7035141655390025E-2</v>
      </c>
      <c r="X3" s="41">
        <f>V4/F4</f>
        <v>6224874016029877</v>
      </c>
      <c r="Y3" s="44"/>
      <c r="Z3" s="41"/>
      <c r="AA3" s="47"/>
      <c r="AB3" s="47"/>
      <c r="AC3" s="47"/>
    </row>
    <row r="4" spans="1:30" x14ac:dyDescent="0.3">
      <c r="A4" s="39"/>
      <c r="B4" s="11">
        <v>795.86</v>
      </c>
      <c r="C4" s="11">
        <f t="shared" ref="C4:C30" si="2">LN(B4)</f>
        <v>6.6794232909788036</v>
      </c>
      <c r="D4" s="11">
        <v>2702</v>
      </c>
      <c r="E4" s="12">
        <v>2.0651999999999999</v>
      </c>
      <c r="F4" s="11">
        <f t="shared" si="0"/>
        <v>1.0635535892712632E-8</v>
      </c>
      <c r="G4" s="13">
        <f>85.46%</f>
        <v>0.85459999999999992</v>
      </c>
      <c r="H4" s="12">
        <f t="shared" ref="H4:H30" si="3">EXP(-0.1335*C4^3+2.61*C4^2-17.13*C4+19.97)</f>
        <v>1.8841123087022761E-8</v>
      </c>
      <c r="I4" s="13">
        <f>3%</f>
        <v>0.03</v>
      </c>
      <c r="J4" s="14">
        <f t="shared" ref="J4:J30" si="4">0.1101*LN(B4)-0.0091</f>
        <v>0.7263045043367663</v>
      </c>
      <c r="K4" s="2">
        <v>1920</v>
      </c>
      <c r="L4" s="2">
        <v>70</v>
      </c>
      <c r="M4" s="15">
        <f t="shared" si="1"/>
        <v>3.6458333333333336E-2</v>
      </c>
      <c r="N4" s="2"/>
      <c r="O4" s="15"/>
      <c r="P4" s="16">
        <v>1918</v>
      </c>
      <c r="Q4" s="15">
        <v>3.0099999999999998E-2</v>
      </c>
      <c r="R4" s="17">
        <v>1950.7</v>
      </c>
      <c r="S4" s="18">
        <v>0.98650000000000004</v>
      </c>
      <c r="T4" s="16">
        <f>(K4/M4^2+P4/Q4^2)/(1/M4^2+1/Q4^2)</f>
        <v>1918.8106673811542</v>
      </c>
      <c r="U4" s="15">
        <f>SQRT(1/(1/M4^2+1/Q4^2))</f>
        <v>2.3211497646645048E-2</v>
      </c>
      <c r="V4" s="16">
        <f>T4/G4/H4/1800</f>
        <v>66204871.025099985</v>
      </c>
      <c r="W4" s="15">
        <f>SQRT(U4^2+I5^2)</f>
        <v>3.793116954432342E-2</v>
      </c>
      <c r="X4" s="42"/>
      <c r="Y4" s="45"/>
      <c r="Z4" s="42"/>
      <c r="AA4" s="47"/>
      <c r="AB4" s="47"/>
      <c r="AC4" s="47"/>
    </row>
    <row r="5" spans="1:30" x14ac:dyDescent="0.3">
      <c r="A5" s="39"/>
      <c r="B5" s="11">
        <v>604.58000000000004</v>
      </c>
      <c r="C5" s="11">
        <f t="shared" si="2"/>
        <v>6.4045340020760815</v>
      </c>
      <c r="D5" s="11">
        <v>2053</v>
      </c>
      <c r="E5" s="12">
        <v>2.0651999999999999</v>
      </c>
      <c r="F5" s="11">
        <f t="shared" si="0"/>
        <v>1.0635535892712632E-8</v>
      </c>
      <c r="G5" s="13">
        <v>0.97619999999999996</v>
      </c>
      <c r="H5" s="12">
        <f t="shared" si="3"/>
        <v>1.9493270939623384E-8</v>
      </c>
      <c r="I5" s="13">
        <f>3%</f>
        <v>0.03</v>
      </c>
      <c r="J5" s="14">
        <f t="shared" si="4"/>
        <v>0.69603919362857658</v>
      </c>
      <c r="K5" s="2">
        <v>2161</v>
      </c>
      <c r="L5" s="2">
        <v>181</v>
      </c>
      <c r="M5" s="15">
        <f t="shared" si="1"/>
        <v>8.375751966682092E-2</v>
      </c>
      <c r="N5" s="2"/>
      <c r="O5" s="15"/>
      <c r="P5" s="16">
        <v>2213</v>
      </c>
      <c r="Q5" s="15">
        <v>8.7499999999999994E-2</v>
      </c>
      <c r="R5" s="17">
        <v>2684</v>
      </c>
      <c r="S5" s="18">
        <v>0.96220000000000006</v>
      </c>
      <c r="T5" s="16">
        <f>(K5/M5^2+P5/Q5^2)/(1/M5^2+1/Q5^2)</f>
        <v>2185.8641895179057</v>
      </c>
      <c r="U5" s="15">
        <f>SQRT(1/(1/M5^2+1/Q5^2))</f>
        <v>6.0505316199435097E-2</v>
      </c>
      <c r="V5" s="16">
        <f>T5/G5/H5/1800</f>
        <v>63815642.722951032</v>
      </c>
      <c r="W5" s="15">
        <f>SQRT(U5^2+I6^2)</f>
        <v>6.7534385970360489E-2</v>
      </c>
      <c r="X5" s="42"/>
      <c r="Y5" s="45"/>
      <c r="Z5" s="42"/>
      <c r="AA5" s="47"/>
      <c r="AB5" s="47"/>
      <c r="AC5" s="47"/>
    </row>
    <row r="6" spans="1:30" x14ac:dyDescent="0.3">
      <c r="A6" s="39"/>
      <c r="B6" s="11">
        <v>569.33000000000004</v>
      </c>
      <c r="C6" s="11">
        <f t="shared" si="2"/>
        <v>6.344460230862329</v>
      </c>
      <c r="D6" s="11">
        <v>1934</v>
      </c>
      <c r="E6" s="12">
        <v>2.0651999999999999</v>
      </c>
      <c r="F6" s="11">
        <f t="shared" si="0"/>
        <v>1.0635535892712632E-8</v>
      </c>
      <c r="G6" s="13">
        <v>0.15379999999999999</v>
      </c>
      <c r="H6" s="12">
        <f t="shared" si="3"/>
        <v>1.964521389084665E-8</v>
      </c>
      <c r="I6" s="13">
        <f>3%</f>
        <v>0.03</v>
      </c>
      <c r="J6" s="14">
        <f t="shared" si="4"/>
        <v>0.6894250714179424</v>
      </c>
      <c r="K6" s="2" t="s">
        <v>83</v>
      </c>
      <c r="L6" s="2" t="s">
        <v>83</v>
      </c>
      <c r="M6" s="15" t="s">
        <v>83</v>
      </c>
      <c r="N6" s="2"/>
      <c r="O6" s="15"/>
      <c r="P6" s="16" t="s">
        <v>83</v>
      </c>
      <c r="Q6" s="15" t="s">
        <v>83</v>
      </c>
      <c r="R6" s="17"/>
      <c r="S6" s="18"/>
      <c r="T6" s="16"/>
      <c r="U6" s="15"/>
      <c r="V6" s="16"/>
      <c r="W6" s="15"/>
      <c r="X6" s="42"/>
      <c r="Y6" s="45"/>
      <c r="Z6" s="42"/>
      <c r="AA6" s="47"/>
      <c r="AB6" s="47"/>
      <c r="AC6" s="47"/>
    </row>
    <row r="7" spans="1:30" x14ac:dyDescent="0.3">
      <c r="A7" s="39"/>
      <c r="B7" s="11">
        <v>1167.97</v>
      </c>
      <c r="C7" s="11">
        <f t="shared" si="2"/>
        <v>7.0630224781268023</v>
      </c>
      <c r="D7" s="11">
        <v>3967</v>
      </c>
      <c r="E7" s="12">
        <v>2.0651999999999999</v>
      </c>
      <c r="F7" s="11">
        <f t="shared" si="0"/>
        <v>1.0635535892712632E-8</v>
      </c>
      <c r="G7" s="13">
        <v>1.789E-2</v>
      </c>
      <c r="H7" s="12">
        <f t="shared" si="3"/>
        <v>1.7609623611844296E-8</v>
      </c>
      <c r="I7" s="13">
        <f>3%</f>
        <v>0.03</v>
      </c>
      <c r="J7" s="14">
        <f t="shared" si="4"/>
        <v>0.76853877484176092</v>
      </c>
      <c r="K7" s="2" t="s">
        <v>83</v>
      </c>
      <c r="L7" s="2" t="s">
        <v>83</v>
      </c>
      <c r="M7" s="15" t="s">
        <v>83</v>
      </c>
      <c r="N7" s="2"/>
      <c r="O7" s="15"/>
      <c r="P7" s="16" t="s">
        <v>83</v>
      </c>
      <c r="Q7" s="15" t="s">
        <v>83</v>
      </c>
      <c r="R7" s="17"/>
      <c r="S7" s="18"/>
      <c r="T7" s="16"/>
      <c r="U7" s="15"/>
      <c r="V7" s="16"/>
      <c r="W7" s="15"/>
      <c r="X7" s="42"/>
      <c r="Y7" s="45"/>
      <c r="Z7" s="42"/>
      <c r="AA7" s="47"/>
      <c r="AB7" s="47"/>
      <c r="AC7" s="47"/>
    </row>
    <row r="8" spans="1:30" x14ac:dyDescent="0.3">
      <c r="A8" s="40"/>
      <c r="B8" s="11">
        <v>563.25</v>
      </c>
      <c r="C8" s="11">
        <f t="shared" si="2"/>
        <v>6.3337235793123536</v>
      </c>
      <c r="D8" s="11">
        <v>1914</v>
      </c>
      <c r="E8" s="12">
        <v>2.0651999999999999</v>
      </c>
      <c r="F8" s="11">
        <f t="shared" si="0"/>
        <v>1.0635535892712632E-8</v>
      </c>
      <c r="G8" s="13">
        <v>8.3500000000000005E-2</v>
      </c>
      <c r="H8" s="12">
        <f t="shared" si="3"/>
        <v>1.9673428449342043E-8</v>
      </c>
      <c r="I8" s="13">
        <f>3%</f>
        <v>0.03</v>
      </c>
      <c r="J8" s="14">
        <f t="shared" si="4"/>
        <v>0.68824296608229019</v>
      </c>
      <c r="K8" s="2" t="s">
        <v>83</v>
      </c>
      <c r="L8" s="2" t="s">
        <v>83</v>
      </c>
      <c r="M8" s="15" t="s">
        <v>83</v>
      </c>
      <c r="N8" s="2"/>
      <c r="O8" s="15"/>
      <c r="P8" s="16" t="s">
        <v>83</v>
      </c>
      <c r="Q8" s="15" t="s">
        <v>83</v>
      </c>
      <c r="R8" s="17"/>
      <c r="S8" s="18"/>
      <c r="T8" s="16"/>
      <c r="U8" s="15"/>
      <c r="V8" s="16"/>
      <c r="W8" s="15"/>
      <c r="X8" s="43"/>
      <c r="Y8" s="46"/>
      <c r="Z8" s="43"/>
      <c r="AA8" s="47"/>
      <c r="AB8" s="47"/>
      <c r="AC8" s="47"/>
    </row>
    <row r="9" spans="1:30" ht="14" customHeight="1" x14ac:dyDescent="0.3">
      <c r="A9" s="11" t="s">
        <v>84</v>
      </c>
      <c r="B9" s="11">
        <v>661.37</v>
      </c>
      <c r="C9" s="11">
        <f t="shared" si="2"/>
        <v>6.4943134411881589</v>
      </c>
      <c r="D9" s="11">
        <v>2246</v>
      </c>
      <c r="E9" s="12">
        <v>30.17</v>
      </c>
      <c r="F9" s="11">
        <f t="shared" si="0"/>
        <v>7.2802481689194991E-10</v>
      </c>
      <c r="G9" s="13">
        <v>0.85</v>
      </c>
      <c r="H9" s="12">
        <f t="shared" si="3"/>
        <v>1.9279018191448603E-8</v>
      </c>
      <c r="I9" s="13">
        <f>3%</f>
        <v>0.03</v>
      </c>
      <c r="J9" s="14">
        <f t="shared" si="4"/>
        <v>0.70592390987481635</v>
      </c>
      <c r="K9" s="2">
        <v>85049</v>
      </c>
      <c r="L9" s="2">
        <v>401</v>
      </c>
      <c r="M9" s="15">
        <f t="shared" ref="M9:M30" si="5">L9/K9</f>
        <v>4.7149290409058305E-3</v>
      </c>
      <c r="N9" s="2"/>
      <c r="O9" s="15"/>
      <c r="P9" s="16">
        <v>85610</v>
      </c>
      <c r="Q9" s="15">
        <v>4.4000000000000003E-3</v>
      </c>
      <c r="R9" s="17">
        <v>85220</v>
      </c>
      <c r="S9" s="18">
        <v>0.99970000000000003</v>
      </c>
      <c r="T9" s="16">
        <f t="shared" ref="T9:T15" si="6">(K9/M9^2+P9/Q9^2)/(1/M9^2+1/Q9^2)</f>
        <v>85348.859946081095</v>
      </c>
      <c r="U9" s="15">
        <f t="shared" ref="U9:U15" si="7">SQRT(1/(1/M9^2+1/Q9^2))</f>
        <v>3.2168475163102173E-3</v>
      </c>
      <c r="V9" s="16">
        <f t="shared" ref="V9:V15" si="8">T9/G9/H9/1800</f>
        <v>2893485966.8815093</v>
      </c>
      <c r="W9" s="15">
        <f t="shared" ref="W9:W15" si="9">SQRT(U9^2+I10^2)</f>
        <v>3.0171975539284648E-2</v>
      </c>
      <c r="X9" s="16">
        <f>V9/F9</f>
        <v>3.9744331508289055E+18</v>
      </c>
      <c r="Y9" s="15"/>
      <c r="Z9" s="19"/>
      <c r="AA9" s="47"/>
      <c r="AB9" s="47"/>
      <c r="AC9" s="47"/>
      <c r="AD9" s="20"/>
    </row>
    <row r="10" spans="1:30" x14ac:dyDescent="0.3">
      <c r="A10" s="38" t="s">
        <v>85</v>
      </c>
      <c r="B10" s="11">
        <v>756.73</v>
      </c>
      <c r="C10" s="11">
        <f t="shared" si="2"/>
        <v>6.6290065187451805</v>
      </c>
      <c r="D10" s="11">
        <v>2569</v>
      </c>
      <c r="E10" s="8">
        <f>64.02/365</f>
        <v>0.17539726027397259</v>
      </c>
      <c r="F10" s="8">
        <f t="shared" si="0"/>
        <v>1.252272053241955E-7</v>
      </c>
      <c r="G10" s="13">
        <v>0.54459999999999997</v>
      </c>
      <c r="H10" s="12">
        <f t="shared" si="3"/>
        <v>1.896372860807901E-8</v>
      </c>
      <c r="I10" s="13">
        <f>3%</f>
        <v>0.03</v>
      </c>
      <c r="J10" s="14">
        <f t="shared" si="4"/>
        <v>0.72075361771384439</v>
      </c>
      <c r="K10" s="2">
        <v>168540</v>
      </c>
      <c r="L10" s="2">
        <v>482</v>
      </c>
      <c r="M10" s="15">
        <f t="shared" si="5"/>
        <v>2.8598552272457575E-3</v>
      </c>
      <c r="N10" s="2"/>
      <c r="O10" s="15"/>
      <c r="P10" s="16">
        <v>171400</v>
      </c>
      <c r="Q10" s="15">
        <v>2.7000000000000001E-3</v>
      </c>
      <c r="R10" s="17">
        <v>168700</v>
      </c>
      <c r="S10" s="18">
        <v>0.99980000000000002</v>
      </c>
      <c r="T10" s="16">
        <f t="shared" si="6"/>
        <v>170052.16191002479</v>
      </c>
      <c r="U10" s="15">
        <f t="shared" si="7"/>
        <v>1.9632693872063201E-3</v>
      </c>
      <c r="V10" s="16">
        <f t="shared" si="8"/>
        <v>9147623552.8541965</v>
      </c>
      <c r="W10" s="15">
        <f t="shared" si="9"/>
        <v>3.0064171811090046E-2</v>
      </c>
      <c r="X10" s="41">
        <f>V10/F10</f>
        <v>7.3048212879719664E+16</v>
      </c>
      <c r="Y10" s="44"/>
      <c r="Z10" s="41"/>
      <c r="AA10" s="47"/>
      <c r="AB10" s="47"/>
      <c r="AC10" s="47"/>
    </row>
    <row r="11" spans="1:30" x14ac:dyDescent="0.3">
      <c r="A11" s="40"/>
      <c r="B11" s="11">
        <v>724.2</v>
      </c>
      <c r="C11" s="11">
        <f t="shared" si="2"/>
        <v>6.5850675973315411</v>
      </c>
      <c r="D11" s="11">
        <v>2459</v>
      </c>
      <c r="E11" s="8">
        <f>64.02/365</f>
        <v>0.17539726027397259</v>
      </c>
      <c r="F11" s="8">
        <f t="shared" si="0"/>
        <v>1.252272053241955E-7</v>
      </c>
      <c r="G11" s="13">
        <v>0.44169999999999998</v>
      </c>
      <c r="H11" s="12">
        <f t="shared" si="3"/>
        <v>1.906761200413159E-8</v>
      </c>
      <c r="I11" s="13">
        <f>3%</f>
        <v>0.03</v>
      </c>
      <c r="J11" s="14">
        <f t="shared" si="4"/>
        <v>0.71591594246620271</v>
      </c>
      <c r="K11" s="2">
        <v>137180</v>
      </c>
      <c r="L11" s="2">
        <v>457</v>
      </c>
      <c r="M11" s="15">
        <f t="shared" si="5"/>
        <v>3.3313894153666713E-3</v>
      </c>
      <c r="N11" s="2"/>
      <c r="O11" s="15"/>
      <c r="P11" s="16">
        <v>138370</v>
      </c>
      <c r="Q11" s="15">
        <v>3.0999999999999999E-3</v>
      </c>
      <c r="R11" s="17">
        <v>137300</v>
      </c>
      <c r="S11" s="18">
        <v>0.99980000000000002</v>
      </c>
      <c r="T11" s="16">
        <f t="shared" si="6"/>
        <v>137817.75863621017</v>
      </c>
      <c r="U11" s="15">
        <f t="shared" si="7"/>
        <v>2.2694278874018643E-3</v>
      </c>
      <c r="V11" s="16">
        <f t="shared" si="8"/>
        <v>9090943781.708231</v>
      </c>
      <c r="W11" s="15">
        <f t="shared" si="9"/>
        <v>3.008571592859504E-2</v>
      </c>
      <c r="X11" s="43"/>
      <c r="Y11" s="46"/>
      <c r="Z11" s="43"/>
      <c r="AA11" s="47"/>
      <c r="AB11" s="47"/>
      <c r="AC11" s="47"/>
    </row>
    <row r="12" spans="1:30" x14ac:dyDescent="0.3">
      <c r="A12" s="11" t="s">
        <v>86</v>
      </c>
      <c r="B12" s="11">
        <v>765.8</v>
      </c>
      <c r="C12" s="11">
        <f t="shared" si="2"/>
        <v>6.6409210390431941</v>
      </c>
      <c r="D12" s="11">
        <v>2600</v>
      </c>
      <c r="E12" s="8">
        <f>35.06/365</f>
        <v>9.6054794520547951E-2</v>
      </c>
      <c r="F12" s="8">
        <f t="shared" si="0"/>
        <v>2.2866644851269242E-7</v>
      </c>
      <c r="G12" s="13">
        <v>0.99807999999999997</v>
      </c>
      <c r="H12" s="12">
        <f t="shared" si="3"/>
        <v>1.893514503483478E-8</v>
      </c>
      <c r="I12" s="13">
        <f>3%</f>
        <v>0.03</v>
      </c>
      <c r="J12" s="14">
        <f t="shared" si="4"/>
        <v>0.72206540639865568</v>
      </c>
      <c r="K12" s="2">
        <v>653729</v>
      </c>
      <c r="L12" s="2">
        <v>837</v>
      </c>
      <c r="M12" s="15">
        <f t="shared" si="5"/>
        <v>1.2803470551252889E-3</v>
      </c>
      <c r="N12" s="2"/>
      <c r="O12" s="15"/>
      <c r="P12" s="16">
        <v>660320</v>
      </c>
      <c r="Q12" s="15">
        <v>1.2999999999999999E-3</v>
      </c>
      <c r="R12" s="17">
        <v>675800</v>
      </c>
      <c r="S12" s="18">
        <v>0.99990000000000001</v>
      </c>
      <c r="T12" s="16">
        <f t="shared" si="6"/>
        <v>656974.30324614444</v>
      </c>
      <c r="U12" s="15">
        <f t="shared" si="7"/>
        <v>9.1221107068099492E-4</v>
      </c>
      <c r="V12" s="16">
        <f t="shared" si="8"/>
        <v>19312650841.315647</v>
      </c>
      <c r="W12" s="15">
        <f t="shared" si="9"/>
        <v>3.0013865613037469E-2</v>
      </c>
      <c r="X12" s="16">
        <f>V12/F12</f>
        <v>8.4457737315335408E+16</v>
      </c>
      <c r="Y12" s="15"/>
      <c r="Z12" s="19"/>
      <c r="AA12" s="34"/>
      <c r="AB12" s="34"/>
      <c r="AC12" s="34"/>
    </row>
    <row r="13" spans="1:30" x14ac:dyDescent="0.3">
      <c r="A13" s="38" t="s">
        <v>87</v>
      </c>
      <c r="B13" s="11">
        <v>2185.66</v>
      </c>
      <c r="C13" s="11">
        <f t="shared" si="2"/>
        <v>7.6896731214154732</v>
      </c>
      <c r="D13" s="11">
        <v>7423</v>
      </c>
      <c r="E13" s="8">
        <f>17.28/24/60/365</f>
        <v>3.2876712328767127E-5</v>
      </c>
      <c r="F13" s="8">
        <f t="shared" si="0"/>
        <v>6.6808714040458297E-4</v>
      </c>
      <c r="G13" s="13">
        <v>6.94E-3</v>
      </c>
      <c r="H13" s="12">
        <f t="shared" si="3"/>
        <v>1.3450270477059246E-8</v>
      </c>
      <c r="I13" s="13">
        <f>3%</f>
        <v>0.03</v>
      </c>
      <c r="J13" s="14">
        <f t="shared" si="4"/>
        <v>0.83753301066784358</v>
      </c>
      <c r="K13" s="2">
        <v>7496</v>
      </c>
      <c r="L13" s="2">
        <v>95</v>
      </c>
      <c r="M13" s="15">
        <f t="shared" si="5"/>
        <v>1.2673425827107791E-2</v>
      </c>
      <c r="N13" s="2"/>
      <c r="O13" s="15"/>
      <c r="P13" s="16">
        <v>7447</v>
      </c>
      <c r="Q13" s="15">
        <v>1.17E-2</v>
      </c>
      <c r="R13" s="17">
        <v>7452.28</v>
      </c>
      <c r="S13" s="18">
        <v>0.99650000000000005</v>
      </c>
      <c r="T13" s="16">
        <f t="shared" si="6"/>
        <v>7469.5461545764783</v>
      </c>
      <c r="U13" s="15">
        <f t="shared" si="7"/>
        <v>8.5967090286327517E-3</v>
      </c>
      <c r="V13" s="16">
        <f t="shared" si="8"/>
        <v>44456085776.708</v>
      </c>
      <c r="W13" s="15">
        <f t="shared" si="9"/>
        <v>3.1207425496554114E-2</v>
      </c>
      <c r="X13" s="41">
        <f>V14/F14</f>
        <v>60640388871611.633</v>
      </c>
      <c r="Y13" s="44"/>
      <c r="Z13" s="41"/>
      <c r="AA13" s="34"/>
      <c r="AB13" s="34"/>
      <c r="AC13" s="34"/>
    </row>
    <row r="14" spans="1:30" x14ac:dyDescent="0.3">
      <c r="A14" s="39"/>
      <c r="B14" s="11">
        <v>1489.16</v>
      </c>
      <c r="C14" s="11">
        <f t="shared" si="2"/>
        <v>7.3059674815787323</v>
      </c>
      <c r="D14" s="11">
        <v>5055</v>
      </c>
      <c r="E14" s="8">
        <f>17.28/24/60/365</f>
        <v>3.2876712328767127E-5</v>
      </c>
      <c r="F14" s="8">
        <f t="shared" si="0"/>
        <v>6.6808714040458297E-4</v>
      </c>
      <c r="G14" s="13">
        <v>2.7799999999999999E-3</v>
      </c>
      <c r="H14" s="12">
        <f t="shared" si="3"/>
        <v>1.636585565004972E-8</v>
      </c>
      <c r="I14" s="13">
        <f>3%</f>
        <v>0.03</v>
      </c>
      <c r="J14" s="14">
        <f t="shared" si="4"/>
        <v>0.79528701972181848</v>
      </c>
      <c r="K14" s="2">
        <v>3268</v>
      </c>
      <c r="L14" s="2">
        <v>63</v>
      </c>
      <c r="M14" s="15">
        <f t="shared" si="5"/>
        <v>1.9277845777233783E-2</v>
      </c>
      <c r="N14" s="2"/>
      <c r="O14" s="15"/>
      <c r="P14" s="16">
        <v>3362.2</v>
      </c>
      <c r="Q14" s="15">
        <v>1.8200000000000001E-2</v>
      </c>
      <c r="R14" s="17">
        <v>3362.5</v>
      </c>
      <c r="S14" s="18">
        <v>0.99560000000000004</v>
      </c>
      <c r="T14" s="16">
        <f t="shared" si="6"/>
        <v>3317.8069101852616</v>
      </c>
      <c r="U14" s="15">
        <f t="shared" si="7"/>
        <v>1.3233988013628472E-2</v>
      </c>
      <c r="V14" s="16">
        <f t="shared" si="8"/>
        <v>40513063994.256912</v>
      </c>
      <c r="W14" s="15">
        <f t="shared" si="9"/>
        <v>3.2789303724612119E-2</v>
      </c>
      <c r="X14" s="42"/>
      <c r="Y14" s="45"/>
      <c r="Z14" s="42"/>
    </row>
    <row r="15" spans="1:30" x14ac:dyDescent="0.3">
      <c r="A15" s="39"/>
      <c r="B15" s="11">
        <v>696.51</v>
      </c>
      <c r="C15" s="11">
        <f t="shared" si="2"/>
        <v>6.5460821506185871</v>
      </c>
      <c r="D15" s="11">
        <v>2365</v>
      </c>
      <c r="E15" s="8">
        <f>17.28/24/60/365</f>
        <v>3.2876712328767127E-5</v>
      </c>
      <c r="F15" s="8">
        <f t="shared" si="0"/>
        <v>6.6808714040458297E-4</v>
      </c>
      <c r="G15" s="13">
        <v>1.342E-2</v>
      </c>
      <c r="H15" s="12">
        <f t="shared" si="3"/>
        <v>1.9158527301579041E-8</v>
      </c>
      <c r="I15" s="13">
        <f>3%</f>
        <v>0.03</v>
      </c>
      <c r="J15" s="14">
        <f t="shared" si="4"/>
        <v>0.71162364478310647</v>
      </c>
      <c r="K15" s="2">
        <v>18601</v>
      </c>
      <c r="L15" s="2">
        <v>301</v>
      </c>
      <c r="M15" s="15">
        <f t="shared" si="5"/>
        <v>1.6181925702919198E-2</v>
      </c>
      <c r="N15" s="2"/>
      <c r="O15" s="15"/>
      <c r="P15" s="16">
        <v>18376</v>
      </c>
      <c r="Q15" s="15">
        <v>1.3599999999999999E-2</v>
      </c>
      <c r="R15" s="17">
        <v>18900</v>
      </c>
      <c r="S15" s="18">
        <v>0.99819999999999998</v>
      </c>
      <c r="T15" s="16">
        <f t="shared" si="6"/>
        <v>18469.13927717238</v>
      </c>
      <c r="U15" s="15">
        <f t="shared" si="7"/>
        <v>1.0411309938757607E-2</v>
      </c>
      <c r="V15" s="16">
        <f t="shared" si="8"/>
        <v>39907958618.164749</v>
      </c>
      <c r="W15" s="15">
        <f t="shared" si="9"/>
        <v>3.1755241687646985E-2</v>
      </c>
      <c r="X15" s="42"/>
      <c r="Y15" s="45"/>
      <c r="Z15" s="42"/>
    </row>
    <row r="16" spans="1:30" x14ac:dyDescent="0.3">
      <c r="A16" s="40"/>
      <c r="B16" s="11">
        <v>1388.02</v>
      </c>
      <c r="C16" s="11">
        <f t="shared" si="2"/>
        <v>7.2356335501848399</v>
      </c>
      <c r="D16" s="11">
        <v>4715</v>
      </c>
      <c r="E16" s="8">
        <f>17.28/24/60/365</f>
        <v>3.2876712328767127E-5</v>
      </c>
      <c r="F16" s="8">
        <f t="shared" si="0"/>
        <v>6.6808714040458297E-4</v>
      </c>
      <c r="G16" s="13">
        <v>6.7000000000000002E-5</v>
      </c>
      <c r="H16" s="12">
        <f t="shared" si="3"/>
        <v>1.6772356928598181E-8</v>
      </c>
      <c r="I16" s="13">
        <f>3%</f>
        <v>0.03</v>
      </c>
      <c r="J16" s="14">
        <f t="shared" si="4"/>
        <v>0.78754325387535085</v>
      </c>
      <c r="K16" s="2">
        <v>128</v>
      </c>
      <c r="L16" s="2">
        <v>26</v>
      </c>
      <c r="M16" s="15">
        <f t="shared" si="5"/>
        <v>0.203125</v>
      </c>
      <c r="N16" s="2"/>
      <c r="O16" s="15"/>
      <c r="P16" s="2"/>
      <c r="Q16" s="15"/>
      <c r="R16" s="17">
        <v>120.7</v>
      </c>
      <c r="S16" s="18">
        <v>0.69830000000000003</v>
      </c>
      <c r="T16" s="16"/>
      <c r="U16" s="15"/>
      <c r="V16" s="16"/>
      <c r="W16" s="15"/>
      <c r="X16" s="43"/>
      <c r="Y16" s="46"/>
      <c r="Z16" s="43"/>
    </row>
    <row r="17" spans="1:26" x14ac:dyDescent="0.3">
      <c r="A17" s="38" t="s">
        <v>88</v>
      </c>
      <c r="B17" s="11">
        <v>1050.4100000000001</v>
      </c>
      <c r="C17" s="11">
        <f t="shared" si="2"/>
        <v>6.9569358431260575</v>
      </c>
      <c r="D17" s="11">
        <v>3571</v>
      </c>
      <c r="E17" s="8">
        <f t="shared" ref="E17:E18" si="10">30.07/365/24/3600</f>
        <v>9.5351344495180109E-7</v>
      </c>
      <c r="F17" s="8">
        <f t="shared" si="0"/>
        <v>2.3035342440022338E-2</v>
      </c>
      <c r="G17" s="13">
        <v>1.5599999999999999E-2</v>
      </c>
      <c r="H17" s="12">
        <f t="shared" si="3"/>
        <v>1.802311157027333E-8</v>
      </c>
      <c r="I17" s="13">
        <f>3%</f>
        <v>0.03</v>
      </c>
      <c r="J17" s="14">
        <f t="shared" si="4"/>
        <v>0.75685863632817896</v>
      </c>
      <c r="K17" s="2">
        <v>1399</v>
      </c>
      <c r="L17" s="2">
        <v>52</v>
      </c>
      <c r="M17" s="15">
        <f t="shared" si="5"/>
        <v>3.7169406719085057E-2</v>
      </c>
      <c r="N17" s="2"/>
      <c r="O17" s="15"/>
      <c r="P17" s="16">
        <v>1364.1</v>
      </c>
      <c r="Q17" s="15">
        <v>3.44E-2</v>
      </c>
      <c r="R17" s="17">
        <v>1335.1</v>
      </c>
      <c r="S17" s="18">
        <v>0.98640000000000005</v>
      </c>
      <c r="T17" s="16">
        <f t="shared" ref="T17:T23" si="11">(K17/M17^2+P17/Q17^2)/(1/M17^2+1/Q17^2)</f>
        <v>1380.2015496699323</v>
      </c>
      <c r="U17" s="15">
        <f t="shared" ref="U17:U23" si="12">SQRT(1/(1/M17^2+1/Q17^2))</f>
        <v>2.5246824069090588E-2</v>
      </c>
      <c r="V17" s="16">
        <f t="shared" ref="V17:V23" si="13">T17/G17/H17/1800</f>
        <v>2727191508.9937983</v>
      </c>
      <c r="W17" s="15">
        <f t="shared" ref="W17:W23" si="14">SQRT(U17^2+I18^2)</f>
        <v>3.9209719784456656E-2</v>
      </c>
      <c r="X17" s="41">
        <f>V20/F20</f>
        <v>121907616176.56268</v>
      </c>
      <c r="Y17" s="44"/>
      <c r="Z17" s="41"/>
    </row>
    <row r="18" spans="1:26" x14ac:dyDescent="0.3">
      <c r="A18" s="39"/>
      <c r="B18" s="11">
        <v>873.49</v>
      </c>
      <c r="C18" s="11">
        <f t="shared" si="2"/>
        <v>6.7724966813116714</v>
      </c>
      <c r="D18" s="11">
        <v>2966</v>
      </c>
      <c r="E18" s="8">
        <f t="shared" si="10"/>
        <v>9.5351344495180109E-7</v>
      </c>
      <c r="F18" s="8">
        <f t="shared" si="0"/>
        <v>2.3035342440022338E-2</v>
      </c>
      <c r="G18" s="13">
        <v>4.3899999999999998E-3</v>
      </c>
      <c r="H18" s="12">
        <f t="shared" si="3"/>
        <v>1.8599266473671824E-8</v>
      </c>
      <c r="I18" s="13">
        <f>3%</f>
        <v>0.03</v>
      </c>
      <c r="J18" s="14">
        <f t="shared" si="4"/>
        <v>0.73655188461241505</v>
      </c>
      <c r="K18" s="2">
        <v>340</v>
      </c>
      <c r="L18" s="2">
        <v>38</v>
      </c>
      <c r="M18" s="15">
        <f t="shared" si="5"/>
        <v>0.11176470588235295</v>
      </c>
      <c r="N18" s="2"/>
      <c r="O18" s="15"/>
      <c r="P18" s="16">
        <v>336.4</v>
      </c>
      <c r="Q18" s="15">
        <v>8.6099999999999996E-2</v>
      </c>
      <c r="R18" s="17">
        <v>459.6</v>
      </c>
      <c r="S18" s="18">
        <v>0.91949999999999998</v>
      </c>
      <c r="T18" s="16">
        <f t="shared" si="11"/>
        <v>337.7407760179529</v>
      </c>
      <c r="U18" s="15">
        <f t="shared" si="12"/>
        <v>6.8207407987922727E-2</v>
      </c>
      <c r="V18" s="16">
        <f t="shared" si="13"/>
        <v>2298003336.5191774</v>
      </c>
      <c r="W18" s="15">
        <f t="shared" si="14"/>
        <v>7.4513424994633981E-2</v>
      </c>
      <c r="X18" s="42"/>
      <c r="Y18" s="45"/>
      <c r="Z18" s="42"/>
    </row>
    <row r="19" spans="1:26" x14ac:dyDescent="0.3">
      <c r="A19" s="39"/>
      <c r="B19" s="11">
        <v>621.92999999999995</v>
      </c>
      <c r="C19" s="11">
        <f t="shared" si="2"/>
        <v>6.4328275462131304</v>
      </c>
      <c r="D19" s="11">
        <v>2112</v>
      </c>
      <c r="E19" s="8">
        <f>30.07/365/24/3600</f>
        <v>9.5351344495180109E-7</v>
      </c>
      <c r="F19" s="8">
        <f t="shared" si="0"/>
        <v>2.3035342440022338E-2</v>
      </c>
      <c r="G19" s="13">
        <v>9.9299999999999999E-2</v>
      </c>
      <c r="H19" s="12">
        <f t="shared" si="3"/>
        <v>1.9424507073513849E-8</v>
      </c>
      <c r="I19" s="13">
        <f>3%</f>
        <v>0.03</v>
      </c>
      <c r="J19" s="14">
        <f t="shared" si="4"/>
        <v>0.69915431283806573</v>
      </c>
      <c r="K19" s="2">
        <v>10682</v>
      </c>
      <c r="L19" s="2">
        <v>294</v>
      </c>
      <c r="M19" s="15">
        <f t="shared" si="5"/>
        <v>2.7522935779816515E-2</v>
      </c>
      <c r="N19" s="2"/>
      <c r="O19" s="15"/>
      <c r="P19" s="16">
        <v>10402</v>
      </c>
      <c r="Q19" s="15">
        <v>2.1299999999999999E-2</v>
      </c>
      <c r="R19" s="17">
        <v>10730</v>
      </c>
      <c r="S19" s="18">
        <v>0.99650000000000005</v>
      </c>
      <c r="T19" s="16">
        <f t="shared" si="11"/>
        <v>10506.881927734261</v>
      </c>
      <c r="U19" s="15">
        <f t="shared" si="12"/>
        <v>1.6844808251277127E-2</v>
      </c>
      <c r="V19" s="16">
        <f t="shared" si="13"/>
        <v>3026231109.7990332</v>
      </c>
      <c r="W19" s="15">
        <f t="shared" si="14"/>
        <v>3.4405632751372178E-2</v>
      </c>
      <c r="X19" s="42"/>
      <c r="Y19" s="45"/>
      <c r="Z19" s="42"/>
    </row>
    <row r="20" spans="1:26" x14ac:dyDescent="0.3">
      <c r="A20" s="39"/>
      <c r="B20" s="11">
        <v>511.86</v>
      </c>
      <c r="C20" s="11">
        <f t="shared" si="2"/>
        <v>6.2380511501486584</v>
      </c>
      <c r="D20" s="11">
        <v>1738</v>
      </c>
      <c r="E20" s="8">
        <f>30.07/365/24/3600</f>
        <v>9.5351344495180109E-7</v>
      </c>
      <c r="F20" s="8">
        <f t="shared" si="0"/>
        <v>2.3035342440022338E-2</v>
      </c>
      <c r="G20" s="13">
        <v>0.20399999999999999</v>
      </c>
      <c r="H20" s="12">
        <f t="shared" si="3"/>
        <v>1.9943825820028399E-8</v>
      </c>
      <c r="I20" s="13">
        <f>3%</f>
        <v>0.03</v>
      </c>
      <c r="J20" s="14">
        <f t="shared" si="4"/>
        <v>0.67770943163136732</v>
      </c>
      <c r="K20" s="2">
        <v>20473</v>
      </c>
      <c r="L20" s="2">
        <v>316</v>
      </c>
      <c r="M20" s="15">
        <f t="shared" si="5"/>
        <v>1.5434963122160895E-2</v>
      </c>
      <c r="N20" s="2"/>
      <c r="O20" s="15"/>
      <c r="P20" s="16">
        <v>20635</v>
      </c>
      <c r="Q20" s="15">
        <v>1.34E-2</v>
      </c>
      <c r="R20" s="17">
        <v>20730</v>
      </c>
      <c r="S20" s="18">
        <v>0.99780000000000002</v>
      </c>
      <c r="T20" s="16">
        <f t="shared" si="11"/>
        <v>20565.37612920169</v>
      </c>
      <c r="U20" s="15">
        <f t="shared" si="12"/>
        <v>1.0118757108891104E-2</v>
      </c>
      <c r="V20" s="16">
        <f t="shared" si="13"/>
        <v>2808183684.6739283</v>
      </c>
      <c r="W20" s="15">
        <f t="shared" si="14"/>
        <v>3.1660531351017061E-2</v>
      </c>
      <c r="X20" s="42"/>
      <c r="Y20" s="45"/>
      <c r="Z20" s="42"/>
    </row>
    <row r="21" spans="1:26" x14ac:dyDescent="0.3">
      <c r="A21" s="39"/>
      <c r="B21" s="11">
        <v>616.22</v>
      </c>
      <c r="C21" s="11">
        <f t="shared" si="2"/>
        <v>6.4236040426303331</v>
      </c>
      <c r="D21" s="11">
        <v>2094</v>
      </c>
      <c r="E21" s="8">
        <f t="shared" ref="E21:E22" si="15">30.07/365/24/3600</f>
        <v>9.5351344495180109E-7</v>
      </c>
      <c r="F21" s="8">
        <f t="shared" si="0"/>
        <v>2.3035342440022338E-2</v>
      </c>
      <c r="G21" s="13">
        <v>7.4999999999999997E-3</v>
      </c>
      <c r="H21" s="12">
        <f t="shared" si="3"/>
        <v>1.9446764694871829E-8</v>
      </c>
      <c r="I21" s="13">
        <f>3%</f>
        <v>0.03</v>
      </c>
      <c r="J21" s="14">
        <f t="shared" si="4"/>
        <v>0.69813880509359971</v>
      </c>
      <c r="K21" s="2">
        <v>552</v>
      </c>
      <c r="L21" s="2">
        <v>124</v>
      </c>
      <c r="M21" s="15">
        <f t="shared" si="5"/>
        <v>0.22463768115942029</v>
      </c>
      <c r="N21" s="2"/>
      <c r="O21" s="15"/>
      <c r="P21" s="16">
        <v>567.41999999999996</v>
      </c>
      <c r="Q21" s="15">
        <v>0.27400000000000002</v>
      </c>
      <c r="R21" s="2">
        <v>1136.4000000000001</v>
      </c>
      <c r="S21" s="18">
        <v>0.84189999999999998</v>
      </c>
      <c r="T21" s="16">
        <f t="shared" si="11"/>
        <v>558.19832122252046</v>
      </c>
      <c r="U21" s="15">
        <f t="shared" si="12"/>
        <v>0.17371823797849395</v>
      </c>
      <c r="V21" s="16">
        <f t="shared" si="13"/>
        <v>2126216079.7967784</v>
      </c>
      <c r="W21" s="15">
        <f t="shared" si="14"/>
        <v>0.17628960890067416</v>
      </c>
      <c r="X21" s="42"/>
      <c r="Y21" s="45"/>
      <c r="Z21" s="42"/>
    </row>
    <row r="22" spans="1:26" x14ac:dyDescent="0.3">
      <c r="A22" s="40"/>
      <c r="B22" s="11">
        <v>1128.07</v>
      </c>
      <c r="C22" s="11">
        <f t="shared" si="2"/>
        <v>7.028263486870153</v>
      </c>
      <c r="D22" s="11">
        <v>3832</v>
      </c>
      <c r="E22" s="8">
        <f t="shared" si="15"/>
        <v>9.5351344495180109E-7</v>
      </c>
      <c r="F22" s="8">
        <f t="shared" si="0"/>
        <v>2.3035342440022338E-2</v>
      </c>
      <c r="G22" s="13">
        <v>4.0400000000000002E-3</v>
      </c>
      <c r="H22" s="12">
        <f t="shared" si="3"/>
        <v>1.7752844069070346E-8</v>
      </c>
      <c r="I22" s="13">
        <f>3%</f>
        <v>0.03</v>
      </c>
      <c r="J22" s="14">
        <f t="shared" si="4"/>
        <v>0.76471180990440391</v>
      </c>
      <c r="K22" s="2">
        <v>397</v>
      </c>
      <c r="L22" s="2">
        <v>37</v>
      </c>
      <c r="M22" s="15">
        <f t="shared" si="5"/>
        <v>9.3198992443324941E-2</v>
      </c>
      <c r="N22" s="2"/>
      <c r="O22" s="15"/>
      <c r="P22" s="16">
        <v>356.11</v>
      </c>
      <c r="Q22" s="15">
        <v>8.09E-2</v>
      </c>
      <c r="R22" s="2">
        <v>333.6</v>
      </c>
      <c r="S22" s="18">
        <v>0.83760000000000001</v>
      </c>
      <c r="T22" s="16">
        <f t="shared" si="11"/>
        <v>373.68072433054004</v>
      </c>
      <c r="U22" s="15">
        <f t="shared" si="12"/>
        <v>6.1093850041906643E-2</v>
      </c>
      <c r="V22" s="16">
        <f t="shared" si="13"/>
        <v>2894535547.0562696</v>
      </c>
      <c r="W22" s="15">
        <f t="shared" si="14"/>
        <v>6.8062166531362905E-2</v>
      </c>
      <c r="X22" s="43"/>
      <c r="Y22" s="46"/>
      <c r="Z22" s="43"/>
    </row>
    <row r="23" spans="1:26" ht="14.5" customHeight="1" x14ac:dyDescent="0.3">
      <c r="A23" s="38" t="s">
        <v>89</v>
      </c>
      <c r="B23" s="11">
        <v>427.88</v>
      </c>
      <c r="C23" s="11">
        <f t="shared" si="2"/>
        <v>6.0588427824379298</v>
      </c>
      <c r="D23" s="11">
        <v>1453</v>
      </c>
      <c r="E23" s="8">
        <v>2.758</v>
      </c>
      <c r="F23" s="8">
        <f t="shared" si="0"/>
        <v>7.9639262964576229E-9</v>
      </c>
      <c r="G23" s="13">
        <v>0.29599999999999999</v>
      </c>
      <c r="H23" s="12">
        <f t="shared" si="3"/>
        <v>2.0584517488157128E-8</v>
      </c>
      <c r="I23" s="13">
        <f>3%</f>
        <v>0.03</v>
      </c>
      <c r="J23" s="14">
        <f t="shared" si="4"/>
        <v>0.65797859034641615</v>
      </c>
      <c r="K23" s="2">
        <v>1256</v>
      </c>
      <c r="L23" s="2">
        <v>191</v>
      </c>
      <c r="M23" s="15">
        <f t="shared" si="5"/>
        <v>0.15207006369426751</v>
      </c>
      <c r="N23" s="2"/>
      <c r="O23" s="15"/>
      <c r="P23" s="16">
        <v>1098.7</v>
      </c>
      <c r="Q23" s="15">
        <v>0.14929999999999999</v>
      </c>
      <c r="R23" s="2">
        <v>1270</v>
      </c>
      <c r="S23" s="18">
        <v>0.85960000000000003</v>
      </c>
      <c r="T23" s="16">
        <f t="shared" si="11"/>
        <v>1175.9042883584088</v>
      </c>
      <c r="U23" s="15">
        <f t="shared" si="12"/>
        <v>0.10653690565090231</v>
      </c>
      <c r="V23" s="16">
        <f t="shared" si="13"/>
        <v>107217843.19258511</v>
      </c>
      <c r="W23" s="15">
        <f t="shared" si="14"/>
        <v>0.1106802252693283</v>
      </c>
      <c r="X23" s="41">
        <f>V23/F23</f>
        <v>1.3462937651780618E+16</v>
      </c>
      <c r="Y23" s="44"/>
      <c r="Z23" s="41"/>
    </row>
    <row r="24" spans="1:26" x14ac:dyDescent="0.3">
      <c r="A24" s="39"/>
      <c r="B24" s="11">
        <v>463.36</v>
      </c>
      <c r="C24" s="11">
        <f t="shared" si="2"/>
        <v>6.1385042897572966</v>
      </c>
      <c r="D24" s="11">
        <v>1575</v>
      </c>
      <c r="E24" s="8">
        <v>2.758</v>
      </c>
      <c r="F24" s="8">
        <f t="shared" si="0"/>
        <v>7.9639262964576229E-9</v>
      </c>
      <c r="G24" s="13">
        <v>0.105</v>
      </c>
      <c r="H24" s="12">
        <f t="shared" si="3"/>
        <v>2.0273267020602261E-8</v>
      </c>
      <c r="I24" s="13">
        <f>3%</f>
        <v>0.03</v>
      </c>
      <c r="J24" s="14">
        <f t="shared" si="4"/>
        <v>0.66674932230227835</v>
      </c>
      <c r="K24" s="2" t="s">
        <v>83</v>
      </c>
      <c r="L24" s="2" t="s">
        <v>83</v>
      </c>
      <c r="M24" s="15" t="s">
        <v>83</v>
      </c>
      <c r="N24" s="2"/>
      <c r="O24" s="15"/>
      <c r="P24" s="16" t="s">
        <v>83</v>
      </c>
      <c r="Q24" s="15" t="s">
        <v>83</v>
      </c>
      <c r="R24" s="2"/>
      <c r="S24" s="18"/>
      <c r="T24" s="16"/>
      <c r="U24" s="15"/>
      <c r="V24" s="16"/>
      <c r="W24" s="15"/>
      <c r="X24" s="42"/>
      <c r="Y24" s="45"/>
      <c r="Z24" s="42"/>
    </row>
    <row r="25" spans="1:26" x14ac:dyDescent="0.3">
      <c r="A25" s="40"/>
      <c r="B25" s="11">
        <v>600.6</v>
      </c>
      <c r="C25" s="11">
        <f t="shared" si="2"/>
        <v>6.3979291555492299</v>
      </c>
      <c r="D25" s="11">
        <v>2041</v>
      </c>
      <c r="E25" s="8">
        <v>2.758</v>
      </c>
      <c r="F25" s="8">
        <f t="shared" si="0"/>
        <v>7.9639262964576229E-9</v>
      </c>
      <c r="G25" s="13">
        <v>5.0299999999999997E-2</v>
      </c>
      <c r="H25" s="12">
        <f t="shared" si="3"/>
        <v>1.9509547462995467E-8</v>
      </c>
      <c r="I25" s="13">
        <f>3%</f>
        <v>0.03</v>
      </c>
      <c r="J25" s="14">
        <f t="shared" si="4"/>
        <v>0.69531200002597027</v>
      </c>
      <c r="K25" s="2">
        <v>566</v>
      </c>
      <c r="L25" s="2">
        <v>162</v>
      </c>
      <c r="M25" s="15">
        <f t="shared" si="5"/>
        <v>0.28621908127208479</v>
      </c>
      <c r="N25" s="2"/>
      <c r="O25" s="15"/>
      <c r="P25" s="16">
        <v>488.16</v>
      </c>
      <c r="Q25" s="15">
        <v>0.30430000000000001</v>
      </c>
      <c r="R25" s="2">
        <v>1758</v>
      </c>
      <c r="S25" s="18">
        <v>0.72699999999999998</v>
      </c>
      <c r="T25" s="16">
        <f t="shared" ref="T25:T30" si="16">(K25/M25^2+P25/Q25^2)/(1/M25^2+1/Q25^2)</f>
        <v>529.4611262558285</v>
      </c>
      <c r="U25" s="15">
        <f t="shared" ref="U25:U30" si="17">SQRT(1/(1/M25^2+1/Q25^2))</f>
        <v>0.20848658568532952</v>
      </c>
      <c r="V25" s="16">
        <f t="shared" ref="V25:V30" si="18">T25/G25/H25/1800</f>
        <v>299741166.56677115</v>
      </c>
      <c r="W25" s="15">
        <f t="shared" ref="W25:W30" si="19">SQRT(U25^2+I26^2)</f>
        <v>0.21063393936098296</v>
      </c>
      <c r="X25" s="43"/>
      <c r="Y25" s="46"/>
      <c r="Z25" s="43"/>
    </row>
    <row r="26" spans="1:26" x14ac:dyDescent="0.3">
      <c r="A26" s="11" t="s">
        <v>47</v>
      </c>
      <c r="B26" s="11">
        <v>133.51</v>
      </c>
      <c r="C26" s="11">
        <f t="shared" si="2"/>
        <v>4.8941763814020032</v>
      </c>
      <c r="D26" s="11">
        <v>452</v>
      </c>
      <c r="E26" s="8">
        <f>284.9/365</f>
        <v>0.78054794520547943</v>
      </c>
      <c r="F26" s="8">
        <f t="shared" si="0"/>
        <v>2.8139858493699533E-8</v>
      </c>
      <c r="G26" s="13">
        <v>0.1109</v>
      </c>
      <c r="H26" s="12">
        <f t="shared" si="3"/>
        <v>4.1390373941692822E-8</v>
      </c>
      <c r="I26" s="13">
        <f>3%</f>
        <v>0.03</v>
      </c>
      <c r="J26" s="14">
        <f t="shared" si="4"/>
        <v>0.52974881959236053</v>
      </c>
      <c r="K26" s="2">
        <v>17361</v>
      </c>
      <c r="L26" s="2">
        <v>317</v>
      </c>
      <c r="M26" s="15">
        <f t="shared" si="5"/>
        <v>1.8259316859627901E-2</v>
      </c>
      <c r="N26" s="2"/>
      <c r="O26" s="15"/>
      <c r="P26" s="16">
        <v>16898</v>
      </c>
      <c r="Q26" s="15">
        <v>1.5699999999999999E-2</v>
      </c>
      <c r="R26" s="2">
        <v>17240</v>
      </c>
      <c r="S26" s="18">
        <v>0.99850000000000005</v>
      </c>
      <c r="T26" s="16">
        <f t="shared" si="16"/>
        <v>17094.803442104174</v>
      </c>
      <c r="U26" s="15">
        <f t="shared" si="17"/>
        <v>1.190447848970101E-2</v>
      </c>
      <c r="V26" s="16">
        <f>T26/G26/H26/1800</f>
        <v>2069001046.2926216</v>
      </c>
      <c r="W26" s="15">
        <f t="shared" si="19"/>
        <v>3.2275634898662392E-2</v>
      </c>
      <c r="X26" s="16">
        <f>V26/F26</f>
        <v>7.3525637904535568E+16</v>
      </c>
      <c r="Y26" s="15"/>
      <c r="Z26" s="19"/>
    </row>
    <row r="27" spans="1:26" x14ac:dyDescent="0.3">
      <c r="A27" s="11" t="s">
        <v>58</v>
      </c>
      <c r="B27" s="11">
        <v>1461</v>
      </c>
      <c r="C27" s="11">
        <f t="shared" si="2"/>
        <v>7.2868764117506997</v>
      </c>
      <c r="D27" s="11">
        <v>4963</v>
      </c>
      <c r="E27" s="9">
        <v>1277000000</v>
      </c>
      <c r="F27" s="8">
        <f t="shared" si="0"/>
        <v>1.7200085141448807E-17</v>
      </c>
      <c r="G27" s="13">
        <v>0.1067</v>
      </c>
      <c r="H27" s="12">
        <f t="shared" si="3"/>
        <v>1.6480111944612183E-8</v>
      </c>
      <c r="I27" s="13">
        <f>3%</f>
        <v>0.03</v>
      </c>
      <c r="J27" s="14">
        <f t="shared" si="4"/>
        <v>0.79318509293375206</v>
      </c>
      <c r="K27" s="2">
        <v>723</v>
      </c>
      <c r="L27" s="2">
        <v>40</v>
      </c>
      <c r="M27" s="15">
        <f t="shared" si="5"/>
        <v>5.5325034578146609E-2</v>
      </c>
      <c r="N27" s="2"/>
      <c r="O27" s="15"/>
      <c r="P27" s="16">
        <v>808.05</v>
      </c>
      <c r="Q27" s="15">
        <v>4.1200000000000001E-2</v>
      </c>
      <c r="R27" s="2">
        <v>741.64</v>
      </c>
      <c r="S27" s="18">
        <v>0.96870000000000001</v>
      </c>
      <c r="T27" s="16">
        <f t="shared" si="16"/>
        <v>777.70990192831562</v>
      </c>
      <c r="U27" s="15">
        <f t="shared" si="17"/>
        <v>3.3044031325221573E-2</v>
      </c>
      <c r="V27" s="16">
        <f t="shared" si="18"/>
        <v>245708707.01905501</v>
      </c>
      <c r="W27" s="15">
        <f t="shared" si="19"/>
        <v>4.4630796612005759E-2</v>
      </c>
      <c r="X27" s="16">
        <f>V27/F27</f>
        <v>1.4285319229434835E+25</v>
      </c>
      <c r="Y27" s="15"/>
      <c r="Z27" s="19"/>
    </row>
    <row r="28" spans="1:26" x14ac:dyDescent="0.3">
      <c r="A28" s="38" t="s">
        <v>90</v>
      </c>
      <c r="B28" s="11">
        <v>497.08</v>
      </c>
      <c r="C28" s="11">
        <f t="shared" si="2"/>
        <v>6.2087509789377942</v>
      </c>
      <c r="D28" s="11">
        <v>1689</v>
      </c>
      <c r="E28" s="8">
        <f>39.26/365</f>
        <v>0.10756164383561644</v>
      </c>
      <c r="F28" s="8">
        <f t="shared" si="0"/>
        <v>2.0420391454037179E-7</v>
      </c>
      <c r="G28" s="13">
        <v>0.91</v>
      </c>
      <c r="H28" s="12">
        <f t="shared" si="3"/>
        <v>2.0034917626761884E-8</v>
      </c>
      <c r="I28" s="13">
        <f>3%</f>
        <v>0.03</v>
      </c>
      <c r="J28" s="14">
        <f t="shared" si="4"/>
        <v>0.67448348278105119</v>
      </c>
      <c r="K28" s="2">
        <v>17623</v>
      </c>
      <c r="L28" s="2">
        <v>311</v>
      </c>
      <c r="M28" s="15">
        <f t="shared" si="5"/>
        <v>1.7647392611927593E-2</v>
      </c>
      <c r="N28" s="2"/>
      <c r="O28" s="15"/>
      <c r="P28" s="16">
        <v>17200</v>
      </c>
      <c r="Q28" s="15">
        <v>1.54E-2</v>
      </c>
      <c r="R28" s="17">
        <v>17620</v>
      </c>
      <c r="S28" s="18">
        <v>0.99809999999999999</v>
      </c>
      <c r="T28" s="16">
        <f t="shared" si="16"/>
        <v>17382.866247624672</v>
      </c>
      <c r="U28" s="15">
        <f t="shared" si="17"/>
        <v>1.1603182973402763E-2</v>
      </c>
      <c r="V28" s="16">
        <f t="shared" si="18"/>
        <v>529687750.86201876</v>
      </c>
      <c r="W28" s="15">
        <f t="shared" si="19"/>
        <v>3.2165724849819007E-2</v>
      </c>
      <c r="X28" s="41">
        <f t="shared" ref="X28:X29" si="20">V28/F28</f>
        <v>2593915753545938</v>
      </c>
      <c r="Y28" s="44"/>
      <c r="Z28" s="41"/>
    </row>
    <row r="29" spans="1:26" x14ac:dyDescent="0.3">
      <c r="A29" s="40"/>
      <c r="B29" s="11">
        <v>610.33000000000004</v>
      </c>
      <c r="C29" s="11">
        <f t="shared" si="2"/>
        <v>6.4139997944950373</v>
      </c>
      <c r="D29" s="11">
        <v>2074</v>
      </c>
      <c r="E29" s="8">
        <f>39.26/365</f>
        <v>0.10756164383561644</v>
      </c>
      <c r="F29" s="8">
        <f t="shared" si="0"/>
        <v>2.0420391454037179E-7</v>
      </c>
      <c r="G29" s="13">
        <v>5.7599999999999998E-2</v>
      </c>
      <c r="H29" s="12">
        <f t="shared" si="3"/>
        <v>1.9470099877022086E-8</v>
      </c>
      <c r="I29" s="13">
        <f>3%</f>
        <v>0.03</v>
      </c>
      <c r="J29" s="14">
        <f t="shared" si="4"/>
        <v>0.69708137737390363</v>
      </c>
      <c r="K29" s="2">
        <v>1236</v>
      </c>
      <c r="L29" s="2">
        <v>214</v>
      </c>
      <c r="M29" s="15">
        <f t="shared" si="5"/>
        <v>0.17313915857605178</v>
      </c>
      <c r="N29" s="2"/>
      <c r="O29" s="15"/>
      <c r="P29" s="16">
        <v>757.14</v>
      </c>
      <c r="Q29" s="15">
        <v>0.188</v>
      </c>
      <c r="R29" s="2">
        <v>2100</v>
      </c>
      <c r="S29" s="18">
        <v>0.94899999999999995</v>
      </c>
      <c r="T29" s="16">
        <f t="shared" si="16"/>
        <v>1016.2417322252833</v>
      </c>
      <c r="U29" s="15">
        <f t="shared" si="17"/>
        <v>0.12735798529265421</v>
      </c>
      <c r="V29" s="16">
        <f t="shared" si="18"/>
        <v>503423932.09043646</v>
      </c>
      <c r="W29" s="15">
        <f t="shared" si="19"/>
        <v>0.13084363346301542</v>
      </c>
      <c r="X29" s="43"/>
      <c r="Y29" s="46"/>
      <c r="Z29" s="43"/>
    </row>
    <row r="30" spans="1:26" x14ac:dyDescent="0.3">
      <c r="A30" s="11" t="s">
        <v>57</v>
      </c>
      <c r="B30" s="11">
        <v>1204.67</v>
      </c>
      <c r="C30" s="11">
        <f t="shared" si="2"/>
        <v>7.0939609494973919</v>
      </c>
      <c r="D30" s="11">
        <v>4092</v>
      </c>
      <c r="E30" s="8">
        <f>58.51/365</f>
        <v>0.16030136986301369</v>
      </c>
      <c r="F30" s="8">
        <f t="shared" si="0"/>
        <v>1.3702009374218079E-7</v>
      </c>
      <c r="G30" s="13">
        <v>3.0000000000000001E-3</v>
      </c>
      <c r="H30" s="12">
        <f t="shared" si="3"/>
        <v>1.7475364088684313E-8</v>
      </c>
      <c r="I30" s="13">
        <f>3%</f>
        <v>0.03</v>
      </c>
      <c r="J30" s="14">
        <f t="shared" si="4"/>
        <v>0.77194510053966292</v>
      </c>
      <c r="K30" s="2">
        <v>307</v>
      </c>
      <c r="L30" s="2">
        <v>29</v>
      </c>
      <c r="M30" s="15">
        <f t="shared" si="5"/>
        <v>9.4462540716612378E-2</v>
      </c>
      <c r="N30" s="2"/>
      <c r="O30" s="15"/>
      <c r="P30" s="16">
        <v>271.87</v>
      </c>
      <c r="Q30" s="15">
        <v>8.6900000000000005E-2</v>
      </c>
      <c r="R30" s="2">
        <v>608.9</v>
      </c>
      <c r="S30" s="18">
        <v>0.88990000000000002</v>
      </c>
      <c r="T30" s="16">
        <f t="shared" si="16"/>
        <v>287.9726753351278</v>
      </c>
      <c r="U30" s="15">
        <f t="shared" si="17"/>
        <v>6.3954272914186303E-2</v>
      </c>
      <c r="V30" s="16">
        <f t="shared" si="18"/>
        <v>3051625873.9776468</v>
      </c>
      <c r="W30" s="15">
        <f t="shared" si="19"/>
        <v>6.3954272914186303E-2</v>
      </c>
      <c r="X30" s="16">
        <f>V30/F30</f>
        <v>2.227137488111514E+16</v>
      </c>
      <c r="Y30" s="15"/>
      <c r="Z30" s="19"/>
    </row>
    <row r="31" spans="1:26" x14ac:dyDescent="0.3">
      <c r="W31" s="4"/>
    </row>
    <row r="34" ht="14.5" customHeight="1" x14ac:dyDescent="0.3"/>
  </sheetData>
  <mergeCells count="32">
    <mergeCell ref="K1:M1"/>
    <mergeCell ref="N1:O1"/>
    <mergeCell ref="P1:Q1"/>
    <mergeCell ref="R1:S1"/>
    <mergeCell ref="T1:Y1"/>
    <mergeCell ref="AA3:AC8"/>
    <mergeCell ref="AA9:AC11"/>
    <mergeCell ref="A10:A11"/>
    <mergeCell ref="X10:X11"/>
    <mergeCell ref="Y10:Y11"/>
    <mergeCell ref="Z10:Z11"/>
    <mergeCell ref="A17:A22"/>
    <mergeCell ref="X17:X22"/>
    <mergeCell ref="Y17:Y22"/>
    <mergeCell ref="Z17:Z22"/>
    <mergeCell ref="A3:A8"/>
    <mergeCell ref="X3:X8"/>
    <mergeCell ref="Y3:Y8"/>
    <mergeCell ref="Z3:Z8"/>
    <mergeCell ref="AA12:AC13"/>
    <mergeCell ref="A13:A16"/>
    <mergeCell ref="X13:X16"/>
    <mergeCell ref="Y13:Y16"/>
    <mergeCell ref="Z13:Z16"/>
    <mergeCell ref="A23:A25"/>
    <mergeCell ref="X23:X25"/>
    <mergeCell ref="Y23:Y25"/>
    <mergeCell ref="Z23:Z25"/>
    <mergeCell ref="A28:A29"/>
    <mergeCell ref="X28:X29"/>
    <mergeCell ref="Y28:Y29"/>
    <mergeCell ref="Z28:Z29"/>
  </mergeCells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GammaVision</vt:lpstr>
      <vt:lpstr>脚本</vt:lpstr>
      <vt:lpstr>核素识别结果</vt:lpstr>
      <vt:lpstr>核素识别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ZHANG</dc:creator>
  <cp:lastModifiedBy>Albert ZHANG</cp:lastModifiedBy>
  <dcterms:created xsi:type="dcterms:W3CDTF">2022-10-11T12:48:26Z</dcterms:created>
  <dcterms:modified xsi:type="dcterms:W3CDTF">2022-10-20T15:15:08Z</dcterms:modified>
</cp:coreProperties>
</file>