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cale Messages" sheetId="1" r:id="rId4"/>
  </sheets>
  <definedNames/>
  <calcPr/>
</workbook>
</file>

<file path=xl/sharedStrings.xml><?xml version="1.0" encoding="utf-8"?>
<sst xmlns="http://schemas.openxmlformats.org/spreadsheetml/2006/main" count="3199" uniqueCount="1114">
  <si>
    <t>Screen ID</t>
  </si>
  <si>
    <t>Key</t>
  </si>
  <si>
    <t>Module</t>
  </si>
  <si>
    <t>Type</t>
  </si>
  <si>
    <t>EN</t>
  </si>
  <si>
    <t>JP</t>
  </si>
  <si>
    <t>CH</t>
  </si>
  <si>
    <t>FR</t>
  </si>
  <si>
    <t>DE</t>
  </si>
  <si>
    <t>ALL</t>
  </si>
  <si>
    <t>usage</t>
  </si>
  <si>
    <t>common</t>
  </si>
  <si>
    <t>Text</t>
  </si>
  <si>
    <t>Usage</t>
  </si>
  <si>
    <t>basic_usage</t>
  </si>
  <si>
    <t>Basic Usage</t>
  </si>
  <si>
    <t>install</t>
  </si>
  <si>
    <t>Installation</t>
  </si>
  <si>
    <t>design_system</t>
  </si>
  <si>
    <t>{{name}} Design System</t>
  </si>
  <si>
    <t>{{name}} Système de conception</t>
  </si>
  <si>
    <t>{{name}} Designsystem</t>
  </si>
  <si>
    <t>when_to_use</t>
  </si>
  <si>
    <t>When to use</t>
  </si>
  <si>
    <t>search</t>
  </si>
  <si>
    <t>Type search keyword</t>
  </si>
  <si>
    <t>company_name</t>
  </si>
  <si>
    <t>Avepoint</t>
  </si>
  <si>
    <t>app_name</t>
  </si>
  <si>
    <t>Allure {{text}}</t>
  </si>
  <si>
    <t>question_search</t>
  </si>
  <si>
    <t>What are you looking for?</t>
  </si>
  <si>
    <t>search_docs</t>
  </si>
  <si>
    <t>Search docs</t>
  </si>
  <si>
    <t>no_results</t>
  </si>
  <si>
    <t>No results for</t>
  </si>
  <si>
    <t>cancel</t>
  </si>
  <si>
    <t>Cancel</t>
  </si>
  <si>
    <t>submit</t>
  </si>
  <si>
    <t>Submit</t>
  </si>
  <si>
    <t>ok</t>
  </si>
  <si>
    <t>OK</t>
  </si>
  <si>
    <t>input</t>
  </si>
  <si>
    <t>Input</t>
  </si>
  <si>
    <t>loading</t>
  </si>
  <si>
    <t>Loading</t>
  </si>
  <si>
    <t>cobalt</t>
  </si>
  <si>
    <t>themes</t>
  </si>
  <si>
    <t>Cobalt</t>
  </si>
  <si>
    <t>teal</t>
  </si>
  <si>
    <t>Teal</t>
  </si>
  <si>
    <t>ochre</t>
  </si>
  <si>
    <t>Ochre</t>
  </si>
  <si>
    <t>violet</t>
  </si>
  <si>
    <t>Violet</t>
  </si>
  <si>
    <t>magenta</t>
  </si>
  <si>
    <t>Magenta</t>
  </si>
  <si>
    <t>lavender</t>
  </si>
  <si>
    <t>Lavender</t>
  </si>
  <si>
    <t>pewter</t>
  </si>
  <si>
    <t>Pewter</t>
  </si>
  <si>
    <t>mint</t>
  </si>
  <si>
    <t>Mint</t>
  </si>
  <si>
    <t>custom</t>
  </si>
  <si>
    <t>Custom theme color</t>
  </si>
  <si>
    <t>theme</t>
  </si>
  <si>
    <t>Theme: {{theme}}</t>
  </si>
  <si>
    <t>テーマ：{{theme}}</t>
  </si>
  <si>
    <t>Thème: {{theme}}</t>
  </si>
  <si>
    <t>Thema: {{theme}}</t>
  </si>
  <si>
    <t>upload</t>
  </si>
  <si>
    <t>Upload</t>
  </si>
  <si>
    <t>download</t>
  </si>
  <si>
    <t>Download</t>
  </si>
  <si>
    <t>en</t>
  </si>
  <si>
    <t>language</t>
  </si>
  <si>
    <t>English</t>
  </si>
  <si>
    <t>de</t>
  </si>
  <si>
    <t>German</t>
  </si>
  <si>
    <t>ch</t>
  </si>
  <si>
    <t>Chinese</t>
  </si>
  <si>
    <t>jp</t>
  </si>
  <si>
    <t>Japanese</t>
  </si>
  <si>
    <t>fr</t>
  </si>
  <si>
    <t>French</t>
  </si>
  <si>
    <t>introduction</t>
  </si>
  <si>
    <t>left_bar</t>
  </si>
  <si>
    <t>Introduction</t>
  </si>
  <si>
    <t>design_principle</t>
  </si>
  <si>
    <t>Design principle</t>
  </si>
  <si>
    <t>design_standard</t>
  </si>
  <si>
    <t>Design standard</t>
  </si>
  <si>
    <t>change_log</t>
  </si>
  <si>
    <t>Change log</t>
  </si>
  <si>
    <t>button</t>
  </si>
  <si>
    <t>Button</t>
  </si>
  <si>
    <t>icon_gallery</t>
  </si>
  <si>
    <t>Icon Gallery</t>
  </si>
  <si>
    <t>icon</t>
  </si>
  <si>
    <t>Icon</t>
  </si>
  <si>
    <t>common_i18n_terms</t>
  </si>
  <si>
    <t>Common I18N Terms</t>
  </si>
  <si>
    <t>common_product</t>
  </si>
  <si>
    <t>Common Product</t>
  </si>
  <si>
    <t>typography</t>
  </si>
  <si>
    <t>Typography</t>
  </si>
  <si>
    <t>breadcrumb</t>
  </si>
  <si>
    <t>Breadcrumb</t>
  </si>
  <si>
    <t>navigation_menu</t>
  </si>
  <si>
    <t>Navigation Menu</t>
  </si>
  <si>
    <t>navigation_menu_light</t>
  </si>
  <si>
    <t>Navigation Menu Light</t>
  </si>
  <si>
    <t>tab</t>
  </si>
  <si>
    <t>Tab</t>
  </si>
  <si>
    <t>tree</t>
  </si>
  <si>
    <t>Tree</t>
  </si>
  <si>
    <t>wizard</t>
  </si>
  <si>
    <t>Wizard</t>
  </si>
  <si>
    <t>autocomplete</t>
  </si>
  <si>
    <t>AutoComplete</t>
  </si>
  <si>
    <t>avatar</t>
  </si>
  <si>
    <t>Avatar</t>
  </si>
  <si>
    <t>checkbox</t>
  </si>
  <si>
    <t>Checkbox</t>
  </si>
  <si>
    <t>datepicker</t>
  </si>
  <si>
    <t>Date Picker</t>
  </si>
  <si>
    <t>expander</t>
  </si>
  <si>
    <t>Expander</t>
  </si>
  <si>
    <t>fileuploader</t>
  </si>
  <si>
    <t>File Uploader</t>
  </si>
  <si>
    <t>peoplepicker</t>
  </si>
  <si>
    <t>People Picker</t>
  </si>
  <si>
    <t>radio_button</t>
  </si>
  <si>
    <t>Radio button</t>
  </si>
  <si>
    <t>select</t>
  </si>
  <si>
    <t>Select</t>
  </si>
  <si>
    <t>switch</t>
  </si>
  <si>
    <t>Switch</t>
  </si>
  <si>
    <t>timepicker</t>
  </si>
  <si>
    <t>TimePicker</t>
  </si>
  <si>
    <t>calendar</t>
  </si>
  <si>
    <t>Calendar</t>
  </si>
  <si>
    <t>carousel</t>
  </si>
  <si>
    <t>Carousel</t>
  </si>
  <si>
    <t>filters</t>
  </si>
  <si>
    <t>Filters</t>
  </si>
  <si>
    <t>pagination</t>
  </si>
  <si>
    <t>Pagination</t>
  </si>
  <si>
    <t>table</t>
  </si>
  <si>
    <t>Table</t>
  </si>
  <si>
    <t>tooltips</t>
  </si>
  <si>
    <t>Tooltips</t>
  </si>
  <si>
    <t>message</t>
  </si>
  <si>
    <t>Message</t>
  </si>
  <si>
    <t>notification</t>
  </si>
  <si>
    <t>Notification</t>
  </si>
  <si>
    <t>dialog</t>
  </si>
  <si>
    <t>Dialog</t>
  </si>
  <si>
    <t>modal</t>
  </si>
  <si>
    <t>Modal</t>
  </si>
  <si>
    <t>panel</t>
  </si>
  <si>
    <t>Panel</t>
  </si>
  <si>
    <t>popover</t>
  </si>
  <si>
    <t>Popover</t>
  </si>
  <si>
    <t>progress</t>
  </si>
  <si>
    <t>Progress</t>
  </si>
  <si>
    <t>waffle</t>
  </si>
  <si>
    <t>Waffle</t>
  </si>
  <si>
    <t>activity_timeline</t>
  </si>
  <si>
    <t>Activity timeline</t>
  </si>
  <si>
    <t>basic</t>
  </si>
  <si>
    <t>Basic</t>
  </si>
  <si>
    <t>navigation</t>
  </si>
  <si>
    <t>Navigation</t>
  </si>
  <si>
    <t>form</t>
  </si>
  <si>
    <t>Form</t>
  </si>
  <si>
    <t>data</t>
  </si>
  <si>
    <t>Data</t>
  </si>
  <si>
    <t>feedback</t>
  </si>
  <si>
    <t>Feed Back</t>
  </si>
  <si>
    <t>others</t>
  </si>
  <si>
    <t>Others</t>
  </si>
  <si>
    <t>not_verify</t>
  </si>
  <si>
    <t>Not production verified</t>
  </si>
  <si>
    <t>design_desc</t>
  </si>
  <si>
    <t>This {{app}} design system contains both style and interaction guideline which can be applied to the online products of {{company}}. It can help us to build a consistency user experience for {{company}} customers.</t>
  </si>
  <si>
    <t>この{{app}}設計システムには、{{company}}のオンライン製品に適用できるスタイルとインタラクションの両方のガイドラインが含まれています。 {{company}}顧客の一貫性ユーザーエクスペリエンスを構築するのに役立ちます。</t>
  </si>
  <si>
    <t>此{{app}}设计系统包含样式和交互指南，可以应用于{{company}}的在线产品。它可以帮助我们为{{company}}客户建立一致性用户体验。</t>
  </si>
  <si>
    <t>Ce système de conception {{app}} contient à la fois des directives de style et d'interaction qui peuvent être appliquées aux produits en ligne de {{company}}. Il peut nous aider à créer une expérience utilisateur de cohérence pour les clients {{company}}.</t>
  </si>
  <si>
    <t>Dieses Designsystem {{app}} enthält sowohl Stil- als auch Interaktionsrichtlinien, die auf die Online -Produkte von {{company}} angewendet werden können. Es kann uns helfen, eine Konsistenz -Benutzererfahrung für {{company}} -Kunden aufzubauen.</t>
  </si>
  <si>
    <t>wcag_title</t>
  </si>
  <si>
    <t>WCAG2.0 supported</t>
  </si>
  <si>
    <t>wcag_desc</t>
  </si>
  <si>
    <t>Web Content Accessibility Guidelines (WCAG) 2.0 covers a wide range of recommendations for making Web content more accessible. Following these guidelines will make content accessible to a wider range of people with disabilities, including blindness and low vision, deafness and hearing loss, learning disabilities, cognitive limitations, limited movement, speech disabilities, photosensitivity and combinations of these. Following these guidelines will also often make your Web content more usable to users in general.</t>
  </si>
  <si>
    <t>wcag_overview</t>
  </si>
  <si>
    <t>WCAG 2 Overview</t>
  </si>
  <si>
    <t>environment</t>
  </si>
  <si>
    <t>Environment Support</t>
  </si>
  <si>
    <t>last_version</t>
  </si>
  <si>
    <t>Latest {{number}} versions</t>
  </si>
  <si>
    <t xml:space="preserve">Dernières {{number}} versions </t>
  </si>
  <si>
    <t>Neueste {{number}} Versionen</t>
  </si>
  <si>
    <t>setup</t>
  </si>
  <si>
    <t>Since Allure UI is hosted on the feed _ of Proget, you should create a .npmrc file under the root folder of your UI project.</t>
  </si>
  <si>
    <t>Then install the {{name}} UI package:</t>
  </si>
  <si>
    <t>Installieren Sie dann das {{name}} UI -Paket:</t>
  </si>
  <si>
    <t>In the root file of your React App, import {{name}} UI and set the corresponding theme and language.</t>
  </si>
  <si>
    <t>Importieren Sie in der Root -Datei Ihrer React -App {{name}} ui und setzen Sie das entsprechende Thema und die entsprechende Sprache.</t>
  </si>
  <si>
    <t>DA01</t>
  </si>
  <si>
    <t>title</t>
  </si>
  <si>
    <t>desc</t>
  </si>
  <si>
    <t>Dialogs are modal control. It is a temporary popup that requires users to interact with the application.</t>
  </si>
  <si>
    <t>uses_1</t>
  </si>
  <si>
    <t>It is used for confirming actions, such as delete/cancel an item, asking people to notice.</t>
  </si>
  <si>
    <t>uses_2</t>
  </si>
  <si>
    <t>The user must make some choices before the next step. When the error result needs the user to pay attention to, use dialog to show the alert.</t>
  </si>
  <si>
    <t>layout</t>
  </si>
  <si>
    <t>Layout:</t>
  </si>
  <si>
    <t>layout_desc</t>
  </si>
  <si>
    <t>Default width: 480px, max height can be 80%x current. Browser-height. When the content space is full, it should begin to scroll vertically. You should avoid horizontal scrolling.</t>
  </si>
  <si>
    <t>header</t>
  </si>
  <si>
    <t>Header:</t>
  </si>
  <si>
    <t>header_desc</t>
  </si>
  <si>
    <t>Provide a title on the left and keep the title as simple and intuitive as possible, such as “Delete” “Warning”</t>
  </si>
  <si>
    <t>Button:</t>
  </si>
  <si>
    <t>button_desc</t>
  </si>
  <si>
    <t>Includes one primary button. A secondary button is optional. Primary confirmation button is always placed on the right side. Write button labels that are specific responses to the main information in the title. The title “Delete this file?” could have buttons labeled “Delete” and “Cancel” The Esc key acts like a “Cancel” effect.</t>
  </si>
  <si>
    <t>open</t>
  </si>
  <si>
    <t>Open dialog</t>
  </si>
  <si>
    <t>confirm</t>
  </si>
  <si>
    <t>Confirm</t>
  </si>
  <si>
    <t>email_confirm</t>
  </si>
  <si>
    <t>Email Confirm</t>
  </si>
  <si>
    <t>email_text</t>
  </si>
  <si>
    <t>Do you want to send this message without a subject? If you want to send, please click 'Send', or you can cancel by pressing 'Don't send' or 'Close'.</t>
  </si>
  <si>
    <t>DP01</t>
  </si>
  <si>
    <t>useful</t>
  </si>
  <si>
    <t>Useful</t>
  </si>
  <si>
    <t>usable</t>
  </si>
  <si>
    <t>Usable</t>
  </si>
  <si>
    <t>efficiency</t>
  </si>
  <si>
    <t>Efficiency</t>
  </si>
  <si>
    <t>consistency</t>
  </si>
  <si>
    <t>Consistency</t>
  </si>
  <si>
    <t>accessible</t>
  </si>
  <si>
    <t>Accessible</t>
  </si>
  <si>
    <t>collaborative</t>
  </si>
  <si>
    <t>Collaborative</t>
  </si>
  <si>
    <t>responsive</t>
  </si>
  <si>
    <t>Responsive</t>
  </si>
  <si>
    <t>useful_desc</t>
  </si>
  <si>
    <t>Our users' content always comes first - make sure we're focusing the user's business goals and always be task driven.</t>
  </si>
  <si>
    <t>usable_desc</t>
  </si>
  <si>
    <t>All the users can use it without difficulties. The content needs to be clear and easy to find. Functions need to be easily accessed and efficient.</t>
  </si>
  <si>
    <t>efficiency_desc</t>
  </si>
  <si>
    <t>We choose to display UI elements only when they are needed, rather than make them available at all times.</t>
  </si>
  <si>
    <t>consistency_desc</t>
  </si>
  <si>
    <t>Create familiarity and strengthen intuition by applying the same solution to the same questions can reduce the learning cost.</t>
  </si>
  <si>
    <t>accessible_desc</t>
  </si>
  <si>
    <t>All page designs meet accessibility requirements in terms of color contrast, navigation alternatives, and more guidelines based on WCAG 2.0.</t>
  </si>
  <si>
    <t>collaborative_desc</t>
  </si>
  <si>
    <t>We provide a wealth of teaching activities and enable teamwork.</t>
  </si>
  <si>
    <t>responsive_desc</t>
  </si>
  <si>
    <t>Using an 8-pixel base unit allows components to scale consistently across all display sizes.</t>
  </si>
  <si>
    <t>BTN01</t>
  </si>
  <si>
    <t>Use Button to perform a specific action.</t>
  </si>
  <si>
    <t>use_need</t>
  </si>
  <si>
    <t>Use Primary buttons in situations where uers may need to:</t>
  </si>
  <si>
    <t>Submit a form (Submit , Apply, Save, OK, Cancel, Close)</t>
  </si>
  <si>
    <t>Begin a new task (Start, Create) - Specify a new or next step in a process (Back, Next)</t>
  </si>
  <si>
    <t>uses_3</t>
  </si>
  <si>
    <t>Others which are important</t>
  </si>
  <si>
    <t>use_link</t>
  </si>
  <si>
    <t>Primary button always on the right . Please refer to principle _ (https://3.7designs.co/blog/2009/01/03/the-gutenburg-diagram-in-design/)</t>
  </si>
  <si>
    <t>basic_desc</t>
  </si>
  <si>
    <t>Buttons are clickable items used to perform an action. It is better to make the recommended action on the page to be the primary button. In general, a button always has these five statuses: normal, hover, clicked, focused and disabled.</t>
  </si>
  <si>
    <t>normal</t>
  </si>
  <si>
    <t>Normal button</t>
  </si>
  <si>
    <t>outline</t>
  </si>
  <si>
    <t>Outline</t>
  </si>
  <si>
    <t>filled</t>
  </si>
  <si>
    <t>Filled Button</t>
  </si>
  <si>
    <t>dashed</t>
  </si>
  <si>
    <t>Dashed button</t>
  </si>
  <si>
    <t>link</t>
  </si>
  <si>
    <t>Link button</t>
  </si>
  <si>
    <t>disable</t>
  </si>
  <si>
    <t>Disable</t>
  </si>
  <si>
    <t>enable_text</t>
  </si>
  <si>
    <t>Enable focus on disabled buttons</t>
  </si>
  <si>
    <t>Icon Button</t>
  </si>
  <si>
    <t>context_menu</t>
  </si>
  <si>
    <t>Context Menu</t>
  </si>
  <si>
    <t>content</t>
  </si>
  <si>
    <t>This button is disabled because we set disabled property</t>
  </si>
  <si>
    <t>email</t>
  </si>
  <si>
    <t>Email message</t>
  </si>
  <si>
    <t>Calendar event</t>
  </si>
  <si>
    <t>meeting</t>
  </si>
  <si>
    <t>Meeting</t>
  </si>
  <si>
    <t>startup</t>
  </si>
  <si>
    <t>Startup</t>
  </si>
  <si>
    <t>group</t>
  </si>
  <si>
    <t>Button Group</t>
  </si>
  <si>
    <t>toggle</t>
  </si>
  <si>
    <t>Toggle Busy</t>
  </si>
  <si>
    <t>IL01</t>
  </si>
  <si>
    <t>This is a preview list of all three kinds of font icons. Allure font is customized by AvePoint, Font awesome is quoted from the Font Awesome library, and another Office UI fabric Icons are Microsoft font library.</t>
  </si>
  <si>
    <t>use</t>
  </si>
  <si>
    <t>They all can be used in design according to different scenarios.</t>
  </si>
  <si>
    <t>Search...</t>
  </si>
  <si>
    <t>IC01</t>
  </si>
  <si>
    <t>Icon provides visual context and enhances usability. It is often used as an action. Display the icon when it is available. Otherwise, they will be disabled. Always use a show full name when hovering on an icon, there will be a tooltip to display its full name.</t>
  </si>
  <si>
    <t>free</t>
  </si>
  <si>
    <t>with custom color</t>
  </si>
  <si>
    <t>TP01</t>
  </si>
  <si>
    <t>This is a component for displaying text. You can use this to standardize text across your system.</t>
  </si>
  <si>
    <t>spacing</t>
  </si>
  <si>
    <t>Letter Spacing</t>
  </si>
  <si>
    <t>font</t>
  </si>
  <si>
    <t>Font Convention</t>
  </si>
  <si>
    <t>page_header</t>
  </si>
  <si>
    <t>Page Header Title</t>
  </si>
  <si>
    <t>large_header</t>
  </si>
  <si>
    <t>Heading large bold</t>
  </si>
  <si>
    <t>medium_header</t>
  </si>
  <si>
    <t>Heading medium bold</t>
  </si>
  <si>
    <t>bold_header</t>
  </si>
  <si>
    <t>Bold heading</t>
  </si>
  <si>
    <t>semi_header</t>
  </si>
  <si>
    <t>Semibold Heading</t>
  </si>
  <si>
    <t>default</t>
  </si>
  <si>
    <t>Default body</t>
  </si>
  <si>
    <t>secondary</t>
  </si>
  <si>
    <t>Secondary text</t>
  </si>
  <si>
    <t>Calendar Month/Year</t>
  </si>
  <si>
    <t>Panel and popup title</t>
  </si>
  <si>
    <t>section</t>
  </si>
  <si>
    <t>Section title, table primary column value</t>
  </si>
  <si>
    <t>label</t>
  </si>
  <si>
    <t>Label title, table column name, action</t>
  </si>
  <si>
    <t>body</t>
  </si>
  <si>
    <t>Body</t>
  </si>
  <si>
    <t>watermark</t>
  </si>
  <si>
    <t>Description, watermark</t>
  </si>
  <si>
    <t>BC01</t>
  </si>
  <si>
    <t>It display by the page hierarchy and allows user to know where they are. Better to have this breadcrumb navigation except for homepage.</t>
  </si>
  <si>
    <t>dont_use</t>
  </si>
  <si>
    <t>Don't use when:</t>
  </si>
  <si>
    <t>dont_1</t>
  </si>
  <si>
    <t>Product has no logical hierarchy</t>
  </si>
  <si>
    <t>dont_2</t>
  </si>
  <si>
    <t>There are too many navigation options that are very close together.</t>
  </si>
  <si>
    <t>dont_3</t>
  </si>
  <si>
    <t>Breadcrumb cannot replace the primary navigation.</t>
  </si>
  <si>
    <t>usage_desc</t>
  </si>
  <si>
    <t>When there is only 1 level breadcrumb, it is not clickable. But the text color is black.</t>
  </si>
  <si>
    <t>home</t>
  </si>
  <si>
    <t>Home</t>
  </si>
  <si>
    <t>usage_desc_1</t>
  </si>
  <si>
    <t>Some links may not be clickable.</t>
  </si>
  <si>
    <t>non_click</t>
  </si>
  <si>
    <t>(non-clickable)</t>
  </si>
  <si>
    <t>sub</t>
  </si>
  <si>
    <t>Sub</t>
  </si>
  <si>
    <t>detail</t>
  </si>
  <si>
    <t>Detail</t>
  </si>
  <si>
    <t>application</t>
  </si>
  <si>
    <t>Application</t>
  </si>
  <si>
    <t>management</t>
  </si>
  <si>
    <t>usage_desc_2</t>
  </si>
  <si>
    <t>Example for multi-parent nodes. This is a common style.</t>
  </si>
  <si>
    <t>usage_desc_3</t>
  </si>
  <si>
    <t>Show ... in the middle of breadcrumb when there are so many nodes that cannot show all at the same time. Always keep the first level and the last level visible.</t>
  </si>
  <si>
    <t>usage_desc_4</t>
  </si>
  <si>
    <t>Show ... at the beginning of breadcrumb when there are so many nodes that cannot show all at the same time. Always keep the last level visible.</t>
  </si>
  <si>
    <t>second</t>
  </si>
  <si>
    <t>Second level</t>
  </si>
  <si>
    <t>third</t>
  </si>
  <si>
    <t>Third level</t>
  </si>
  <si>
    <t>NM01</t>
  </si>
  <si>
    <t>Navigation menu is the list of links that the user can always access.</t>
  </si>
  <si>
    <t>usage_1</t>
  </si>
  <si>
    <t>Which contains the main functions links. A main function navigation can have sub-navigation items by using a hierarchy style.</t>
  </si>
  <si>
    <t>usage_2</t>
  </si>
  <si>
    <t>Icons in the navigation bar serve as a visual affordance that indicates the item is actionable. For example, when hovering a navigation item, it will appear lighter blue color as the background.</t>
  </si>
  <si>
    <t>usage_3</t>
  </si>
  <si>
    <t>If a navigation item is a group, it does not have the function to access other pages. Only can expand or collapse the navigation item group.</t>
  </si>
  <si>
    <t>dashboard</t>
  </si>
  <si>
    <t>Dashboard</t>
  </si>
  <si>
    <t>user_management</t>
  </si>
  <si>
    <t>User Management</t>
  </si>
  <si>
    <t>sub_nav_item1</t>
  </si>
  <si>
    <t>Sub nav item1</t>
  </si>
  <si>
    <t>sub_nav_item2</t>
  </si>
  <si>
    <t>Sub nav item2</t>
  </si>
  <si>
    <t>sub_nav_item3</t>
  </si>
  <si>
    <t>Sub nav item3</t>
  </si>
  <si>
    <t>user_long</t>
  </si>
  <si>
    <t>User Management with long title</t>
  </si>
  <si>
    <t>sub_long</t>
  </si>
  <si>
    <t>Sub nav item1 with long long title long long title long long title long long title long long title title long long title long long</t>
  </si>
  <si>
    <t>templates</t>
  </si>
  <si>
    <t>Templates</t>
  </si>
  <si>
    <t>help</t>
  </si>
  <si>
    <t>Help</t>
  </si>
  <si>
    <t>settings</t>
  </si>
  <si>
    <t>Settings</t>
  </si>
  <si>
    <t>collapse</t>
  </si>
  <si>
    <t>Navigation-Collapsed</t>
  </si>
  <si>
    <t>collapse_desc</t>
  </si>
  <si>
    <t>The navigation menu is always collapsed.</t>
  </si>
  <si>
    <t>light</t>
  </si>
  <si>
    <t>Light</t>
  </si>
  <si>
    <t>TB01</t>
  </si>
  <si>
    <t>Tab {{index}}</t>
  </si>
  <si>
    <t>标签 {{index}}</t>
  </si>
  <si>
    <t>Languette {{index}}</t>
  </si>
  <si>
    <t>Tabs keeps related content in a single container that is shown and hidden through navigation.</t>
  </si>
  <si>
    <t>Do not display too many tabs at a time, user cannot remember more than 7-9 names. Collapse the rest of the tabs into "..." more action.</t>
  </si>
  <si>
    <t>card</t>
  </si>
  <si>
    <t>Card Style</t>
  </si>
  <si>
    <t>card_desc</t>
  </si>
  <si>
    <t>Tabs are styled as cards. Choose a card-style tab according to your page layout.</t>
  </si>
  <si>
    <t>vertical</t>
  </si>
  <si>
    <t>Vertical Tabs</t>
  </si>
  <si>
    <t>vertical_desc</t>
  </si>
  <si>
    <t>Vertical tabs are the tabs arranged on the left in a vertical space, instead of on the top in a horizontal space.</t>
  </si>
  <si>
    <t>TR01</t>
  </si>
  <si>
    <t>Which can be used in a complex hierarchy to emphasize the whole structure.</t>
  </si>
  <si>
    <t>nutrition</t>
  </si>
  <si>
    <t>Nutrition</t>
  </si>
  <si>
    <t>vegetables</t>
  </si>
  <si>
    <t>Vegetables</t>
  </si>
  <si>
    <t>carrot</t>
  </si>
  <si>
    <t>Carrot</t>
  </si>
  <si>
    <t>potato</t>
  </si>
  <si>
    <t>Potato</t>
  </si>
  <si>
    <t>cabbage</t>
  </si>
  <si>
    <t>Cabbage</t>
  </si>
  <si>
    <t>fats</t>
  </si>
  <si>
    <t>Fats</t>
  </si>
  <si>
    <t>oil</t>
  </si>
  <si>
    <t>Oil</t>
  </si>
  <si>
    <t>nuts</t>
  </si>
  <si>
    <t>Nuts</t>
  </si>
  <si>
    <t>proteins</t>
  </si>
  <si>
    <t>Proteins</t>
  </si>
  <si>
    <t>egg</t>
  </si>
  <si>
    <t>Egg</t>
  </si>
  <si>
    <t>fish</t>
  </si>
  <si>
    <t>Fish</t>
  </si>
  <si>
    <t>milk</t>
  </si>
  <si>
    <t>Milk</t>
  </si>
  <si>
    <t>Custom Icon</t>
  </si>
  <si>
    <t>drag_drop</t>
  </si>
  <si>
    <t>Drag &amp; Drop</t>
  </si>
  <si>
    <t>selectable</t>
  </si>
  <si>
    <t>Selectable</t>
  </si>
  <si>
    <t>filter</t>
  </si>
  <si>
    <t>Filter</t>
  </si>
  <si>
    <t>directory</t>
  </si>
  <si>
    <t>Directory Tree</t>
  </si>
  <si>
    <t>refresh</t>
  </si>
  <si>
    <t>Refresh selected item</t>
  </si>
  <si>
    <t>furniture</t>
  </si>
  <si>
    <t>Furniture</t>
  </si>
  <si>
    <t>tables_chairs</t>
  </si>
  <si>
    <t>Tables &amp; Chairs</t>
  </si>
  <si>
    <t>sofas</t>
  </si>
  <si>
    <t>Sofas</t>
  </si>
  <si>
    <t>occasional_furniture</t>
  </si>
  <si>
    <t>Occasional Furniture</t>
  </si>
  <si>
    <t>decor</t>
  </si>
  <si>
    <t>Decor</t>
  </si>
  <si>
    <t>bed_linen</t>
  </si>
  <si>
    <t>Bed Linen</t>
  </si>
  <si>
    <t>curtains_blinds</t>
  </si>
  <si>
    <t>Curtains &amp; Blinds</t>
  </si>
  <si>
    <t>carpets</t>
  </si>
  <si>
    <t>Carpets</t>
  </si>
  <si>
    <t>email_message</t>
  </si>
  <si>
    <t>calendar_event</t>
  </si>
  <si>
    <t>WZ01</t>
  </si>
  <si>
    <t>Wizard is a progress indicator that communicates to the user the progress of a particular process.</t>
  </si>
  <si>
    <t>use_desc</t>
  </si>
  <si>
    <t>Use a wizard when a user needs to fill or operate a lot of content, especially when this content has hierarchy relationships.</t>
  </si>
  <si>
    <t>horizontal</t>
  </si>
  <si>
    <t>Horizontal Wizard</t>
  </si>
  <si>
    <t>horizontal_desc</t>
  </si>
  <si>
    <t>Horizontal wizards are ideal when the contents of one step depend on an earlier step. Avoid using long step names in horizontal wizards.</t>
  </si>
  <si>
    <t>general</t>
  </si>
  <si>
    <t>General</t>
  </si>
  <si>
    <t>template</t>
  </si>
  <si>
    <t>Template</t>
  </si>
  <si>
    <t>authentication</t>
  </si>
  <si>
    <t>Authentication</t>
  </si>
  <si>
    <t>optional</t>
  </si>
  <si>
    <t>Optional</t>
  </si>
  <si>
    <t>review</t>
  </si>
  <si>
    <t>Review</t>
  </si>
  <si>
    <t>Content</t>
  </si>
  <si>
    <t>next</t>
  </si>
  <si>
    <t>Next</t>
  </si>
  <si>
    <t>Vertical</t>
  </si>
  <si>
    <t>The vertical wizard offers room for growth. It can be extended if one step contains sub-steps, or the number of steps increases.</t>
  </si>
  <si>
    <t>Your progress</t>
  </si>
  <si>
    <t>general_detail</t>
  </si>
  <si>
    <t>When the step is active, we can show a short description here on what this step entails.</t>
  </si>
  <si>
    <t>security</t>
  </si>
  <si>
    <t>Security Settings</t>
  </si>
  <si>
    <t>summary</t>
  </si>
  <si>
    <t>Summary</t>
  </si>
  <si>
    <t>finish</t>
  </si>
  <si>
    <t>Finish</t>
  </si>
  <si>
    <t>back</t>
  </si>
  <si>
    <t>Back</t>
  </si>
  <si>
    <t>AP01</t>
  </si>
  <si>
    <t>auto_complete</t>
  </si>
  <si>
    <t>The date field can be automatically filled or show users an option list that stored previous information, such as a user's name or address. When a user enters a value, the selection control can auto-load the matched results.</t>
  </si>
  <si>
    <t>use_1</t>
  </si>
  <si>
    <t>Use auto-complete field when the user tends to use the data that he/she already entered before.</t>
  </si>
  <si>
    <t>use_2</t>
  </si>
  <si>
    <t>Search for matched values from list</t>
  </si>
  <si>
    <t>use_3</t>
  </si>
  <si>
    <t>Global search, anything that matched the keywords will be displayed</t>
  </si>
  <si>
    <t>Enter a keyword for name, email address, postal code, and so on.</t>
  </si>
  <si>
    <t>Search</t>
  </si>
  <si>
    <t>search_desc</t>
  </si>
  <si>
    <t>Enter keywords with a search icon.</t>
  </si>
  <si>
    <t>AT01</t>
  </si>
  <si>
    <t>An avatar component represents a user, an object or entity.</t>
  </si>
  <si>
    <t>Displays a list of personas. Each circle represents a person and contains their image or initials. Often this control is used when sharing who has access to a specific view or file, or when assigning someone a task within a workflow.</t>
  </si>
  <si>
    <t>not_use</t>
  </si>
  <si>
    <t>Do not use it when:</t>
  </si>
  <si>
    <t>not_1</t>
  </si>
  <si>
    <t>User or group is not the primary information you want to display in a table or list.</t>
  </si>
  <si>
    <t>not_2</t>
  </si>
  <si>
    <t>There is not enough space to display it.</t>
  </si>
  <si>
    <t>Can put a composition of the person’s initials on a background color when there is no person image, or no image needed.</t>
  </si>
  <si>
    <t>image</t>
  </si>
  <si>
    <t>Image</t>
  </si>
  <si>
    <t>image_desc</t>
  </si>
  <si>
    <t>Use this vivid style when there is an image can display.</t>
  </si>
  <si>
    <t>square</t>
  </si>
  <si>
    <t>Square</t>
  </si>
  <si>
    <t>quare_desc</t>
  </si>
  <si>
    <t>Only use for the right-top login user in the header zone.</t>
  </si>
  <si>
    <t>CL_01</t>
  </si>
  <si>
    <t>Change Log</t>
  </si>
  <si>
    <t>bug</t>
  </si>
  <si>
    <t>Bug</t>
  </si>
  <si>
    <t>improvement</t>
  </si>
  <si>
    <t>Improvement</t>
  </si>
  <si>
    <t>task</t>
  </si>
  <si>
    <t>Task</t>
  </si>
  <si>
    <t>apaui_307</t>
  </si>
  <si>
    <t>[range picker]: Clear should clear all selected dates</t>
  </si>
  <si>
    <t>apaui_314</t>
  </si>
  <si>
    <t>Time picker bug</t>
  </si>
  <si>
    <t>apaui_318</t>
  </si>
  <si>
    <t>Navigation should set a unified icon scope for navigation item</t>
  </si>
  <si>
    <t>apaui_319</t>
  </si>
  <si>
    <t>[Date range (recommended)] can not lost focus</t>
  </si>
  <si>
    <t>apaui_320</t>
  </si>
  <si>
    <t>Waffle item should add button ID</t>
  </si>
  <si>
    <t>apaui_323</t>
  </si>
  <si>
    <t>Select should add 'search no results' demo</t>
  </si>
  <si>
    <t>apaui_325</t>
  </si>
  <si>
    <t>Arrow disabled color is not correct in [select]</t>
  </si>
  <si>
    <t>apaui_327</t>
  </si>
  <si>
    <t>Popover unread badge moves when clicking</t>
  </si>
  <si>
    <t>apaui_328</t>
  </si>
  <si>
    <t>Small switch padding is not correct</t>
  </si>
  <si>
    <t>apaui_329</t>
  </si>
  <si>
    <t>Update columns icon</t>
  </si>
  <si>
    <t>apaui_334</t>
  </si>
  <si>
    <t>Toast icon is not same with design</t>
  </si>
  <si>
    <t>apaui_322</t>
  </si>
  <si>
    <t>Rename to multiple file uploader</t>
  </si>
  <si>
    <t>apaui_326</t>
  </si>
  <si>
    <t>Typography add 14px- bold font example.</t>
  </si>
  <si>
    <t>apaui_333</t>
  </si>
  <si>
    <t>Expander 1st level font change to 14px, bold</t>
  </si>
  <si>
    <t>apaui_315</t>
  </si>
  <si>
    <t>Character counter for multiple textbox</t>
  </si>
  <si>
    <t>apaui_271</t>
  </si>
  <si>
    <t>People picker: The left/right arrow key should not clear the content</t>
  </si>
  <si>
    <t>apaui_281</t>
  </si>
  <si>
    <t>Spacing in modal is not accurate</t>
  </si>
  <si>
    <t>apaui_284</t>
  </si>
  <si>
    <t>Timer picker focus border shows incompletely.</t>
  </si>
  <si>
    <t>apaui_286</t>
  </si>
  <si>
    <t>Wizard step should be center aligned</t>
  </si>
  <si>
    <t>apaui_297</t>
  </si>
  <si>
    <t>Loading needs to fit the actual content size</t>
  </si>
  <si>
    <t>apaui_299</t>
  </si>
  <si>
    <t>Date range changes to month view while clicking year view</t>
  </si>
  <si>
    <t>apaui_300</t>
  </si>
  <si>
    <t>People picker list: The second level font will turn into white after click.</t>
  </si>
  <si>
    <t>apaui_304</t>
  </si>
  <si>
    <t>Divider line should have left and right padding, instead of a through line within a modal/popup</t>
  </si>
  <si>
    <t>apaui_305</t>
  </si>
  <si>
    <t>Dialog title padding-bottom should be 24px</t>
  </si>
  <si>
    <t>apaui_308</t>
  </si>
  <si>
    <t>Expander new style issues</t>
  </si>
  <si>
    <t>apaui_311</t>
  </si>
  <si>
    <t>Click Enable daily scan time twice, the scrollbar of hours can not pull down, hours: 6-11 can not be selected</t>
  </si>
  <si>
    <t>apaui_312</t>
  </si>
  <si>
    <t>Time picker can not lost focus</t>
  </si>
  <si>
    <t>apaui_313</t>
  </si>
  <si>
    <t>Activity timeline UI problems</t>
  </si>
  <si>
    <t>apaui_317</t>
  </si>
  <si>
    <t>Remove primary button in the table</t>
  </si>
  <si>
    <t>apaui_209</t>
  </si>
  <si>
    <t>[Research]Improve date range control</t>
  </si>
  <si>
    <t>apaui_301</t>
  </si>
  <si>
    <t>Change log updates</t>
  </si>
  <si>
    <t>apaui_302</t>
  </si>
  <si>
    <t>[Time picker] Add one picker with am/pm by default</t>
  </si>
  <si>
    <t>apaui_303</t>
  </si>
  <si>
    <t>Dialog and modal website wording improvement</t>
  </si>
  <si>
    <t>apaui_306</t>
  </si>
  <si>
    <t>Table primary column: Add hover style</t>
  </si>
  <si>
    <t>apaui_195</t>
  </si>
  <si>
    <t>Single file uploader</t>
  </si>
  <si>
    <t>apaui_197</t>
  </si>
  <si>
    <t>Date range picker add OK button</t>
  </si>
  <si>
    <t>apaui_293</t>
  </si>
  <si>
    <t>Expander another style</t>
  </si>
  <si>
    <t>apaui_295</t>
  </si>
  <si>
    <t>apaui_298</t>
  </si>
  <si>
    <t>Add a seperated two calendar control for Date range</t>
  </si>
  <si>
    <t>apaui_170</t>
  </si>
  <si>
    <t>apaui_178</t>
  </si>
  <si>
    <t>apaui_219</t>
  </si>
  <si>
    <t>apaui_268</t>
  </si>
  <si>
    <t>apaui_275</t>
  </si>
  <si>
    <t>apaui_276</t>
  </si>
  <si>
    <t>apaui_278</t>
  </si>
  <si>
    <t>apaui_280</t>
  </si>
  <si>
    <t>apaui_285</t>
  </si>
  <si>
    <t>apaui_287</t>
  </si>
  <si>
    <t>apaui_290</t>
  </si>
  <si>
    <t>apaui_185</t>
  </si>
  <si>
    <t>apaui_282</t>
  </si>
  <si>
    <t>apaui_291</t>
  </si>
  <si>
    <t>apaui_125</t>
  </si>
  <si>
    <t>apaui_126</t>
  </si>
  <si>
    <t>apaui_134</t>
  </si>
  <si>
    <t>apaui_140</t>
  </si>
  <si>
    <t>apaui_146</t>
  </si>
  <si>
    <t>apaui_147</t>
  </si>
  <si>
    <t>apaui_272</t>
  </si>
  <si>
    <t>apaui_273</t>
  </si>
  <si>
    <t>apaui_279</t>
  </si>
  <si>
    <t>apaui_289</t>
  </si>
  <si>
    <t>apaui_187</t>
  </si>
  <si>
    <t>apaui_201</t>
  </si>
  <si>
    <t>apaui_202</t>
  </si>
  <si>
    <t>apaui_203</t>
  </si>
  <si>
    <t>apaui_216</t>
  </si>
  <si>
    <t>apaui_229</t>
  </si>
  <si>
    <t>apaui_243</t>
  </si>
  <si>
    <t>apaui_244</t>
  </si>
  <si>
    <t>apaui_245</t>
  </si>
  <si>
    <t>apaui_250</t>
  </si>
  <si>
    <t>apaui_251</t>
  </si>
  <si>
    <t>apaui_252</t>
  </si>
  <si>
    <t>apaui_253</t>
  </si>
  <si>
    <t>apaui_254</t>
  </si>
  <si>
    <t>apaui_255</t>
  </si>
  <si>
    <t>apaui_257</t>
  </si>
  <si>
    <t>apaui_258</t>
  </si>
  <si>
    <t>apaui_261</t>
  </si>
  <si>
    <t>apaui_262</t>
  </si>
  <si>
    <t>apaui_211</t>
  </si>
  <si>
    <t>apaui_215</t>
  </si>
  <si>
    <t>apaui_249</t>
  </si>
  <si>
    <t>apaui_259</t>
  </si>
  <si>
    <t>apaui_260</t>
  </si>
  <si>
    <t>apaui_198</t>
  </si>
  <si>
    <t>apaui_210</t>
  </si>
  <si>
    <t>apaui_217</t>
  </si>
  <si>
    <t>apaui_218</t>
  </si>
  <si>
    <t>apaui_225</t>
  </si>
  <si>
    <t>apaui_226</t>
  </si>
  <si>
    <t>apaui_227</t>
  </si>
  <si>
    <t>apaui_228</t>
  </si>
  <si>
    <t>apaui_230</t>
  </si>
  <si>
    <t>apaui_231</t>
  </si>
  <si>
    <t>apaui_232</t>
  </si>
  <si>
    <t>apaui_233</t>
  </si>
  <si>
    <t>apaui_234</t>
  </si>
  <si>
    <t>apaui_236</t>
  </si>
  <si>
    <t>apaui_237</t>
  </si>
  <si>
    <t>apaui_238</t>
  </si>
  <si>
    <t>apaui_239</t>
  </si>
  <si>
    <t>apaui_241</t>
  </si>
  <si>
    <t>apaui_242</t>
  </si>
  <si>
    <t>apaui_220</t>
  </si>
  <si>
    <t>apaui_221</t>
  </si>
  <si>
    <t>apaui_222</t>
  </si>
  <si>
    <t>apaui_223</t>
  </si>
  <si>
    <t>apaui_88</t>
  </si>
  <si>
    <t>apaui_194</t>
  </si>
  <si>
    <t>apaui_196</t>
  </si>
  <si>
    <t>apaui_204</t>
  </si>
  <si>
    <t>apaui_206</t>
  </si>
  <si>
    <t>apaui_214</t>
  </si>
  <si>
    <t>apaui_224</t>
  </si>
  <si>
    <t>apaui_205</t>
  </si>
  <si>
    <t>apaui_207</t>
  </si>
  <si>
    <t>apaui_208</t>
  </si>
  <si>
    <t>apaui_212</t>
  </si>
  <si>
    <t>apaui_213</t>
  </si>
  <si>
    <t>apaui_148</t>
  </si>
  <si>
    <t>apaui_192</t>
  </si>
  <si>
    <t>apaui_193</t>
  </si>
  <si>
    <t>apaui_169</t>
  </si>
  <si>
    <t>apaui_174</t>
  </si>
  <si>
    <t>apaui_175</t>
  </si>
  <si>
    <t>apaui_177</t>
  </si>
  <si>
    <t>apaui_179</t>
  </si>
  <si>
    <t>apaui_183</t>
  </si>
  <si>
    <t>apaui_184</t>
  </si>
  <si>
    <t>[WCAG]Tab Problems</t>
  </si>
  <si>
    <t>apaui_189</t>
  </si>
  <si>
    <t>[WCAG]Tab issues</t>
  </si>
  <si>
    <t>apaui_190</t>
  </si>
  <si>
    <t>Multiple select search should be case insensitive</t>
  </si>
  <si>
    <t>apaui_199</t>
  </si>
  <si>
    <t>Shimmer color is darker than fluent</t>
  </si>
  <si>
    <t>apaui_186</t>
  </si>
  <si>
    <t>Checkbox should add white background color</t>
  </si>
  <si>
    <t>apaui_188</t>
  </si>
  <si>
    <t>Radio button should add white background color</t>
  </si>
  <si>
    <t>apaui_133</t>
  </si>
  <si>
    <t>Move diag scrollbar to the right side.</t>
  </si>
  <si>
    <t>apaui_137</t>
  </si>
  <si>
    <t>Change GUI terms for Diag</t>
  </si>
  <si>
    <t>apaui_139</t>
  </si>
  <si>
    <t>Select padding issue</t>
  </si>
  <si>
    <t>apaui_141</t>
  </si>
  <si>
    <t>Add tooltip for navigation expand/collapse action</t>
  </si>
  <si>
    <t>apaui_143</t>
  </si>
  <si>
    <t>[Multiple-select] previous selected items will be cleared once using search</t>
  </si>
  <si>
    <t>apaui_167</t>
  </si>
  <si>
    <t>[Research]Scroll bar improvement</t>
  </si>
  <si>
    <t>apaui_168</t>
  </si>
  <si>
    <t>Improve logo standard in navigation</t>
  </si>
  <si>
    <t>apaui_176</t>
  </si>
  <si>
    <t>Multiple select wording improvement</t>
  </si>
  <si>
    <t>apaui_181</t>
  </si>
  <si>
    <t>[WCAG]Button</t>
  </si>
  <si>
    <t>apaui_151</t>
  </si>
  <si>
    <t>[WCAG]Breadcrumb</t>
  </si>
  <si>
    <t>apaui_152</t>
  </si>
  <si>
    <t>[WCAG]Expander</t>
  </si>
  <si>
    <t>apaui_154</t>
  </si>
  <si>
    <t>[WCAG]Switch</t>
  </si>
  <si>
    <t>apaui_162</t>
  </si>
  <si>
    <t>[WCAG]Tooltip</t>
  </si>
  <si>
    <t>apaui_163</t>
  </si>
  <si>
    <t>[WCAG]Dialog</t>
  </si>
  <si>
    <t>apaui_164</t>
  </si>
  <si>
    <t>Diag - remove the x icon at the right top corner.</t>
  </si>
  <si>
    <t>apaui_165</t>
  </si>
  <si>
    <t>Add title property for main navigation</t>
  </si>
  <si>
    <t>apaui_53</t>
  </si>
  <si>
    <t>Add the modal page</t>
  </si>
  <si>
    <t>apaui_54</t>
  </si>
  <si>
    <t>Waffle support custom img icon</t>
  </si>
  <si>
    <t>apaui_85</t>
  </si>
  <si>
    <t>[VPAT]Two scenarios for People picker</t>
  </si>
  <si>
    <t>apaui_122</t>
  </si>
  <si>
    <t>[WCAG]Select keyboard issues</t>
  </si>
  <si>
    <t>apaui_123</t>
  </si>
  <si>
    <t>[WCAG]People picker keyboard issues</t>
  </si>
  <si>
    <t>apaui_124</t>
  </si>
  <si>
    <t>[WCAG]Date picker keyboard issues</t>
  </si>
  <si>
    <t>apaui_127</t>
  </si>
  <si>
    <t>[Timer picker] should be able to load data</t>
  </si>
  <si>
    <t>apaui_128</t>
  </si>
  <si>
    <t>[Table]Click link should not select the current row.</t>
  </si>
  <si>
    <t>apaui_132</t>
  </si>
  <si>
    <t>Spacing between title and control should be 4px</t>
  </si>
  <si>
    <t>apaui_136</t>
  </si>
  <si>
    <t>Navigation with sub menus has no respond when clicking icon</t>
  </si>
  <si>
    <t>apaui_138</t>
  </si>
  <si>
    <t>Table width should be wider when dragging</t>
  </si>
  <si>
    <t>apaui_150</t>
  </si>
  <si>
    <t>[VPAT] Expander: No VPAT event for content of storage</t>
  </si>
  <si>
    <t>apaui_153</t>
  </si>
  <si>
    <t>[VPAT] Change backup frequency: Cannot focus on Cancel, Save button by pressing Tab</t>
  </si>
  <si>
    <t>apaui_158</t>
  </si>
  <si>
    <t>[Multiple select] Only one is selected, should display the selected item, not 1 selected items</t>
  </si>
  <si>
    <t>apaui_166</t>
  </si>
  <si>
    <t>The page is clickable when a modal is visible</t>
  </si>
  <si>
    <t>apaui_182</t>
  </si>
  <si>
    <t>[Waffle] Should show products are in alphabetical order</t>
  </si>
  <si>
    <t>apaui_95</t>
  </si>
  <si>
    <t>[DMSO Feedback] Navigation parameter issue</t>
  </si>
  <si>
    <t>apaui_96</t>
  </si>
  <si>
    <t>Navigation sub menu overlap</t>
  </si>
  <si>
    <t>apaui_99</t>
  </si>
  <si>
    <t>[VPAT] Dialog: blackline for button is not complete</t>
  </si>
  <si>
    <t>apaui_100</t>
  </si>
  <si>
    <t>Waffle shows errors in console</t>
  </si>
  <si>
    <t>apaui_101</t>
  </si>
  <si>
    <t>People picker basic usage-keyboard add user problems</t>
  </si>
  <si>
    <t>apaui_103</t>
  </si>
  <si>
    <t>[WCAG]Waffle</t>
  </si>
  <si>
    <t>apaui_105</t>
  </si>
  <si>
    <t>[date picker] Improve disable text color.</t>
  </si>
  <si>
    <t>apaui_106</t>
  </si>
  <si>
    <t>Improve search box width</t>
  </si>
  <si>
    <t>apaui_108</t>
  </si>
  <si>
    <t>Upgrade Fluent UI</t>
  </si>
  <si>
    <t>apaui_109</t>
  </si>
  <si>
    <t>Support React 18</t>
  </si>
  <si>
    <t>apaui_110</t>
  </si>
  <si>
    <t>Tooltip cannot show complete letter g</t>
  </si>
  <si>
    <t>apaui_111</t>
  </si>
  <si>
    <t>Waffle should show/hide when clicking</t>
  </si>
  <si>
    <t>apaui_112</t>
  </si>
  <si>
    <t>[Tab] Firefox style issue</t>
  </si>
  <si>
    <t>apaui_113</t>
  </si>
  <si>
    <t>[New UI]Job Monitor search click x with no respond</t>
  </si>
  <si>
    <t>apaui_115</t>
  </si>
  <si>
    <t>[Table]User inline preview - the margin of more panel is not correct</t>
  </si>
  <si>
    <t>apaui_116</t>
  </si>
  <si>
    <t>Wording</t>
  </si>
  <si>
    <t>apaui_120</t>
  </si>
  <si>
    <t>Customized notification color needs change</t>
  </si>
  <si>
    <t>apaui_121</t>
  </si>
  <si>
    <t>Button focus status should be only for keyboard</t>
  </si>
  <si>
    <t>apaui_155</t>
  </si>
  <si>
    <t>context menu icon color is not correct</t>
  </si>
  <si>
    <t>apaui_156</t>
  </si>
  <si>
    <t>Root breadcrumb should remove padding-left</t>
  </si>
  <si>
    <t>apaui_157</t>
  </si>
  <si>
    <t>Cursor pointer issue</t>
  </si>
  <si>
    <t>apaui_159</t>
  </si>
  <si>
    <t>Radio button space issue</t>
  </si>
  <si>
    <t>apaui_160</t>
  </si>
  <si>
    <t>Date picker should highlight current day</t>
  </si>
  <si>
    <t>apaui_161</t>
  </si>
  <si>
    <t>wizard step description description should be 13px</t>
  </si>
  <si>
    <t>apaui_102</t>
  </si>
  <si>
    <t>Link should not be focused after clicking</t>
  </si>
  <si>
    <t>apaui_107</t>
  </si>
  <si>
    <t>Radio button style issue</t>
  </si>
  <si>
    <t>apaui_117</t>
  </si>
  <si>
    <t>Checkbox disable text color</t>
  </si>
  <si>
    <t>apaui_74</t>
  </si>
  <si>
    <t>Checkbox space issue</t>
  </si>
  <si>
    <t>apaui_75</t>
  </si>
  <si>
    <t>Breadcrumb display issue</t>
  </si>
  <si>
    <t>apaui_76</t>
  </si>
  <si>
    <t>[VPAT]Disable button</t>
  </si>
  <si>
    <t>apaui_77</t>
  </si>
  <si>
    <t>Remove Test tube icon before Tab</t>
  </si>
  <si>
    <t>apaui_78</t>
  </si>
  <si>
    <t>Remove Test tube icon before TimePicker</t>
  </si>
  <si>
    <t>apaui_79</t>
  </si>
  <si>
    <t>Remove Test tube icon before Expander</t>
  </si>
  <si>
    <t>apaui_80</t>
  </si>
  <si>
    <t>[Table]Add More people in table</t>
  </si>
  <si>
    <t>apaui_81</t>
  </si>
  <si>
    <t>Single file browser</t>
  </si>
  <si>
    <t>apaui_83</t>
  </si>
  <si>
    <t>Busy button add text</t>
  </si>
  <si>
    <t>apaui_84</t>
  </si>
  <si>
    <t>Highlight selected sub navigation item</t>
  </si>
  <si>
    <t>apaui_90</t>
  </si>
  <si>
    <t>Add designer allure standard link in the demo site</t>
  </si>
  <si>
    <t>apaui_91</t>
  </si>
  <si>
    <t>[table] row text can be selected</t>
  </si>
  <si>
    <t>apaui_93</t>
  </si>
  <si>
    <t>Replace placeholder text</t>
  </si>
  <si>
    <t>apaui_104</t>
  </si>
  <si>
    <t>Diag should always has a dismiss button</t>
  </si>
  <si>
    <t>apaui_118</t>
  </si>
  <si>
    <t>Date range select range with keyboard</t>
  </si>
  <si>
    <t>apaui_119</t>
  </si>
  <si>
    <t>Pager issue with too many items</t>
  </si>
  <si>
    <t>apaui_28</t>
  </si>
  <si>
    <t>CLONE - [Alita-11699] performance issue</t>
  </si>
  <si>
    <t>apaui_39</t>
  </si>
  <si>
    <t>Searchbox performance issue</t>
  </si>
  <si>
    <t>apaui_59</t>
  </si>
  <si>
    <t>[WCAG]Popover-Notification center</t>
  </si>
  <si>
    <t>apaui_60</t>
  </si>
  <si>
    <t>Improve navigation animation effect</t>
  </si>
  <si>
    <t>apaui_61</t>
  </si>
  <si>
    <t>Disable button should have a tooltip/title to describe some reason</t>
  </si>
  <si>
    <t>apaui_63</t>
  </si>
  <si>
    <t>[Progress]Static Progress UI problems</t>
  </si>
  <si>
    <t>apaui_64</t>
  </si>
  <si>
    <t>Global search和language 拥挤</t>
  </si>
  <si>
    <t>apaui_65</t>
  </si>
  <si>
    <t>Wizard is ready for production</t>
  </si>
  <si>
    <t>apaui_66</t>
  </si>
  <si>
    <t>Static Progress UI issue</t>
  </si>
  <si>
    <t>apaui_67</t>
  </si>
  <si>
    <t>[WCAG]Navigation问题</t>
  </si>
  <si>
    <t>apaui_68</t>
  </si>
  <si>
    <t>Table first column space issue</t>
  </si>
  <si>
    <t>apaui_70</t>
  </si>
  <si>
    <t>Tab space issue</t>
  </si>
  <si>
    <t>apaui_71</t>
  </si>
  <si>
    <t>People picker result issue</t>
  </si>
  <si>
    <t>apaui_72</t>
  </si>
  <si>
    <t>Panel cursor issue</t>
  </si>
  <si>
    <t>apaui_92</t>
  </si>
  <si>
    <t>Breadcrumb with no cursor change when not clickable</t>
  </si>
  <si>
    <t>apaui_94</t>
  </si>
  <si>
    <t>Two scenarios for People picker</t>
  </si>
  <si>
    <t>apaui_97</t>
  </si>
  <si>
    <t>Remove address book icon within people picker</t>
  </si>
  <si>
    <t>apaui_98</t>
  </si>
  <si>
    <t>[WCAG]Date Picker</t>
  </si>
  <si>
    <t>apaui_55</t>
  </si>
  <si>
    <t>[WCAG]People Picker</t>
  </si>
  <si>
    <t>apaui_56</t>
  </si>
  <si>
    <t>[WCAG]Select</t>
  </si>
  <si>
    <t>apaui_57</t>
  </si>
  <si>
    <t>[WCAG]Time Picker</t>
  </si>
  <si>
    <t>apaui_58</t>
  </si>
  <si>
    <t>[WCAG]Carousel</t>
  </si>
  <si>
    <t>apaui_73</t>
  </si>
  <si>
    <t>[Panel]Add extra panel</t>
  </si>
  <si>
    <t>apaui_1</t>
  </si>
  <si>
    <t>[Select] Add a clear feature for single dropdown list</t>
  </si>
  <si>
    <t>apaui_2</t>
  </si>
  <si>
    <t>[WCAG]Warning and Error icon and color changes</t>
  </si>
  <si>
    <t>apaui_11</t>
  </si>
  <si>
    <t>Add common country codes</t>
  </si>
  <si>
    <t>apaui_12</t>
  </si>
  <si>
    <t>[Table]Custom table style issue</t>
  </si>
  <si>
    <t>apaui_13</t>
  </si>
  <si>
    <t>[Select]Multiple with all features</t>
  </si>
  <si>
    <t>apaui_14</t>
  </si>
  <si>
    <t>Disable border color issue</t>
  </si>
  <si>
    <t>apaui_15</t>
  </si>
  <si>
    <t>[Select]Dropdown padding-left should be 12px</t>
  </si>
  <si>
    <t>apaui_18</t>
  </si>
  <si>
    <t>Current step font size should have bold effect in wizard</t>
  </si>
  <si>
    <t>apaui_19</t>
  </si>
  <si>
    <t>Wizard should expose the “In Progress description” parameter</t>
  </si>
  <si>
    <t>apaui_20</t>
  </si>
  <si>
    <t>[Timepicker]Change backup frequency interaction issue</t>
  </si>
  <si>
    <t>apaui_21</t>
  </si>
  <si>
    <t>[Calendar]add control</t>
  </si>
  <si>
    <t>apaui_22</t>
  </si>
  <si>
    <t>[Filter]add control</t>
  </si>
  <si>
    <t>apaui_23</t>
  </si>
  <si>
    <t>[Table]Add compact table</t>
  </si>
  <si>
    <t>apaui_24</t>
  </si>
  <si>
    <t>[Progress]Line Progress Bar</t>
  </si>
  <si>
    <t>apaui_29</t>
  </si>
  <si>
    <t>[Progress]Circle Progress</t>
  </si>
  <si>
    <t>apaui_30</t>
  </si>
  <si>
    <t>[Progress]Static Progress</t>
  </si>
  <si>
    <t>apaui_31</t>
  </si>
  <si>
    <t>[WCAG]Navigation</t>
  </si>
  <si>
    <t>apaui_32</t>
  </si>
  <si>
    <t>[WCAG]Tab</t>
  </si>
  <si>
    <t>apaui_33</t>
  </si>
  <si>
    <t>[WCAG]Checkbox</t>
  </si>
  <si>
    <t>apaui_34</t>
  </si>
  <si>
    <t>[WCAG]Input</t>
  </si>
  <si>
    <t>apaui_35</t>
  </si>
  <si>
    <t>[WCAG]Radio Button</t>
  </si>
  <si>
    <t>apaui_36</t>
  </si>
  <si>
    <t>[Waffle]Switch product</t>
  </si>
  <si>
    <t>apaui_37</t>
  </si>
  <si>
    <t>[Na]]Adjust the spacing between sub navigations</t>
  </si>
  <si>
    <t>apaui_40</t>
  </si>
  <si>
    <t>[ButtonGroup]Add another button demo: icon button group</t>
  </si>
  <si>
    <t>apaui_41</t>
  </si>
  <si>
    <t>Support default i18n terms</t>
  </si>
  <si>
    <t>apaui_42</t>
  </si>
  <si>
    <t>Add common product</t>
  </si>
  <si>
    <t>apaui_43</t>
  </si>
  <si>
    <t>people picker background issue</t>
  </si>
  <si>
    <t>apaui_45</t>
  </si>
  <si>
    <t>[FileUploader]long file name issue</t>
  </si>
  <si>
    <t>apaui_46</t>
  </si>
  <si>
    <t>[Navigation menu]Light mode sub menu issue</t>
  </si>
  <si>
    <t>apaui_47</t>
  </si>
  <si>
    <t>[Panel] close button align issue</t>
  </si>
  <si>
    <t>apaui_48</t>
  </si>
  <si>
    <t>Design principle text style issue</t>
  </si>
  <si>
    <t>apaui_49</t>
  </si>
  <si>
    <t>Web site menu should have scrollbar</t>
  </si>
  <si>
    <t>apaui_51</t>
  </si>
  <si>
    <t>[Button]button space issue</t>
  </si>
  <si>
    <t>apaui_52</t>
  </si>
  <si>
    <t>[Button]Icon button icon size issue</t>
  </si>
  <si>
    <t>apaui_3</t>
  </si>
  <si>
    <t>[Pager] go to page action space issue</t>
  </si>
  <si>
    <t>apaui_4</t>
  </si>
  <si>
    <t>[Table]Custom table default view style issue</t>
  </si>
  <si>
    <t>apaui_5</t>
  </si>
  <si>
    <t>[people picker]list style issue</t>
  </si>
  <si>
    <t>apaui_6</t>
  </si>
  <si>
    <t>[Tree] tree checkbox style issue</t>
  </si>
  <si>
    <t>apaui_7</t>
  </si>
  <si>
    <t>[Select]Multiple style issue</t>
  </si>
  <si>
    <t>apaui_8</t>
  </si>
  <si>
    <t>[NavPanel] style issue</t>
  </si>
  <si>
    <t>apaui_9</t>
  </si>
  <si>
    <t>[DatePicker] style issue</t>
  </si>
  <si>
    <t>apaui_10</t>
  </si>
  <si>
    <t>[Dialog] alignment issue</t>
  </si>
  <si>
    <t>apaui_16</t>
  </si>
  <si>
    <t>[Navigation] style issue</t>
  </si>
  <si>
    <t>apaui_17</t>
  </si>
  <si>
    <t>[Uploader]File upload error message style issue</t>
  </si>
  <si>
    <t>apaui_25</t>
  </si>
  <si>
    <t>[Nav]The spacing between sub navigations is so crowed</t>
  </si>
  <si>
    <t>apaui_26</t>
  </si>
  <si>
    <t>Change wizard font size</t>
  </si>
  <si>
    <t>apaui_27</t>
  </si>
  <si>
    <t>Shimmer color not correct</t>
  </si>
  <si>
    <t>apaui_50</t>
  </si>
  <si>
    <t>[Panel]Panel title style issue</t>
  </si>
  <si>
    <t>I18N</t>
  </si>
  <si>
    <t>{{app}} depends on @gui/common-i18n-terms which is a package including some common terms that can be used in your projects.</t>
  </si>
  <si>
    <t>choose</t>
  </si>
  <si>
    <t>Choose an items</t>
  </si>
  <si>
    <t>key</t>
  </si>
  <si>
    <t>value</t>
  </si>
  <si>
    <t>Value</t>
  </si>
  <si>
    <t>CP01</t>
  </si>
  <si>
    <t>{{app}} depends on @gui/common-i18n-terms which is a package including some common function that can be used in your projects.</t>
  </si>
  <si>
    <t>name</t>
  </si>
  <si>
    <t>Name</t>
  </si>
  <si>
    <t>CB01</t>
  </si>
  <si>
    <t>Checkbox is used to select one or more items from a set.</t>
  </si>
  <si>
    <t>basic_1</t>
  </si>
  <si>
    <t>Use only one checkbox when you need to agree on some conditions or terms. Such as: Do not show again, I agree on terms...</t>
  </si>
  <si>
    <t>basic_2</t>
  </si>
  <si>
    <t>Use checkboxes when the user can select multiple items, such as: select items from a table.</t>
  </si>
  <si>
    <t>disabled</t>
  </si>
  <si>
    <t>Disabled</t>
  </si>
  <si>
    <t>Check box</t>
  </si>
  <si>
    <t>check_all</t>
  </si>
  <si>
    <t>Check all</t>
  </si>
  <si>
    <t>select_all</t>
  </si>
  <si>
    <t>Select All</t>
  </si>
  <si>
    <t>option</t>
  </si>
  <si>
    <t>Option {{index}}</t>
  </si>
  <si>
    <t>date_picker</t>
  </si>
  <si>
    <t>DatePicker</t>
  </si>
  <si>
    <t>Date picker is used to select a date or a range of dates.</t>
  </si>
  <si>
    <t>A user can choose a specific date using a date picker by clicking the calendar icon or just input by themselves.</t>
  </si>
  <si>
    <t>date_range</t>
  </si>
  <si>
    <t>Date range (Recommended)</t>
  </si>
  <si>
    <t>rec_desc</t>
  </si>
  <si>
    <t>A date range allows user to choose a start date from one calendar and then choose an end date from another calendar.</t>
  </si>
  <si>
    <t>rec</t>
  </si>
  <si>
    <t>(Recommended)</t>
  </si>
  <si>
    <t>required</t>
  </si>
  <si>
    <t>DatePicker with required field</t>
  </si>
  <si>
    <t>required_desc</t>
  </si>
  <si>
    <t>Validation will happen when the Date Picker loses focus.</t>
  </si>
  <si>
    <t>ranger_desc</t>
  </si>
  <si>
    <t>A date range allows the user to choose a date range from two calendars. It lets the user select the same day; the range time will be 00:00 - 23:59.</t>
  </si>
  <si>
    <t>error</t>
  </si>
  <si>
    <t>This field is required.</t>
  </si>
  <si>
    <t>EX01</t>
  </si>
  <si>
    <t>Allow the user to toggle display a section of content which can optimize the use of vertical space.</t>
  </si>
  <si>
    <t>Expander usually have a title and arrow in it. Click the arrow whole row to expand/collapse.</t>
  </si>
  <si>
    <t>about</t>
  </si>
  <si>
    <t>About</t>
  </si>
  <si>
    <t>about_desc</t>
  </si>
  <si>
    <t>Underneath the azure sky, a tranquil river meanders through lush green meadows. A symphony of nature unfolds, with vibrant flowers dancing in the gentle breeze, creating a picturesque scene of serenity and beauty.</t>
  </si>
  <si>
    <t>child</t>
  </si>
  <si>
    <t>Child title</t>
  </si>
  <si>
    <t>expand</t>
  </si>
  <si>
    <t>Expand icon in the left</t>
  </si>
  <si>
    <t>expand_desc</t>
  </si>
  <si>
    <t>Expander usually have a title, arrow and other configurable settings in it. Click the arrow to expand/collapse.</t>
  </si>
  <si>
    <t>more</t>
  </si>
  <si>
    <t>More padding</t>
  </si>
  <si>
    <t>file_uploader</t>
  </si>
  <si>
    <t>Allow user to upload files from local place.</t>
  </si>
  <si>
    <t>browser</t>
  </si>
  <si>
    <t>browser_desc</t>
  </si>
  <si>
    <t>This control allow user to browse only one file.</t>
  </si>
  <si>
    <t>file</t>
  </si>
  <si>
    <t>Certificate file</t>
  </si>
  <si>
    <t>demo</t>
  </si>
  <si>
    <t>Demo text</t>
  </si>
  <si>
    <t>uploader</t>
  </si>
  <si>
    <t>uploader_desc</t>
  </si>
  <si>
    <t>This control allow user to upload only one file.</t>
  </si>
  <si>
    <t>uploader_more</t>
  </si>
  <si>
    <t>Browse the CSV/ZIP file where the records for which you want to restore the fields are configured</t>
  </si>
  <si>
    <t>Download CSV template</t>
  </si>
  <si>
    <t>multiple</t>
  </si>
  <si>
    <t>Multiple file uploader</t>
  </si>
  <si>
    <t>multiple_desc</t>
  </si>
  <si>
    <t>This control should support drag and drop for ease of use. Better let user to know which types can be uploaded in advance.tc</t>
  </si>
  <si>
    <t>Drag your file here, or browse</t>
  </si>
  <si>
    <t>logo</t>
  </si>
  <si>
    <t>Upload Logo</t>
  </si>
  <si>
    <t>up_to</t>
  </si>
  <si>
    <t>JPG, GIF or PNG. Max size is {{size}}. Recommended dimension is {{dimension}}.</t>
  </si>
  <si>
    <t>Upload Avatar</t>
  </si>
  <si>
    <t>Up to 10 MB (.doc, .docx, .js, .cs, .css)</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</si>
</sst>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sz val="10.0"/>
      <color rgb="FFFFFFFF"/>
      <name val="Arial"/>
      <scheme val="minor"/>
    </font>
    <font>
      <sz val="10.0"/>
      <color rgb="FFFF0000"/>
      <name val="Arial"/>
      <scheme val="minor"/>
    </font>
    <font>
      <sz val="10.0"/>
      <color theme="1"/>
      <name val="Arial"/>
      <scheme val="minor"/>
    </font>
    <font>
      <color theme="1"/>
      <name val="Arial"/>
    </font>
  </fonts>
  <fills count="6">
    <fill>
      <patternFill patternType="none"/>
    </fill>
    <fill>
      <patternFill patternType="lightGray"/>
    </fill>
    <fill>
      <patternFill patternType="solid">
        <fgColor rgb="FF674EA7"/>
        <bgColor rgb="FF674EA7"/>
      </patternFill>
    </fill>
    <fill>
      <patternFill patternType="solid">
        <fgColor rgb="FFD9D9D9"/>
        <bgColor rgb="FFD9D9D9"/>
      </patternFill>
    </fill>
    <fill>
      <patternFill patternType="solid">
        <fgColor rgb="FFEFEFEF"/>
        <bgColor rgb="FFEFEFEF"/>
      </patternFill>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2" fontId="1" numFmtId="0" xfId="0" applyAlignment="1" applyFill="1" applyFont="1">
      <alignment readingOrder="0" shrinkToFit="0" vertical="bottom" wrapText="0"/>
    </xf>
    <xf borderId="0" fillId="2" fontId="1" numFmtId="0" xfId="0" applyAlignment="1" applyFont="1">
      <alignment readingOrder="0" vertical="bottom"/>
    </xf>
    <xf borderId="0" fillId="2" fontId="1" numFmtId="0" xfId="0" applyAlignment="1" applyFont="1">
      <alignment horizontal="left" readingOrder="0" vertical="bottom"/>
    </xf>
    <xf borderId="0" fillId="3" fontId="2" numFmtId="0" xfId="0" applyAlignment="1" applyFill="1" applyFont="1">
      <alignment readingOrder="0" shrinkToFit="0" vertical="bottom" wrapText="0"/>
    </xf>
    <xf borderId="0" fillId="3" fontId="0" numFmtId="0" xfId="0" applyAlignment="1" applyFont="1">
      <alignment vertical="bottom"/>
    </xf>
    <xf borderId="0" fillId="3" fontId="0" numFmtId="0" xfId="0" applyAlignment="1" applyFont="1">
      <alignment shrinkToFit="0" vertical="bottom" wrapText="0"/>
    </xf>
    <xf borderId="0" fillId="3" fontId="0" numFmtId="0" xfId="0" applyAlignment="1" applyFont="1">
      <alignment horizontal="left" vertical="bottom"/>
    </xf>
    <xf borderId="0" fillId="0" fontId="0" numFmtId="0" xfId="0" applyAlignment="1" applyFont="1">
      <alignment horizontal="left" vertical="bottom"/>
    </xf>
    <xf borderId="0" fillId="4" fontId="0" numFmtId="0" xfId="0" applyAlignment="1" applyFill="1" applyFont="1">
      <alignment readingOrder="0" shrinkToFit="0" vertical="bottom" wrapText="0"/>
    </xf>
    <xf borderId="0" fillId="4" fontId="0" numFmtId="0" xfId="0" applyAlignment="1" applyFont="1">
      <alignment horizontal="left" readingOrder="0" shrinkToFit="0" vertical="bottom" wrapText="0"/>
    </xf>
    <xf borderId="0" fillId="0" fontId="3" numFmtId="0" xfId="0" applyFont="1"/>
    <xf borderId="0" fillId="5" fontId="0" numFmtId="0" xfId="0" applyAlignment="1" applyFill="1" applyFont="1">
      <alignment readingOrder="0" shrinkToFit="0" vertical="bottom" wrapText="0"/>
    </xf>
    <xf borderId="0" fillId="5" fontId="0" numFmtId="0" xfId="0" applyAlignment="1" applyFont="1">
      <alignment horizontal="left" readingOrder="0" shrinkToFit="0" vertical="bottom" wrapText="0"/>
    </xf>
    <xf borderId="0" fillId="5" fontId="3" numFmtId="0" xfId="0" applyFont="1"/>
    <xf borderId="0" fillId="4" fontId="4" numFmtId="0" xfId="0" applyAlignment="1" applyFont="1">
      <alignment vertical="bottom"/>
    </xf>
    <xf borderId="0" fillId="0" fontId="4" numFmtId="0" xfId="0" applyAlignment="1" applyFont="1">
      <alignment vertical="bottom"/>
    </xf>
    <xf borderId="0" fillId="4" fontId="4" numFmtId="0" xfId="0" applyAlignment="1" applyFont="1">
      <alignment readingOrder="0" vertical="bottom"/>
    </xf>
    <xf borderId="0" fillId="0" fontId="4"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63"/>
    <col customWidth="1" min="5" max="5" width="27.38"/>
    <col customWidth="1" min="6" max="9" width="28.75"/>
  </cols>
  <sheetData>
    <row r="1">
      <c r="A1" s="1" t="s">
        <v>0</v>
      </c>
      <c r="B1" s="2" t="s">
        <v>1</v>
      </c>
      <c r="C1" s="2" t="s">
        <v>2</v>
      </c>
      <c r="D1" s="1" t="s">
        <v>3</v>
      </c>
      <c r="E1" s="3" t="s">
        <v>4</v>
      </c>
      <c r="F1" s="3" t="s">
        <v>5</v>
      </c>
      <c r="G1" s="3" t="s">
        <v>6</v>
      </c>
      <c r="H1" s="3" t="s">
        <v>7</v>
      </c>
      <c r="I1" s="3" t="s">
        <v>8</v>
      </c>
    </row>
    <row r="2">
      <c r="A2" s="4"/>
      <c r="C2" s="5"/>
      <c r="D2" s="6"/>
      <c r="E2" s="7"/>
      <c r="F2" s="7"/>
      <c r="G2" s="7"/>
      <c r="H2" s="7"/>
      <c r="I2" s="8"/>
    </row>
    <row r="3">
      <c r="A3" s="9" t="s">
        <v>9</v>
      </c>
      <c r="B3" s="9" t="s">
        <v>10</v>
      </c>
      <c r="C3" s="9" t="s">
        <v>11</v>
      </c>
      <c r="D3" s="9" t="s">
        <v>12</v>
      </c>
      <c r="E3" s="10" t="s">
        <v>13</v>
      </c>
      <c r="F3" s="10" t="str">
        <f>IFERROR(__xludf.DUMMYFUNCTION("GOOGLETRANSLATE(E3,""en"", ""ja"")"),"使用法")</f>
        <v>使用法</v>
      </c>
      <c r="G3" s="10" t="str">
        <f>IFERROR(__xludf.DUMMYFUNCTION("GOOGLETRANSLATE(E3,""en"",""zh-cn"")"),"用法")</f>
        <v>用法</v>
      </c>
      <c r="H3" s="10" t="str">
        <f>IFERROR(__xludf.DUMMYFUNCTION("GOOGLETRANSLATE(E3,""en"",""fr"")"),"Usage")</f>
        <v>Usage</v>
      </c>
      <c r="I3" s="10" t="str">
        <f>IFERROR(__xludf.DUMMYFUNCTION("GOOGLETRANSLATE(E3,""en"",""de"")"),"Verwendung")</f>
        <v>Verwendung</v>
      </c>
    </row>
    <row r="4">
      <c r="A4" s="9" t="s">
        <v>9</v>
      </c>
      <c r="B4" s="9" t="s">
        <v>14</v>
      </c>
      <c r="C4" s="9" t="s">
        <v>11</v>
      </c>
      <c r="D4" s="9" t="s">
        <v>12</v>
      </c>
      <c r="E4" s="10" t="s">
        <v>15</v>
      </c>
      <c r="F4" s="10" t="str">
        <f>IFERROR(__xludf.DUMMYFUNCTION("GOOGLETRANSLATE(E4,""en"", ""ja"")"),"基本的な使用法")</f>
        <v>基本的な使用法</v>
      </c>
      <c r="G4" s="10" t="str">
        <f>IFERROR(__xludf.DUMMYFUNCTION("GOOGLETRANSLATE(E4,""en"",""zh-cn"")"),"基本用法")</f>
        <v>基本用法</v>
      </c>
      <c r="H4" s="10" t="str">
        <f>IFERROR(__xludf.DUMMYFUNCTION("GOOGLETRANSLATE(E4,""en"",""fr"")"),"Utilisation de base")</f>
        <v>Utilisation de base</v>
      </c>
      <c r="I4" s="10" t="str">
        <f>IFERROR(__xludf.DUMMYFUNCTION("GOOGLETRANSLATE(E4,""en"",""de"")"),"Grundnutzung")</f>
        <v>Grundnutzung</v>
      </c>
    </row>
    <row r="5">
      <c r="A5" s="9" t="s">
        <v>9</v>
      </c>
      <c r="B5" s="9" t="s">
        <v>16</v>
      </c>
      <c r="C5" s="9" t="s">
        <v>11</v>
      </c>
      <c r="D5" s="9" t="s">
        <v>12</v>
      </c>
      <c r="E5" s="10" t="s">
        <v>17</v>
      </c>
      <c r="F5" s="10" t="str">
        <f>IFERROR(__xludf.DUMMYFUNCTION("GOOGLETRANSLATE(E5,""en"", ""ja"")"),"インストール")</f>
        <v>インストール</v>
      </c>
      <c r="G5" s="10" t="str">
        <f>IFERROR(__xludf.DUMMYFUNCTION("GOOGLETRANSLATE(E5,""en"",""zh-cn"")"),"安装")</f>
        <v>安装</v>
      </c>
      <c r="H5" s="10" t="str">
        <f>IFERROR(__xludf.DUMMYFUNCTION("GOOGLETRANSLATE(E5,""en"",""fr"")"),"Installation")</f>
        <v>Installation</v>
      </c>
      <c r="I5" s="10" t="str">
        <f>IFERROR(__xludf.DUMMYFUNCTION("GOOGLETRANSLATE(E5,""en"",""de"")"),"Installation")</f>
        <v>Installation</v>
      </c>
    </row>
    <row r="6">
      <c r="A6" s="9" t="s">
        <v>9</v>
      </c>
      <c r="B6" s="9" t="s">
        <v>18</v>
      </c>
      <c r="C6" s="9" t="s">
        <v>11</v>
      </c>
      <c r="D6" s="9" t="s">
        <v>12</v>
      </c>
      <c r="E6" s="10" t="s">
        <v>19</v>
      </c>
      <c r="F6" s="10" t="str">
        <f>IFERROR(__xludf.DUMMYFUNCTION("GOOGLETRANSLATE(E6,""en"", ""ja"")"),"{{name}}設計システム")</f>
        <v>{{name}}設計システム</v>
      </c>
      <c r="G6" s="10" t="str">
        <f>IFERROR(__xludf.DUMMYFUNCTION("GOOGLETRANSLATE(E6,""en"",""zh-cn"")"),"{{name}}设计系统")</f>
        <v>{{name}}设计系统</v>
      </c>
      <c r="H6" s="10" t="s">
        <v>20</v>
      </c>
      <c r="I6" s="10" t="s">
        <v>21</v>
      </c>
    </row>
    <row r="7">
      <c r="A7" s="9" t="s">
        <v>9</v>
      </c>
      <c r="B7" s="9" t="s">
        <v>22</v>
      </c>
      <c r="C7" s="9" t="s">
        <v>11</v>
      </c>
      <c r="D7" s="9" t="s">
        <v>12</v>
      </c>
      <c r="E7" s="9" t="s">
        <v>23</v>
      </c>
      <c r="F7" s="10" t="str">
        <f>IFERROR(__xludf.DUMMYFUNCTION("GOOGLETRANSLATE(E7,""en"", ""ja"")"),"いつ使用するか")</f>
        <v>いつ使用するか</v>
      </c>
      <c r="G7" s="10" t="str">
        <f>IFERROR(__xludf.DUMMYFUNCTION("GOOGLETRANSLATE(E7,""en"",""zh-cn"")"),"何时使用")</f>
        <v>何时使用</v>
      </c>
      <c r="H7" s="10" t="str">
        <f>IFERROR(__xludf.DUMMYFUNCTION("GOOGLETRANSLATE(E7,""en"",""fr"")"),"Quand utiliser")</f>
        <v>Quand utiliser</v>
      </c>
      <c r="I7" s="10" t="str">
        <f>IFERROR(__xludf.DUMMYFUNCTION("GOOGLETRANSLATE(E7,""en"",""de"")"),"Wann zu verwenden")</f>
        <v>Wann zu verwenden</v>
      </c>
    </row>
    <row r="8">
      <c r="A8" s="9" t="s">
        <v>9</v>
      </c>
      <c r="B8" s="9" t="s">
        <v>24</v>
      </c>
      <c r="C8" s="9" t="s">
        <v>11</v>
      </c>
      <c r="D8" s="9" t="s">
        <v>12</v>
      </c>
      <c r="E8" s="10" t="s">
        <v>25</v>
      </c>
      <c r="F8" s="10" t="str">
        <f>IFERROR(__xludf.DUMMYFUNCTION("GOOGLETRANSLATE(E8,""en"", ""ja"")"),"キーワードを入力します")</f>
        <v>キーワードを入力します</v>
      </c>
      <c r="G8" s="10" t="str">
        <f>IFERROR(__xludf.DUMMYFUNCTION("GOOGLETRANSLATE(E8,""en"",""zh-cn"")"),"键入搜索关键字")</f>
        <v>键入搜索关键字</v>
      </c>
      <c r="H8" s="10" t="str">
        <f>IFERROR(__xludf.DUMMYFUNCTION("GOOGLETRANSLATE(E8,""en"",""fr"")"),"Mot-clé de recherche de type")</f>
        <v>Mot-clé de recherche de type</v>
      </c>
      <c r="I8" s="10" t="str">
        <f>IFERROR(__xludf.DUMMYFUNCTION("GOOGLETRANSLATE(E8,""en"",""de"")"),"Geben Sie Suchschlüsselwort ein")</f>
        <v>Geben Sie Suchschlüsselwort ein</v>
      </c>
    </row>
    <row r="9">
      <c r="A9" s="9" t="s">
        <v>9</v>
      </c>
      <c r="B9" s="9" t="s">
        <v>26</v>
      </c>
      <c r="C9" s="9" t="s">
        <v>11</v>
      </c>
      <c r="D9" s="9" t="s">
        <v>12</v>
      </c>
      <c r="E9" s="10" t="s">
        <v>27</v>
      </c>
      <c r="F9" s="10" t="s">
        <v>27</v>
      </c>
      <c r="G9" s="10" t="s">
        <v>27</v>
      </c>
      <c r="H9" s="10" t="s">
        <v>27</v>
      </c>
      <c r="I9" s="10" t="s">
        <v>27</v>
      </c>
    </row>
    <row r="10">
      <c r="A10" s="9" t="s">
        <v>9</v>
      </c>
      <c r="B10" s="9" t="s">
        <v>28</v>
      </c>
      <c r="C10" s="9" t="s">
        <v>11</v>
      </c>
      <c r="D10" s="9" t="s">
        <v>12</v>
      </c>
      <c r="E10" s="10" t="s">
        <v>29</v>
      </c>
      <c r="F10" s="10" t="s">
        <v>29</v>
      </c>
      <c r="G10" s="10" t="s">
        <v>29</v>
      </c>
      <c r="H10" s="10" t="s">
        <v>29</v>
      </c>
      <c r="I10" s="10" t="s">
        <v>29</v>
      </c>
    </row>
    <row r="11">
      <c r="A11" s="9" t="s">
        <v>9</v>
      </c>
      <c r="B11" s="9" t="s">
        <v>30</v>
      </c>
      <c r="C11" s="9" t="s">
        <v>11</v>
      </c>
      <c r="D11" s="9" t="s">
        <v>12</v>
      </c>
      <c r="E11" s="10" t="s">
        <v>31</v>
      </c>
      <c r="F11" s="10" t="str">
        <f>IFERROR(__xludf.DUMMYFUNCTION("GOOGLETRANSLATE(E11,""en"", ""ja"")"),"何を探していますか？")</f>
        <v>何を探していますか？</v>
      </c>
      <c r="G11" s="10" t="str">
        <f>IFERROR(__xludf.DUMMYFUNCTION("GOOGLETRANSLATE(E11,""en"",""zh-cn"")"),"你要买什么？")</f>
        <v>你要买什么？</v>
      </c>
      <c r="H11" s="10" t="str">
        <f>IFERROR(__xludf.DUMMYFUNCTION("GOOGLETRANSLATE(E11,""en"",""fr"")"),"Qu'est-ce que tu cherches?")</f>
        <v>Qu'est-ce que tu cherches?</v>
      </c>
      <c r="I11" s="10" t="str">
        <f>IFERROR(__xludf.DUMMYFUNCTION("GOOGLETRANSLATE(E11,""en"",""de"")"),"Wonach suchst du?")</f>
        <v>Wonach suchst du?</v>
      </c>
    </row>
    <row r="12">
      <c r="A12" s="9" t="s">
        <v>9</v>
      </c>
      <c r="B12" s="9" t="s">
        <v>32</v>
      </c>
      <c r="C12" s="9" t="s">
        <v>11</v>
      </c>
      <c r="D12" s="9" t="s">
        <v>12</v>
      </c>
      <c r="E12" s="10" t="s">
        <v>33</v>
      </c>
      <c r="F12" s="10" t="str">
        <f>IFERROR(__xludf.DUMMYFUNCTION("GOOGLETRANSLATE(E12,""en"", ""ja"")"),"ドキュメントを検索します")</f>
        <v>ドキュメントを検索します</v>
      </c>
      <c r="G12" s="10" t="str">
        <f>IFERROR(__xludf.DUMMYFUNCTION("GOOGLETRANSLATE(E12,""en"",""zh-cn"")"),"搜索文档")</f>
        <v>搜索文档</v>
      </c>
      <c r="H12" s="10" t="str">
        <f>IFERROR(__xludf.DUMMYFUNCTION("GOOGLETRANSLATE(E12,""en"",""fr"")"),"Rechercher des documents")</f>
        <v>Rechercher des documents</v>
      </c>
      <c r="I12" s="10" t="str">
        <f>IFERROR(__xludf.DUMMYFUNCTION("GOOGLETRANSLATE(E12,""en"",""de"")"),"Suchen Sie Dokumente")</f>
        <v>Suchen Sie Dokumente</v>
      </c>
    </row>
    <row r="13">
      <c r="A13" s="9" t="s">
        <v>9</v>
      </c>
      <c r="B13" s="9" t="s">
        <v>34</v>
      </c>
      <c r="C13" s="9" t="s">
        <v>11</v>
      </c>
      <c r="D13" s="9" t="s">
        <v>12</v>
      </c>
      <c r="E13" s="10" t="s">
        <v>35</v>
      </c>
      <c r="F13" s="10" t="str">
        <f>IFERROR(__xludf.DUMMYFUNCTION("GOOGLETRANSLATE(E13,""en"", ""ja"")"),"結果はありません")</f>
        <v>結果はありません</v>
      </c>
      <c r="G13" s="10" t="str">
        <f>IFERROR(__xludf.DUMMYFUNCTION("GOOGLETRANSLATE(E13,""en"",""zh-cn"")"),"没有结果")</f>
        <v>没有结果</v>
      </c>
      <c r="H13" s="10" t="str">
        <f>IFERROR(__xludf.DUMMYFUNCTION("GOOGLETRANSLATE(E13,""en"",""fr"")"),"Aucun résultat pour")</f>
        <v>Aucun résultat pour</v>
      </c>
      <c r="I13" s="10" t="str">
        <f>IFERROR(__xludf.DUMMYFUNCTION("GOOGLETRANSLATE(E13,""en"",""de"")"),"Keine Ergebnisse für")</f>
        <v>Keine Ergebnisse für</v>
      </c>
    </row>
    <row r="14">
      <c r="A14" s="9" t="s">
        <v>9</v>
      </c>
      <c r="B14" s="9" t="s">
        <v>36</v>
      </c>
      <c r="C14" s="9" t="s">
        <v>11</v>
      </c>
      <c r="D14" s="9" t="s">
        <v>12</v>
      </c>
      <c r="E14" s="10" t="s">
        <v>37</v>
      </c>
      <c r="F14" s="10" t="str">
        <f>IFERROR(__xludf.DUMMYFUNCTION("GOOGLETRANSLATE(E14,""en"", ""ja"")"),"キャンセル")</f>
        <v>キャンセル</v>
      </c>
      <c r="G14" s="10" t="str">
        <f>IFERROR(__xludf.DUMMYFUNCTION("GOOGLETRANSLATE(E14,""en"",""zh-cn"")"),"取消")</f>
        <v>取消</v>
      </c>
      <c r="H14" s="10" t="str">
        <f>IFERROR(__xludf.DUMMYFUNCTION("GOOGLETRANSLATE(E14,""en"",""fr"")"),"Annuler")</f>
        <v>Annuler</v>
      </c>
      <c r="I14" s="10" t="str">
        <f>IFERROR(__xludf.DUMMYFUNCTION("GOOGLETRANSLATE(E14,""en"",""de"")"),"Stornieren")</f>
        <v>Stornieren</v>
      </c>
    </row>
    <row r="15">
      <c r="A15" s="9" t="s">
        <v>9</v>
      </c>
      <c r="B15" s="9" t="s">
        <v>38</v>
      </c>
      <c r="C15" s="9" t="s">
        <v>11</v>
      </c>
      <c r="D15" s="9" t="s">
        <v>12</v>
      </c>
      <c r="E15" s="10" t="s">
        <v>39</v>
      </c>
      <c r="F15" s="10" t="str">
        <f>IFERROR(__xludf.DUMMYFUNCTION("GOOGLETRANSLATE(E15,""en"", ""ja"")"),"提出する")</f>
        <v>提出する</v>
      </c>
      <c r="G15" s="10" t="str">
        <f>IFERROR(__xludf.DUMMYFUNCTION("GOOGLETRANSLATE(E15,""en"",""zh-cn"")"),"提交")</f>
        <v>提交</v>
      </c>
      <c r="H15" s="10" t="str">
        <f>IFERROR(__xludf.DUMMYFUNCTION("GOOGLETRANSLATE(E15,""en"",""fr"")"),"Soumettre")</f>
        <v>Soumettre</v>
      </c>
      <c r="I15" s="10" t="str">
        <f>IFERROR(__xludf.DUMMYFUNCTION("GOOGLETRANSLATE(E15,""en"",""de"")"),"Einreichen")</f>
        <v>Einreichen</v>
      </c>
    </row>
    <row r="16">
      <c r="A16" s="9" t="s">
        <v>9</v>
      </c>
      <c r="B16" s="9" t="s">
        <v>40</v>
      </c>
      <c r="C16" s="9" t="s">
        <v>11</v>
      </c>
      <c r="D16" s="9" t="s">
        <v>12</v>
      </c>
      <c r="E16" s="10" t="s">
        <v>41</v>
      </c>
      <c r="F16" s="10" t="str">
        <f>IFERROR(__xludf.DUMMYFUNCTION("GOOGLETRANSLATE(E16,""en"", ""ja"")"),"わかりました")</f>
        <v>わかりました</v>
      </c>
      <c r="G16" s="10" t="str">
        <f>IFERROR(__xludf.DUMMYFUNCTION("GOOGLETRANSLATE(E16,""en"",""zh-cn"")"),"好的")</f>
        <v>好的</v>
      </c>
      <c r="H16" s="10" t="str">
        <f>IFERROR(__xludf.DUMMYFUNCTION("GOOGLETRANSLATE(E16,""en"",""fr"")"),"D'ACCORD")</f>
        <v>D'ACCORD</v>
      </c>
      <c r="I16" s="10" t="str">
        <f>IFERROR(__xludf.DUMMYFUNCTION("GOOGLETRANSLATE(E16,""en"",""de"")"),"OK")</f>
        <v>OK</v>
      </c>
    </row>
    <row r="17">
      <c r="A17" s="9" t="s">
        <v>9</v>
      </c>
      <c r="B17" s="9" t="s">
        <v>42</v>
      </c>
      <c r="C17" s="9" t="s">
        <v>11</v>
      </c>
      <c r="D17" s="9" t="s">
        <v>12</v>
      </c>
      <c r="E17" s="10" t="s">
        <v>43</v>
      </c>
      <c r="F17" s="10" t="str">
        <f>IFERROR(__xludf.DUMMYFUNCTION("GOOGLETRANSLATE(E17,""en"", ""ja"")"),"入力")</f>
        <v>入力</v>
      </c>
      <c r="G17" s="10" t="str">
        <f>IFERROR(__xludf.DUMMYFUNCTION("GOOGLETRANSLATE(E17,""en"",""zh-cn"")"),"输入")</f>
        <v>输入</v>
      </c>
      <c r="H17" s="10" t="str">
        <f>IFERROR(__xludf.DUMMYFUNCTION("GOOGLETRANSLATE(E17,""en"",""fr"")"),"Saisir")</f>
        <v>Saisir</v>
      </c>
      <c r="I17" s="10" t="str">
        <f>IFERROR(__xludf.DUMMYFUNCTION("GOOGLETRANSLATE(E17,""en"",""de"")"),"Eingang")</f>
        <v>Eingang</v>
      </c>
    </row>
    <row r="18">
      <c r="A18" s="9" t="s">
        <v>9</v>
      </c>
      <c r="B18" s="9" t="s">
        <v>44</v>
      </c>
      <c r="C18" s="9" t="s">
        <v>11</v>
      </c>
      <c r="D18" s="9" t="s">
        <v>12</v>
      </c>
      <c r="E18" s="10" t="s">
        <v>45</v>
      </c>
      <c r="F18" s="10" t="str">
        <f>IFERROR(__xludf.DUMMYFUNCTION("GOOGLETRANSLATE(E18,""en"", ""ja"")"),"読み込み")</f>
        <v>読み込み</v>
      </c>
      <c r="G18" s="10" t="str">
        <f>IFERROR(__xludf.DUMMYFUNCTION("GOOGLETRANSLATE(E18,""en"",""zh-cn"")"),"加载中")</f>
        <v>加载中</v>
      </c>
      <c r="H18" s="10" t="str">
        <f>IFERROR(__xludf.DUMMYFUNCTION("GOOGLETRANSLATE(E18,""en"",""fr"")"),"Chargement")</f>
        <v>Chargement</v>
      </c>
      <c r="I18" s="10" t="str">
        <f>IFERROR(__xludf.DUMMYFUNCTION("GOOGLETRANSLATE(E18,""en"",""de"")"),"Wird geladen")</f>
        <v>Wird geladen</v>
      </c>
    </row>
    <row r="19">
      <c r="A19" s="11"/>
      <c r="B19" s="11"/>
      <c r="C19" s="11"/>
      <c r="D19" s="11"/>
      <c r="E19" s="11"/>
      <c r="F19" s="11"/>
      <c r="G19" s="11"/>
      <c r="H19" s="11"/>
      <c r="I19" s="11"/>
    </row>
    <row r="20">
      <c r="A20" s="9" t="s">
        <v>9</v>
      </c>
      <c r="B20" s="9" t="s">
        <v>46</v>
      </c>
      <c r="C20" s="9" t="s">
        <v>47</v>
      </c>
      <c r="D20" s="9" t="s">
        <v>12</v>
      </c>
      <c r="E20" s="10" t="s">
        <v>48</v>
      </c>
      <c r="F20" s="10" t="str">
        <f>IFERROR(__xludf.DUMMYFUNCTION("GOOGLETRANSLATE(E20,""en"", ""ja"")"),"コバルト")</f>
        <v>コバルト</v>
      </c>
      <c r="G20" s="10" t="str">
        <f>IFERROR(__xludf.DUMMYFUNCTION("GOOGLETRANSLATE(E20,""en"",""zh-cn"")"),"钴")</f>
        <v>钴</v>
      </c>
      <c r="H20" s="10" t="str">
        <f>IFERROR(__xludf.DUMMYFUNCTION("GOOGLETRANSLATE(E20,""en"",""fr"")"),"Cobalt")</f>
        <v>Cobalt</v>
      </c>
      <c r="I20" s="10" t="str">
        <f>IFERROR(__xludf.DUMMYFUNCTION("GOOGLETRANSLATE(E20,""en"",""de"")"),"Kobalt")</f>
        <v>Kobalt</v>
      </c>
    </row>
    <row r="21">
      <c r="A21" s="9" t="s">
        <v>9</v>
      </c>
      <c r="B21" s="9" t="s">
        <v>49</v>
      </c>
      <c r="C21" s="9" t="s">
        <v>47</v>
      </c>
      <c r="D21" s="9" t="s">
        <v>12</v>
      </c>
      <c r="E21" s="10" t="s">
        <v>50</v>
      </c>
      <c r="F21" s="10" t="str">
        <f>IFERROR(__xludf.DUMMYFUNCTION("GOOGLETRANSLATE(E21,""en"", ""ja"")"),"ティール")</f>
        <v>ティール</v>
      </c>
      <c r="G21" s="10" t="str">
        <f>IFERROR(__xludf.DUMMYFUNCTION("GOOGLETRANSLATE(E21,""en"",""zh-cn"")"),"蓝绿色")</f>
        <v>蓝绿色</v>
      </c>
      <c r="H21" s="10" t="str">
        <f>IFERROR(__xludf.DUMMYFUNCTION("GOOGLETRANSLATE(E21,""en"",""fr"")"),"Sarcelle")</f>
        <v>Sarcelle</v>
      </c>
      <c r="I21" s="10" t="str">
        <f>IFERROR(__xludf.DUMMYFUNCTION("GOOGLETRANSLATE(E21,""en"",""de"")"),"Blaugrün")</f>
        <v>Blaugrün</v>
      </c>
    </row>
    <row r="22">
      <c r="A22" s="9" t="s">
        <v>9</v>
      </c>
      <c r="B22" s="9" t="s">
        <v>51</v>
      </c>
      <c r="C22" s="9" t="s">
        <v>47</v>
      </c>
      <c r="D22" s="9" t="s">
        <v>12</v>
      </c>
      <c r="E22" s="10" t="s">
        <v>52</v>
      </c>
      <c r="F22" s="10" t="str">
        <f>IFERROR(__xludf.DUMMYFUNCTION("GOOGLETRANSLATE(E22,""en"", ""ja"")"),"黄土")</f>
        <v>黄土</v>
      </c>
      <c r="G22" s="10" t="str">
        <f>IFERROR(__xludf.DUMMYFUNCTION("GOOGLETRANSLATE(E22,""en"",""zh-cn"")"),"赭石")</f>
        <v>赭石</v>
      </c>
      <c r="H22" s="10" t="str">
        <f>IFERROR(__xludf.DUMMYFUNCTION("GOOGLETRANSLATE(E22,""en"",""fr"")"),"Ocre")</f>
        <v>Ocre</v>
      </c>
      <c r="I22" s="10" t="str">
        <f>IFERROR(__xludf.DUMMYFUNCTION("GOOGLETRANSLATE(E22,""en"",""de"")"),"Ocker")</f>
        <v>Ocker</v>
      </c>
    </row>
    <row r="23">
      <c r="A23" s="9" t="s">
        <v>9</v>
      </c>
      <c r="B23" s="9" t="s">
        <v>53</v>
      </c>
      <c r="C23" s="9" t="s">
        <v>47</v>
      </c>
      <c r="D23" s="9" t="s">
        <v>12</v>
      </c>
      <c r="E23" s="10" t="s">
        <v>54</v>
      </c>
      <c r="F23" s="10" t="str">
        <f>IFERROR(__xludf.DUMMYFUNCTION("GOOGLETRANSLATE(E23,""en"", ""ja"")"),"バイオレット")</f>
        <v>バイオレット</v>
      </c>
      <c r="G23" s="10" t="str">
        <f>IFERROR(__xludf.DUMMYFUNCTION("GOOGLETRANSLATE(E23,""en"",""zh-cn"")"),"紫色")</f>
        <v>紫色</v>
      </c>
      <c r="H23" s="10" t="str">
        <f>IFERROR(__xludf.DUMMYFUNCTION("GOOGLETRANSLATE(E23,""en"",""fr"")"),"Violet")</f>
        <v>Violet</v>
      </c>
      <c r="I23" s="10" t="str">
        <f>IFERROR(__xludf.DUMMYFUNCTION("GOOGLETRANSLATE(E23,""en"",""de"")"),"Violett")</f>
        <v>Violett</v>
      </c>
    </row>
    <row r="24">
      <c r="A24" s="9" t="s">
        <v>9</v>
      </c>
      <c r="B24" s="9" t="s">
        <v>55</v>
      </c>
      <c r="C24" s="9" t="s">
        <v>47</v>
      </c>
      <c r="D24" s="9" t="s">
        <v>12</v>
      </c>
      <c r="E24" s="10" t="s">
        <v>56</v>
      </c>
      <c r="F24" s="10" t="str">
        <f>IFERROR(__xludf.DUMMYFUNCTION("GOOGLETRANSLATE(E24,""en"", ""ja"")"),"赤紫色")</f>
        <v>赤紫色</v>
      </c>
      <c r="G24" s="10" t="str">
        <f>IFERROR(__xludf.DUMMYFUNCTION("GOOGLETRANSLATE(E24,""en"",""zh-cn"")"),"品红")</f>
        <v>品红</v>
      </c>
      <c r="H24" s="10" t="str">
        <f>IFERROR(__xludf.DUMMYFUNCTION("GOOGLETRANSLATE(E24,""en"",""fr"")"),"Magenta")</f>
        <v>Magenta</v>
      </c>
      <c r="I24" s="10" t="str">
        <f>IFERROR(__xludf.DUMMYFUNCTION("GOOGLETRANSLATE(E24,""en"",""de"")"),"Magenta")</f>
        <v>Magenta</v>
      </c>
    </row>
    <row r="25">
      <c r="A25" s="9" t="s">
        <v>9</v>
      </c>
      <c r="B25" s="9" t="s">
        <v>57</v>
      </c>
      <c r="C25" s="9" t="s">
        <v>47</v>
      </c>
      <c r="D25" s="9" t="s">
        <v>12</v>
      </c>
      <c r="E25" s="10" t="s">
        <v>58</v>
      </c>
      <c r="F25" s="10" t="str">
        <f>IFERROR(__xludf.DUMMYFUNCTION("GOOGLETRANSLATE(E25,""en"", ""ja"")"),"ラベンダー")</f>
        <v>ラベンダー</v>
      </c>
      <c r="G25" s="10" t="str">
        <f>IFERROR(__xludf.DUMMYFUNCTION("GOOGLETRANSLATE(E25,""en"",""zh-cn"")"),"薰衣草")</f>
        <v>薰衣草</v>
      </c>
      <c r="H25" s="10" t="str">
        <f>IFERROR(__xludf.DUMMYFUNCTION("GOOGLETRANSLATE(E25,""en"",""fr"")"),"Lavande")</f>
        <v>Lavande</v>
      </c>
      <c r="I25" s="10" t="str">
        <f>IFERROR(__xludf.DUMMYFUNCTION("GOOGLETRANSLATE(E25,""en"",""de"")"),"Lavendel")</f>
        <v>Lavendel</v>
      </c>
    </row>
    <row r="26">
      <c r="A26" s="9" t="s">
        <v>9</v>
      </c>
      <c r="B26" s="9" t="s">
        <v>59</v>
      </c>
      <c r="C26" s="9" t="s">
        <v>47</v>
      </c>
      <c r="D26" s="9" t="s">
        <v>12</v>
      </c>
      <c r="E26" s="10" t="s">
        <v>60</v>
      </c>
      <c r="F26" s="10" t="str">
        <f>IFERROR(__xludf.DUMMYFUNCTION("GOOGLETRANSLATE(E26,""en"", ""ja"")"),"ピューター")</f>
        <v>ピューター</v>
      </c>
      <c r="G26" s="10" t="str">
        <f>IFERROR(__xludf.DUMMYFUNCTION("GOOGLETRANSLATE(E26,""en"",""zh-cn"")"),"锡")</f>
        <v>锡</v>
      </c>
      <c r="H26" s="10" t="str">
        <f>IFERROR(__xludf.DUMMYFUNCTION("GOOGLETRANSLATE(E26,""en"",""fr"")"),"Étain")</f>
        <v>Étain</v>
      </c>
      <c r="I26" s="10" t="str">
        <f>IFERROR(__xludf.DUMMYFUNCTION("GOOGLETRANSLATE(E26,""en"",""de"")"),"Zinn")</f>
        <v>Zinn</v>
      </c>
    </row>
    <row r="27">
      <c r="A27" s="9" t="s">
        <v>9</v>
      </c>
      <c r="B27" s="9" t="s">
        <v>61</v>
      </c>
      <c r="C27" s="9" t="s">
        <v>47</v>
      </c>
      <c r="D27" s="9" t="s">
        <v>12</v>
      </c>
      <c r="E27" s="10" t="s">
        <v>62</v>
      </c>
      <c r="F27" s="10" t="str">
        <f>IFERROR(__xludf.DUMMYFUNCTION("GOOGLETRANSLATE(E27,""en"", ""ja"")"),"ミント")</f>
        <v>ミント</v>
      </c>
      <c r="G27" s="10" t="str">
        <f>IFERROR(__xludf.DUMMYFUNCTION("GOOGLETRANSLATE(E27,""en"",""zh-cn"")"),"薄荷")</f>
        <v>薄荷</v>
      </c>
      <c r="H27" s="10" t="str">
        <f>IFERROR(__xludf.DUMMYFUNCTION("GOOGLETRANSLATE(E27,""en"",""fr"")"),"menthe")</f>
        <v>menthe</v>
      </c>
      <c r="I27" s="10" t="str">
        <f>IFERROR(__xludf.DUMMYFUNCTION("GOOGLETRANSLATE(E27,""en"",""de"")"),"Minze")</f>
        <v>Minze</v>
      </c>
    </row>
    <row r="28">
      <c r="A28" s="9" t="s">
        <v>9</v>
      </c>
      <c r="B28" s="9" t="s">
        <v>63</v>
      </c>
      <c r="C28" s="9" t="s">
        <v>47</v>
      </c>
      <c r="D28" s="9" t="s">
        <v>12</v>
      </c>
      <c r="E28" s="10" t="s">
        <v>64</v>
      </c>
      <c r="F28" s="10" t="str">
        <f>IFERROR(__xludf.DUMMYFUNCTION("GOOGLETRANSLATE(E28,""en"", ""ja"")"),"カスタムテーマの色")</f>
        <v>カスタムテーマの色</v>
      </c>
      <c r="G28" s="10" t="str">
        <f>IFERROR(__xludf.DUMMYFUNCTION("GOOGLETRANSLATE(E28,""en"",""zh-cn"")"),"自定义主题颜色")</f>
        <v>自定义主题颜色</v>
      </c>
      <c r="H28" s="10" t="str">
        <f>IFERROR(__xludf.DUMMYFUNCTION("GOOGLETRANSLATE(E28,""en"",""fr"")"),"Couleur du thème personnalisé")</f>
        <v>Couleur du thème personnalisé</v>
      </c>
      <c r="I28" s="10" t="str">
        <f>IFERROR(__xludf.DUMMYFUNCTION("GOOGLETRANSLATE(E28,""en"",""de"")"),"Benutzerdefinierte Themenfarbe")</f>
        <v>Benutzerdefinierte Themenfarbe</v>
      </c>
    </row>
    <row r="29">
      <c r="A29" s="9" t="s">
        <v>9</v>
      </c>
      <c r="B29" s="9" t="s">
        <v>65</v>
      </c>
      <c r="C29" s="9" t="s">
        <v>47</v>
      </c>
      <c r="D29" s="9" t="s">
        <v>12</v>
      </c>
      <c r="E29" s="10" t="s">
        <v>66</v>
      </c>
      <c r="F29" s="10" t="s">
        <v>67</v>
      </c>
      <c r="G29" s="10" t="str">
        <f>IFERROR(__xludf.DUMMYFUNCTION("GOOGLETRANSLATE(E29,""en"",""zh-cn"")"),"主题：{{theme}}")</f>
        <v>主题：{{theme}}</v>
      </c>
      <c r="H29" s="10" t="s">
        <v>68</v>
      </c>
      <c r="I29" s="10" t="s">
        <v>69</v>
      </c>
    </row>
    <row r="30">
      <c r="A30" s="9" t="s">
        <v>9</v>
      </c>
      <c r="B30" s="9" t="s">
        <v>70</v>
      </c>
      <c r="C30" s="9" t="s">
        <v>47</v>
      </c>
      <c r="D30" s="9" t="s">
        <v>12</v>
      </c>
      <c r="E30" s="10" t="s">
        <v>71</v>
      </c>
      <c r="F30" s="10" t="str">
        <f>IFERROR(__xludf.DUMMYFUNCTION("GOOGLETRANSLATE(E30,""en"", ""ja"")"),"アップロード")</f>
        <v>アップロード</v>
      </c>
      <c r="G30" s="10" t="str">
        <f>IFERROR(__xludf.DUMMYFUNCTION("GOOGLETRANSLATE(E30,""en"",""zh-cn"")"),"上传")</f>
        <v>上传</v>
      </c>
      <c r="H30" s="10" t="str">
        <f>IFERROR(__xludf.DUMMYFUNCTION("GOOGLETRANSLATE(E30,""en"",""fr"")"),"Télécharger")</f>
        <v>Télécharger</v>
      </c>
      <c r="I30" s="10" t="str">
        <f>IFERROR(__xludf.DUMMYFUNCTION("GOOGLETRANSLATE(E30,""en"",""de"")"),"Hochladen")</f>
        <v>Hochladen</v>
      </c>
    </row>
    <row r="31">
      <c r="A31" s="9" t="s">
        <v>9</v>
      </c>
      <c r="B31" s="9" t="s">
        <v>72</v>
      </c>
      <c r="C31" s="9" t="s">
        <v>47</v>
      </c>
      <c r="D31" s="9" t="s">
        <v>12</v>
      </c>
      <c r="E31" s="10" t="s">
        <v>73</v>
      </c>
      <c r="F31" s="10" t="str">
        <f>IFERROR(__xludf.DUMMYFUNCTION("GOOGLETRANSLATE(E31,""en"", ""ja"")"),"ダウンロード")</f>
        <v>ダウンロード</v>
      </c>
      <c r="G31" s="10" t="str">
        <f>IFERROR(__xludf.DUMMYFUNCTION("GOOGLETRANSLATE(E31,""en"",""zh-cn"")"),"下载")</f>
        <v>下载</v>
      </c>
      <c r="H31" s="10" t="str">
        <f>IFERROR(__xludf.DUMMYFUNCTION("GOOGLETRANSLATE(E31,""en"",""fr"")"),"Télécharger")</f>
        <v>Télécharger</v>
      </c>
      <c r="I31" s="10" t="str">
        <f>IFERROR(__xludf.DUMMYFUNCTION("GOOGLETRANSLATE(E31,""en"",""de"")"),"Herunterladen")</f>
        <v>Herunterladen</v>
      </c>
    </row>
    <row r="32">
      <c r="A32" s="11"/>
      <c r="B32" s="11"/>
      <c r="C32" s="11"/>
      <c r="D32" s="11"/>
      <c r="E32" s="11"/>
      <c r="F32" s="11"/>
      <c r="G32" s="10"/>
      <c r="H32" s="11"/>
      <c r="I32" s="11"/>
    </row>
    <row r="33">
      <c r="A33" s="9" t="s">
        <v>9</v>
      </c>
      <c r="B33" s="9" t="s">
        <v>74</v>
      </c>
      <c r="C33" s="9" t="s">
        <v>75</v>
      </c>
      <c r="D33" s="9" t="s">
        <v>12</v>
      </c>
      <c r="E33" s="10" t="s">
        <v>76</v>
      </c>
      <c r="F33" s="10" t="str">
        <f>IFERROR(__xludf.DUMMYFUNCTION("GOOGLETRANSLATE(E33,""en"", ""ja"")"),"英語")</f>
        <v>英語</v>
      </c>
      <c r="G33" s="10" t="str">
        <f>IFERROR(__xludf.DUMMYFUNCTION("GOOGLETRANSLATE(E33,""en"",""zh-cn"")"),"英语")</f>
        <v>英语</v>
      </c>
      <c r="H33" s="10" t="str">
        <f>IFERROR(__xludf.DUMMYFUNCTION("GOOGLETRANSLATE(E33,""en"",""fr"")"),"Anglais")</f>
        <v>Anglais</v>
      </c>
      <c r="I33" s="10" t="str">
        <f>IFERROR(__xludf.DUMMYFUNCTION("GOOGLETRANSLATE(E33,""en"",""de"")"),"Englisch")</f>
        <v>Englisch</v>
      </c>
    </row>
    <row r="34">
      <c r="A34" s="9" t="s">
        <v>9</v>
      </c>
      <c r="B34" s="9" t="s">
        <v>77</v>
      </c>
      <c r="C34" s="9" t="s">
        <v>75</v>
      </c>
      <c r="D34" s="9" t="s">
        <v>12</v>
      </c>
      <c r="E34" s="10" t="s">
        <v>78</v>
      </c>
      <c r="F34" s="10" t="str">
        <f>IFERROR(__xludf.DUMMYFUNCTION("GOOGLETRANSLATE(E34,""en"", ""ja"")"),"ドイツ人")</f>
        <v>ドイツ人</v>
      </c>
      <c r="G34" s="10" t="str">
        <f>IFERROR(__xludf.DUMMYFUNCTION("GOOGLETRANSLATE(E34,""en"",""zh-cn"")"),"德语")</f>
        <v>德语</v>
      </c>
      <c r="H34" s="10" t="str">
        <f>IFERROR(__xludf.DUMMYFUNCTION("GOOGLETRANSLATE(E34,""en"",""fr"")"),"Allemand")</f>
        <v>Allemand</v>
      </c>
      <c r="I34" s="10" t="str">
        <f>IFERROR(__xludf.DUMMYFUNCTION("GOOGLETRANSLATE(E34,""en"",""de"")"),"Deutsch")</f>
        <v>Deutsch</v>
      </c>
    </row>
    <row r="35">
      <c r="A35" s="9" t="s">
        <v>9</v>
      </c>
      <c r="B35" s="9" t="s">
        <v>79</v>
      </c>
      <c r="C35" s="9" t="s">
        <v>75</v>
      </c>
      <c r="D35" s="9" t="s">
        <v>12</v>
      </c>
      <c r="E35" s="9" t="s">
        <v>80</v>
      </c>
      <c r="F35" s="10" t="str">
        <f>IFERROR(__xludf.DUMMYFUNCTION("GOOGLETRANSLATE(E35,""en"", ""ja"")"),"中国語")</f>
        <v>中国語</v>
      </c>
      <c r="G35" s="10" t="str">
        <f>IFERROR(__xludf.DUMMYFUNCTION("GOOGLETRANSLATE(E35,""en"",""zh-cn"")"),"中国人")</f>
        <v>中国人</v>
      </c>
      <c r="H35" s="10" t="str">
        <f>IFERROR(__xludf.DUMMYFUNCTION("GOOGLETRANSLATE(E35,""en"",""fr"")"),"Chinois")</f>
        <v>Chinois</v>
      </c>
      <c r="I35" s="10" t="str">
        <f>IFERROR(__xludf.DUMMYFUNCTION("GOOGLETRANSLATE(E35,""en"",""de"")"),"Chinesisch")</f>
        <v>Chinesisch</v>
      </c>
    </row>
    <row r="36">
      <c r="A36" s="9" t="s">
        <v>9</v>
      </c>
      <c r="B36" s="9" t="s">
        <v>81</v>
      </c>
      <c r="C36" s="9" t="s">
        <v>75</v>
      </c>
      <c r="D36" s="9" t="s">
        <v>12</v>
      </c>
      <c r="E36" s="10" t="s">
        <v>82</v>
      </c>
      <c r="F36" s="10" t="str">
        <f>IFERROR(__xludf.DUMMYFUNCTION("GOOGLETRANSLATE(E36,""en"", ""ja"")"),"日本語")</f>
        <v>日本語</v>
      </c>
      <c r="G36" s="10" t="str">
        <f>IFERROR(__xludf.DUMMYFUNCTION("GOOGLETRANSLATE(E36,""en"",""zh-cn"")"),"日本人")</f>
        <v>日本人</v>
      </c>
      <c r="H36" s="10" t="str">
        <f>IFERROR(__xludf.DUMMYFUNCTION("GOOGLETRANSLATE(E36,""en"",""fr"")"),"Japonais")</f>
        <v>Japonais</v>
      </c>
      <c r="I36" s="10" t="str">
        <f>IFERROR(__xludf.DUMMYFUNCTION("GOOGLETRANSLATE(E36,""en"",""de"")"),"japanisch")</f>
        <v>japanisch</v>
      </c>
    </row>
    <row r="37">
      <c r="A37" s="9" t="s">
        <v>9</v>
      </c>
      <c r="B37" s="9" t="s">
        <v>83</v>
      </c>
      <c r="C37" s="9" t="s">
        <v>75</v>
      </c>
      <c r="D37" s="9" t="s">
        <v>12</v>
      </c>
      <c r="E37" s="10" t="s">
        <v>84</v>
      </c>
      <c r="F37" s="10" t="str">
        <f>IFERROR(__xludf.DUMMYFUNCTION("GOOGLETRANSLATE(E37,""en"", ""ja"")"),"フランス語")</f>
        <v>フランス語</v>
      </c>
      <c r="G37" s="10" t="str">
        <f>IFERROR(__xludf.DUMMYFUNCTION("GOOGLETRANSLATE(E37,""en"",""zh-cn"")"),"法语")</f>
        <v>法语</v>
      </c>
      <c r="H37" s="10" t="str">
        <f>IFERROR(__xludf.DUMMYFUNCTION("GOOGLETRANSLATE(E37,""en"",""fr"")"),"Français")</f>
        <v>Français</v>
      </c>
      <c r="I37" s="10" t="str">
        <f>IFERROR(__xludf.DUMMYFUNCTION("GOOGLETRANSLATE(E37,""en"",""de"")"),"Französisch")</f>
        <v>Französisch</v>
      </c>
    </row>
    <row r="38">
      <c r="A38" s="11"/>
      <c r="B38" s="11"/>
      <c r="C38" s="11"/>
      <c r="D38" s="11"/>
      <c r="E38" s="11"/>
      <c r="F38" s="11"/>
      <c r="G38" s="11"/>
      <c r="H38" s="11"/>
      <c r="I38" s="11"/>
    </row>
    <row r="39">
      <c r="A39" s="9" t="s">
        <v>9</v>
      </c>
      <c r="B39" s="9" t="s">
        <v>85</v>
      </c>
      <c r="C39" s="9" t="s">
        <v>86</v>
      </c>
      <c r="D39" s="9" t="s">
        <v>12</v>
      </c>
      <c r="E39" s="10" t="s">
        <v>87</v>
      </c>
      <c r="F39" s="10" t="str">
        <f>IFERROR(__xludf.DUMMYFUNCTION("GOOGLETRANSLATE(E39,""en"", ""ja"")"),"導入")</f>
        <v>導入</v>
      </c>
      <c r="G39" s="10" t="str">
        <f>IFERROR(__xludf.DUMMYFUNCTION("GOOGLETRANSLATE(E39,""en"",""zh-cn"")"),"介绍")</f>
        <v>介绍</v>
      </c>
      <c r="H39" s="10" t="str">
        <f>IFERROR(__xludf.DUMMYFUNCTION("GOOGLETRANSLATE(E39,""en"",""fr"")"),"Introduction")</f>
        <v>Introduction</v>
      </c>
      <c r="I39" s="10" t="str">
        <f>IFERROR(__xludf.DUMMYFUNCTION("GOOGLETRANSLATE(E39,""en"",""de"")"),"Einführung")</f>
        <v>Einführung</v>
      </c>
    </row>
    <row r="40">
      <c r="A40" s="9" t="s">
        <v>9</v>
      </c>
      <c r="B40" s="9" t="s">
        <v>88</v>
      </c>
      <c r="C40" s="9" t="s">
        <v>86</v>
      </c>
      <c r="D40" s="9" t="s">
        <v>12</v>
      </c>
      <c r="E40" s="10" t="s">
        <v>89</v>
      </c>
      <c r="F40" s="10" t="str">
        <f>IFERROR(__xludf.DUMMYFUNCTION("GOOGLETRANSLATE(E40,""en"", ""ja"")"),"デザインの原則")</f>
        <v>デザインの原則</v>
      </c>
      <c r="G40" s="10" t="str">
        <f>IFERROR(__xludf.DUMMYFUNCTION("GOOGLETRANSLATE(E40,""en"",""zh-cn"")"),"设计原理")</f>
        <v>设计原理</v>
      </c>
      <c r="H40" s="10" t="str">
        <f>IFERROR(__xludf.DUMMYFUNCTION("GOOGLETRANSLATE(E40,""en"",""fr"")"),"Principe de conception")</f>
        <v>Principe de conception</v>
      </c>
      <c r="I40" s="10" t="str">
        <f>IFERROR(__xludf.DUMMYFUNCTION("GOOGLETRANSLATE(E40,""en"",""de"")"),"Designprinzip")</f>
        <v>Designprinzip</v>
      </c>
    </row>
    <row r="41">
      <c r="A41" s="9" t="s">
        <v>9</v>
      </c>
      <c r="B41" s="9" t="s">
        <v>18</v>
      </c>
      <c r="C41" s="9" t="s">
        <v>86</v>
      </c>
      <c r="D41" s="9" t="s">
        <v>12</v>
      </c>
      <c r="E41" s="10" t="s">
        <v>19</v>
      </c>
      <c r="F41" s="10" t="str">
        <f>IFERROR(__xludf.DUMMYFUNCTION("GOOGLETRANSLATE(E41,""en"", ""ja"")"),"{{name}}設計システム")</f>
        <v>{{name}}設計システム</v>
      </c>
      <c r="G41" s="10" t="str">
        <f>IFERROR(__xludf.DUMMYFUNCTION("GOOGLETRANSLATE(E41,""en"",""zh-cn"")"),"{{name}}设计系统")</f>
        <v>{{name}}设计系统</v>
      </c>
      <c r="H41" s="10" t="s">
        <v>20</v>
      </c>
      <c r="I41" s="10" t="s">
        <v>21</v>
      </c>
    </row>
    <row r="42">
      <c r="A42" s="9" t="s">
        <v>9</v>
      </c>
      <c r="B42" s="9" t="s">
        <v>90</v>
      </c>
      <c r="C42" s="9" t="s">
        <v>86</v>
      </c>
      <c r="D42" s="9" t="s">
        <v>12</v>
      </c>
      <c r="E42" s="9" t="s">
        <v>91</v>
      </c>
      <c r="F42" s="10" t="str">
        <f>IFERROR(__xludf.DUMMYFUNCTION("GOOGLETRANSLATE(E42,""en"", ""ja"")"),"設計標準")</f>
        <v>設計標準</v>
      </c>
      <c r="G42" s="10" t="str">
        <f>IFERROR(__xludf.DUMMYFUNCTION("GOOGLETRANSLATE(E42,""en"",""zh-cn"")"),"设计标准")</f>
        <v>设计标准</v>
      </c>
      <c r="H42" s="10" t="str">
        <f>IFERROR(__xludf.DUMMYFUNCTION("GOOGLETRANSLATE(E42,""en"",""fr"")"),"Norme de conception")</f>
        <v>Norme de conception</v>
      </c>
      <c r="I42" s="10" t="str">
        <f>IFERROR(__xludf.DUMMYFUNCTION("GOOGLETRANSLATE(E42,""en"",""de"")"),"Designstandard")</f>
        <v>Designstandard</v>
      </c>
    </row>
    <row r="43">
      <c r="A43" s="9" t="s">
        <v>9</v>
      </c>
      <c r="B43" s="9" t="s">
        <v>92</v>
      </c>
      <c r="C43" s="9" t="s">
        <v>86</v>
      </c>
      <c r="D43" s="9" t="s">
        <v>12</v>
      </c>
      <c r="E43" s="10" t="s">
        <v>93</v>
      </c>
      <c r="F43" s="10" t="str">
        <f>IFERROR(__xludf.DUMMYFUNCTION("GOOGLETRANSLATE(E43,""en"", ""ja"")"),"ログを変更します")</f>
        <v>ログを変更します</v>
      </c>
      <c r="G43" s="10" t="str">
        <f>IFERROR(__xludf.DUMMYFUNCTION("GOOGLETRANSLATE(E43,""en"",""zh-cn"")"),"更改日志")</f>
        <v>更改日志</v>
      </c>
      <c r="H43" s="10" t="str">
        <f>IFERROR(__xludf.DUMMYFUNCTION("GOOGLETRANSLATE(E43,""en"",""fr"")"),"Modifier le journal")</f>
        <v>Modifier le journal</v>
      </c>
      <c r="I43" s="10" t="str">
        <f>IFERROR(__xludf.DUMMYFUNCTION("GOOGLETRANSLATE(E43,""en"",""de"")"),"Änderungsprotokoll")</f>
        <v>Änderungsprotokoll</v>
      </c>
    </row>
    <row r="44">
      <c r="A44" s="9" t="s">
        <v>9</v>
      </c>
      <c r="B44" s="9" t="s">
        <v>94</v>
      </c>
      <c r="C44" s="9" t="s">
        <v>86</v>
      </c>
      <c r="D44" s="9" t="s">
        <v>12</v>
      </c>
      <c r="E44" s="10" t="s">
        <v>95</v>
      </c>
      <c r="F44" s="10" t="str">
        <f>IFERROR(__xludf.DUMMYFUNCTION("GOOGLETRANSLATE(E44,""en"", ""ja"")"),"ボタン")</f>
        <v>ボタン</v>
      </c>
      <c r="G44" s="10" t="str">
        <f>IFERROR(__xludf.DUMMYFUNCTION("GOOGLETRANSLATE(E44,""en"",""zh-cn"")"),"按钮")</f>
        <v>按钮</v>
      </c>
      <c r="H44" s="10" t="str">
        <f>IFERROR(__xludf.DUMMYFUNCTION("GOOGLETRANSLATE(E44,""en"",""fr"")"),"Bouton")</f>
        <v>Bouton</v>
      </c>
      <c r="I44" s="10" t="str">
        <f>IFERROR(__xludf.DUMMYFUNCTION("GOOGLETRANSLATE(E44,""en"",""de"")"),"Taste")</f>
        <v>Taste</v>
      </c>
    </row>
    <row r="45">
      <c r="A45" s="9" t="s">
        <v>9</v>
      </c>
      <c r="B45" s="9" t="s">
        <v>96</v>
      </c>
      <c r="C45" s="9" t="s">
        <v>86</v>
      </c>
      <c r="D45" s="9" t="s">
        <v>12</v>
      </c>
      <c r="E45" s="10" t="s">
        <v>97</v>
      </c>
      <c r="F45" s="10" t="str">
        <f>IFERROR(__xludf.DUMMYFUNCTION("GOOGLETRANSLATE(E45,""en"", ""ja"")"),"アイコンギャラリー")</f>
        <v>アイコンギャラリー</v>
      </c>
      <c r="G45" s="10" t="str">
        <f>IFERROR(__xludf.DUMMYFUNCTION("GOOGLETRANSLATE(E45,""en"",""zh-cn"")"),"图标画廊")</f>
        <v>图标画廊</v>
      </c>
      <c r="H45" s="10" t="str">
        <f>IFERROR(__xludf.DUMMYFUNCTION("GOOGLETRANSLATE(E45,""en"",""fr"")"),"Galerie d'icônes")</f>
        <v>Galerie d'icônes</v>
      </c>
      <c r="I45" s="10" t="str">
        <f>IFERROR(__xludf.DUMMYFUNCTION("GOOGLETRANSLATE(E45,""en"",""de"")"),"Icon Gallery")</f>
        <v>Icon Gallery</v>
      </c>
    </row>
    <row r="46">
      <c r="A46" s="9" t="s">
        <v>9</v>
      </c>
      <c r="B46" s="9" t="s">
        <v>98</v>
      </c>
      <c r="C46" s="9" t="s">
        <v>86</v>
      </c>
      <c r="D46" s="9" t="s">
        <v>12</v>
      </c>
      <c r="E46" s="10" t="s">
        <v>99</v>
      </c>
      <c r="F46" s="10" t="str">
        <f>IFERROR(__xludf.DUMMYFUNCTION("GOOGLETRANSLATE(E46,""en"", ""ja"")"),"アイコン")</f>
        <v>アイコン</v>
      </c>
      <c r="G46" s="10" t="str">
        <f>IFERROR(__xludf.DUMMYFUNCTION("GOOGLETRANSLATE(E46,""en"",""zh-cn"")"),"图标")</f>
        <v>图标</v>
      </c>
      <c r="H46" s="10" t="str">
        <f>IFERROR(__xludf.DUMMYFUNCTION("GOOGLETRANSLATE(E46,""en"",""fr"")"),"Icône")</f>
        <v>Icône</v>
      </c>
      <c r="I46" s="10" t="str">
        <f>IFERROR(__xludf.DUMMYFUNCTION("GOOGLETRANSLATE(E46,""en"",""de"")"),"Symbol")</f>
        <v>Symbol</v>
      </c>
    </row>
    <row r="47">
      <c r="A47" s="9" t="s">
        <v>9</v>
      </c>
      <c r="B47" s="9" t="s">
        <v>100</v>
      </c>
      <c r="C47" s="9" t="s">
        <v>86</v>
      </c>
      <c r="D47" s="9" t="s">
        <v>12</v>
      </c>
      <c r="E47" s="10" t="s">
        <v>101</v>
      </c>
      <c r="F47" s="10" t="str">
        <f>IFERROR(__xludf.DUMMYFUNCTION("GOOGLETRANSLATE(E47,""en"", ""ja"")"),"一般的なi18n用語")</f>
        <v>一般的なi18n用語</v>
      </c>
      <c r="G47" s="10" t="str">
        <f>IFERROR(__xludf.DUMMYFUNCTION("GOOGLETRANSLATE(E47,""en"",""zh-cn"")"),"常见的I18N术语")</f>
        <v>常见的I18N术语</v>
      </c>
      <c r="H47" s="10" t="str">
        <f>IFERROR(__xludf.DUMMYFUNCTION("GOOGLETRANSLATE(E47,""en"",""fr"")"),"Termes i18n communs")</f>
        <v>Termes i18n communs</v>
      </c>
      <c r="I47" s="10" t="str">
        <f>IFERROR(__xludf.DUMMYFUNCTION("GOOGLETRANSLATE(E47,""en"",""de"")"),"Gemeinsame Begriffe")</f>
        <v>Gemeinsame Begriffe</v>
      </c>
    </row>
    <row r="48">
      <c r="A48" s="9" t="s">
        <v>9</v>
      </c>
      <c r="B48" s="9" t="s">
        <v>102</v>
      </c>
      <c r="C48" s="9" t="s">
        <v>86</v>
      </c>
      <c r="D48" s="9" t="s">
        <v>12</v>
      </c>
      <c r="E48" s="10" t="s">
        <v>103</v>
      </c>
      <c r="F48" s="10" t="str">
        <f>IFERROR(__xludf.DUMMYFUNCTION("GOOGLETRANSLATE(E48,""en"", ""ja"")"),"一般的な製品")</f>
        <v>一般的な製品</v>
      </c>
      <c r="G48" s="10" t="str">
        <f>IFERROR(__xludf.DUMMYFUNCTION("GOOGLETRANSLATE(E48,""en"",""zh-cn"")"),"常见产品")</f>
        <v>常见产品</v>
      </c>
      <c r="H48" s="10" t="str">
        <f>IFERROR(__xludf.DUMMYFUNCTION("GOOGLETRANSLATE(E48,""en"",""fr"")"),"Produit commun")</f>
        <v>Produit commun</v>
      </c>
      <c r="I48" s="10" t="str">
        <f>IFERROR(__xludf.DUMMYFUNCTION("GOOGLETRANSLATE(E48,""en"",""de"")"),"Gemeinsames Produkt")</f>
        <v>Gemeinsames Produkt</v>
      </c>
    </row>
    <row r="49">
      <c r="A49" s="9" t="s">
        <v>9</v>
      </c>
      <c r="B49" s="9" t="s">
        <v>104</v>
      </c>
      <c r="C49" s="9" t="s">
        <v>86</v>
      </c>
      <c r="D49" s="9" t="s">
        <v>12</v>
      </c>
      <c r="E49" s="10" t="s">
        <v>105</v>
      </c>
      <c r="F49" s="10" t="str">
        <f>IFERROR(__xludf.DUMMYFUNCTION("GOOGLETRANSLATE(E49,""en"", ""ja"")"),"タイポグラフィ")</f>
        <v>タイポグラフィ</v>
      </c>
      <c r="G49" s="10" t="str">
        <f>IFERROR(__xludf.DUMMYFUNCTION("GOOGLETRANSLATE(E49,""en"",""zh-cn"")"),"排版")</f>
        <v>排版</v>
      </c>
      <c r="H49" s="10" t="str">
        <f>IFERROR(__xludf.DUMMYFUNCTION("GOOGLETRANSLATE(E49,""en"",""fr"")"),"Typographie")</f>
        <v>Typographie</v>
      </c>
      <c r="I49" s="10" t="str">
        <f>IFERROR(__xludf.DUMMYFUNCTION("GOOGLETRANSLATE(E49,""en"",""de"")"),"Typografie")</f>
        <v>Typografie</v>
      </c>
    </row>
    <row r="50">
      <c r="A50" s="9" t="s">
        <v>9</v>
      </c>
      <c r="B50" s="9" t="s">
        <v>106</v>
      </c>
      <c r="C50" s="9" t="s">
        <v>86</v>
      </c>
      <c r="D50" s="9" t="s">
        <v>12</v>
      </c>
      <c r="E50" s="10" t="s">
        <v>107</v>
      </c>
      <c r="F50" s="10" t="str">
        <f>IFERROR(__xludf.DUMMYFUNCTION("GOOGLETRANSLATE(E50,""en"", ""ja"")"),"パン塊")</f>
        <v>パン塊</v>
      </c>
      <c r="G50" s="10" t="str">
        <f>IFERROR(__xludf.DUMMYFUNCTION("GOOGLETRANSLATE(E50,""en"",""zh-cn"")"),"面包屑")</f>
        <v>面包屑</v>
      </c>
      <c r="H50" s="10" t="str">
        <f>IFERROR(__xludf.DUMMYFUNCTION("GOOGLETRANSLATE(E50,""en"",""fr"")"),"Miette de pain")</f>
        <v>Miette de pain</v>
      </c>
      <c r="I50" s="10" t="str">
        <f>IFERROR(__xludf.DUMMYFUNCTION("GOOGLETRANSLATE(E50,""en"",""de"")"),"Breadcrumb")</f>
        <v>Breadcrumb</v>
      </c>
    </row>
    <row r="51">
      <c r="A51" s="9" t="s">
        <v>9</v>
      </c>
      <c r="B51" s="9" t="s">
        <v>108</v>
      </c>
      <c r="C51" s="9" t="s">
        <v>86</v>
      </c>
      <c r="D51" s="9" t="s">
        <v>12</v>
      </c>
      <c r="E51" s="10" t="s">
        <v>109</v>
      </c>
      <c r="F51" s="10" t="str">
        <f>IFERROR(__xludf.DUMMYFUNCTION("GOOGLETRANSLATE(E51,""en"", ""ja"")"),"ナビゲーションメニュー")</f>
        <v>ナビゲーションメニュー</v>
      </c>
      <c r="G51" s="10" t="str">
        <f>IFERROR(__xludf.DUMMYFUNCTION("GOOGLETRANSLATE(E51,""en"",""zh-cn"")"),"导航菜单")</f>
        <v>导航菜单</v>
      </c>
      <c r="H51" s="10" t="str">
        <f>IFERROR(__xludf.DUMMYFUNCTION("GOOGLETRANSLATE(E51,""en"",""fr"")"),"le menu de navigation")</f>
        <v>le menu de navigation</v>
      </c>
      <c r="I51" s="10" t="str">
        <f>IFERROR(__xludf.DUMMYFUNCTION("GOOGLETRANSLATE(E51,""en"",""de"")"),"Navigationsmenü")</f>
        <v>Navigationsmenü</v>
      </c>
    </row>
    <row r="52">
      <c r="A52" s="9" t="s">
        <v>9</v>
      </c>
      <c r="B52" s="9" t="s">
        <v>110</v>
      </c>
      <c r="C52" s="9" t="s">
        <v>86</v>
      </c>
      <c r="D52" s="9" t="s">
        <v>12</v>
      </c>
      <c r="E52" s="10" t="s">
        <v>111</v>
      </c>
      <c r="F52" s="10" t="str">
        <f>IFERROR(__xludf.DUMMYFUNCTION("GOOGLETRANSLATE(E52,""en"", ""ja"")"),"ナビゲーションメニューライト")</f>
        <v>ナビゲーションメニューライト</v>
      </c>
      <c r="G52" s="10" t="str">
        <f>IFERROR(__xludf.DUMMYFUNCTION("GOOGLETRANSLATE(E52,""en"",""zh-cn"")"),"导航菜单灯")</f>
        <v>导航菜单灯</v>
      </c>
      <c r="H52" s="10" t="str">
        <f>IFERROR(__xludf.DUMMYFUNCTION("GOOGLETRANSLATE(E52,""en"",""fr"")"),"Lumière de menu de navigation")</f>
        <v>Lumière de menu de navigation</v>
      </c>
      <c r="I52" s="10" t="str">
        <f>IFERROR(__xludf.DUMMYFUNCTION("GOOGLETRANSLATE(E52,""en"",""de"")"),"Navigationsmenü Licht")</f>
        <v>Navigationsmenü Licht</v>
      </c>
    </row>
    <row r="53">
      <c r="A53" s="9" t="s">
        <v>9</v>
      </c>
      <c r="B53" s="9" t="s">
        <v>112</v>
      </c>
      <c r="C53" s="9" t="s">
        <v>86</v>
      </c>
      <c r="D53" s="9" t="s">
        <v>12</v>
      </c>
      <c r="E53" s="10" t="s">
        <v>113</v>
      </c>
      <c r="F53" s="10" t="str">
        <f>IFERROR(__xludf.DUMMYFUNCTION("GOOGLETRANSLATE(E53,""en"", ""ja"")"),"タブ")</f>
        <v>タブ</v>
      </c>
      <c r="G53" s="10" t="str">
        <f>IFERROR(__xludf.DUMMYFUNCTION("GOOGLETRANSLATE(E53,""en"",""zh-cn"")"),"标签")</f>
        <v>标签</v>
      </c>
      <c r="H53" s="10" t="str">
        <f>IFERROR(__xludf.DUMMYFUNCTION("GOOGLETRANSLATE(E53,""en"",""fr"")"),"Languette")</f>
        <v>Languette</v>
      </c>
      <c r="I53" s="10" t="str">
        <f>IFERROR(__xludf.DUMMYFUNCTION("GOOGLETRANSLATE(E53,""en"",""de"")"),"Tab")</f>
        <v>Tab</v>
      </c>
    </row>
    <row r="54">
      <c r="A54" s="9" t="s">
        <v>9</v>
      </c>
      <c r="B54" s="9" t="s">
        <v>114</v>
      </c>
      <c r="C54" s="9" t="s">
        <v>86</v>
      </c>
      <c r="D54" s="9" t="s">
        <v>12</v>
      </c>
      <c r="E54" s="10" t="s">
        <v>115</v>
      </c>
      <c r="F54" s="10" t="str">
        <f>IFERROR(__xludf.DUMMYFUNCTION("GOOGLETRANSLATE(E54,""en"", ""ja"")"),"木")</f>
        <v>木</v>
      </c>
      <c r="G54" s="10" t="str">
        <f>IFERROR(__xludf.DUMMYFUNCTION("GOOGLETRANSLATE(E54,""en"",""zh-cn"")"),"树")</f>
        <v>树</v>
      </c>
      <c r="H54" s="10" t="str">
        <f>IFERROR(__xludf.DUMMYFUNCTION("GOOGLETRANSLATE(E54,""en"",""fr"")"),"Arbre")</f>
        <v>Arbre</v>
      </c>
      <c r="I54" s="10" t="str">
        <f>IFERROR(__xludf.DUMMYFUNCTION("GOOGLETRANSLATE(E54,""en"",""de"")"),"Baum")</f>
        <v>Baum</v>
      </c>
    </row>
    <row r="55">
      <c r="A55" s="9" t="s">
        <v>9</v>
      </c>
      <c r="B55" s="9" t="s">
        <v>116</v>
      </c>
      <c r="C55" s="9" t="s">
        <v>86</v>
      </c>
      <c r="D55" s="9" t="s">
        <v>12</v>
      </c>
      <c r="E55" s="10" t="s">
        <v>117</v>
      </c>
      <c r="F55" s="10" t="str">
        <f>IFERROR(__xludf.DUMMYFUNCTION("GOOGLETRANSLATE(E55,""en"", ""ja"")"),"ウィザード")</f>
        <v>ウィザード</v>
      </c>
      <c r="G55" s="10" t="str">
        <f>IFERROR(__xludf.DUMMYFUNCTION("GOOGLETRANSLATE(E55,""en"",""zh-cn"")"),"向导")</f>
        <v>向导</v>
      </c>
      <c r="H55" s="10" t="str">
        <f>IFERROR(__xludf.DUMMYFUNCTION("GOOGLETRANSLATE(E55,""en"",""fr"")"),"Magicien")</f>
        <v>Magicien</v>
      </c>
      <c r="I55" s="10" t="str">
        <f>IFERROR(__xludf.DUMMYFUNCTION("GOOGLETRANSLATE(E55,""en"",""de"")"),"Magier")</f>
        <v>Magier</v>
      </c>
    </row>
    <row r="56">
      <c r="A56" s="9" t="s">
        <v>9</v>
      </c>
      <c r="B56" s="9" t="s">
        <v>118</v>
      </c>
      <c r="C56" s="9" t="s">
        <v>86</v>
      </c>
      <c r="D56" s="9" t="s">
        <v>12</v>
      </c>
      <c r="E56" s="10" t="s">
        <v>119</v>
      </c>
      <c r="F56" s="10" t="str">
        <f>IFERROR(__xludf.DUMMYFUNCTION("GOOGLETRANSLATE(E56,""en"", ""ja"")"),"オートコンプリート")</f>
        <v>オートコンプリート</v>
      </c>
      <c r="G56" s="10" t="str">
        <f>IFERROR(__xludf.DUMMYFUNCTION("GOOGLETRANSLATE(E56,""en"",""zh-cn"")"),"自动完成")</f>
        <v>自动完成</v>
      </c>
      <c r="H56" s="10" t="str">
        <f>IFERROR(__xludf.DUMMYFUNCTION("GOOGLETRANSLATE(E56,""en"",""fr"")"),"Saisie automatique")</f>
        <v>Saisie automatique</v>
      </c>
      <c r="I56" s="10" t="str">
        <f>IFERROR(__xludf.DUMMYFUNCTION("GOOGLETRANSLATE(E56,""en"",""de"")"),"Automatisch vervollständigt")</f>
        <v>Automatisch vervollständigt</v>
      </c>
    </row>
    <row r="57">
      <c r="A57" s="9" t="s">
        <v>9</v>
      </c>
      <c r="B57" s="9" t="s">
        <v>120</v>
      </c>
      <c r="C57" s="9" t="s">
        <v>86</v>
      </c>
      <c r="D57" s="9" t="s">
        <v>12</v>
      </c>
      <c r="E57" s="10" t="s">
        <v>121</v>
      </c>
      <c r="F57" s="10" t="str">
        <f>IFERROR(__xludf.DUMMYFUNCTION("GOOGLETRANSLATE(E57,""en"", ""ja"")"),"アバター")</f>
        <v>アバター</v>
      </c>
      <c r="G57" s="10" t="str">
        <f>IFERROR(__xludf.DUMMYFUNCTION("GOOGLETRANSLATE(E57,""en"",""zh-cn"")"),"头像")</f>
        <v>头像</v>
      </c>
      <c r="H57" s="10" t="str">
        <f>IFERROR(__xludf.DUMMYFUNCTION("GOOGLETRANSLATE(E57,""en"",""fr"")"),"Avatar")</f>
        <v>Avatar</v>
      </c>
      <c r="I57" s="10" t="str">
        <f>IFERROR(__xludf.DUMMYFUNCTION("GOOGLETRANSLATE(E57,""en"",""de"")"),"Benutzerbild")</f>
        <v>Benutzerbild</v>
      </c>
    </row>
    <row r="58">
      <c r="A58" s="9" t="s">
        <v>9</v>
      </c>
      <c r="B58" s="9" t="s">
        <v>122</v>
      </c>
      <c r="C58" s="9" t="s">
        <v>86</v>
      </c>
      <c r="D58" s="9" t="s">
        <v>12</v>
      </c>
      <c r="E58" s="10" t="s">
        <v>123</v>
      </c>
      <c r="F58" s="10" t="str">
        <f>IFERROR(__xludf.DUMMYFUNCTION("GOOGLETRANSLATE(E58,""en"", ""ja"")"),"チェックボックス")</f>
        <v>チェックボックス</v>
      </c>
      <c r="G58" s="10" t="str">
        <f>IFERROR(__xludf.DUMMYFUNCTION("GOOGLETRANSLATE(E58,""en"",""zh-cn"")"),"复选框")</f>
        <v>复选框</v>
      </c>
      <c r="H58" s="10" t="str">
        <f>IFERROR(__xludf.DUMMYFUNCTION("GOOGLETRANSLATE(E58,""en"",""fr"")"),"Cocher")</f>
        <v>Cocher</v>
      </c>
      <c r="I58" s="10" t="str">
        <f>IFERROR(__xludf.DUMMYFUNCTION("GOOGLETRANSLATE(E58,""en"",""de"")"),"Kontrollkästchen")</f>
        <v>Kontrollkästchen</v>
      </c>
    </row>
    <row r="59">
      <c r="A59" s="9" t="s">
        <v>9</v>
      </c>
      <c r="B59" s="9" t="s">
        <v>124</v>
      </c>
      <c r="C59" s="9" t="s">
        <v>86</v>
      </c>
      <c r="D59" s="9" t="s">
        <v>12</v>
      </c>
      <c r="E59" s="10" t="s">
        <v>125</v>
      </c>
      <c r="F59" s="10" t="str">
        <f>IFERROR(__xludf.DUMMYFUNCTION("GOOGLETRANSLATE(E59,""en"", ""ja"")"),"デートピッカー")</f>
        <v>デートピッカー</v>
      </c>
      <c r="G59" s="10" t="str">
        <f>IFERROR(__xludf.DUMMYFUNCTION("GOOGLETRANSLATE(E59,""en"",""zh-cn"")"),"日期选择器")</f>
        <v>日期选择器</v>
      </c>
      <c r="H59" s="10" t="str">
        <f>IFERROR(__xludf.DUMMYFUNCTION("GOOGLETRANSLATE(E59,""en"",""fr"")"),"Sélecteur de date")</f>
        <v>Sélecteur de date</v>
      </c>
      <c r="I59" s="10" t="str">
        <f>IFERROR(__xludf.DUMMYFUNCTION("GOOGLETRANSLATE(E59,""en"",""de"")"),"Datumsauswahl")</f>
        <v>Datumsauswahl</v>
      </c>
    </row>
    <row r="60">
      <c r="A60" s="9" t="s">
        <v>9</v>
      </c>
      <c r="B60" s="9" t="s">
        <v>126</v>
      </c>
      <c r="C60" s="9" t="s">
        <v>86</v>
      </c>
      <c r="D60" s="9" t="s">
        <v>12</v>
      </c>
      <c r="E60" s="10" t="s">
        <v>127</v>
      </c>
      <c r="F60" s="10" t="str">
        <f>IFERROR(__xludf.DUMMYFUNCTION("GOOGLETRANSLATE(E60,""en"", ""ja"")"),"エキスパンダー")</f>
        <v>エキスパンダー</v>
      </c>
      <c r="G60" s="10" t="str">
        <f>IFERROR(__xludf.DUMMYFUNCTION("GOOGLETRANSLATE(E60,""en"",""zh-cn"")"),"扩展器")</f>
        <v>扩展器</v>
      </c>
      <c r="H60" s="10" t="str">
        <f>IFERROR(__xludf.DUMMYFUNCTION("GOOGLETRANSLATE(E60,""en"",""fr"")"),"Extenseur")</f>
        <v>Extenseur</v>
      </c>
      <c r="I60" s="10" t="str">
        <f>IFERROR(__xludf.DUMMYFUNCTION("GOOGLETRANSLATE(E60,""en"",""de"")"),"Expander")</f>
        <v>Expander</v>
      </c>
    </row>
    <row r="61">
      <c r="A61" s="9" t="s">
        <v>9</v>
      </c>
      <c r="B61" s="9" t="s">
        <v>128</v>
      </c>
      <c r="C61" s="9" t="s">
        <v>86</v>
      </c>
      <c r="D61" s="9" t="s">
        <v>12</v>
      </c>
      <c r="E61" s="10" t="s">
        <v>129</v>
      </c>
      <c r="F61" s="10" t="str">
        <f>IFERROR(__xludf.DUMMYFUNCTION("GOOGLETRANSLATE(E61,""en"", ""ja"")"),"ファイルアップローダー")</f>
        <v>ファイルアップローダー</v>
      </c>
      <c r="G61" s="10" t="str">
        <f>IFERROR(__xludf.DUMMYFUNCTION("GOOGLETRANSLATE(E61,""en"",""zh-cn"")"),"文件上传器")</f>
        <v>文件上传器</v>
      </c>
      <c r="H61" s="10" t="str">
        <f>IFERROR(__xludf.DUMMYFUNCTION("GOOGLETRANSLATE(E61,""en"",""fr"")"),"Téléchargeur de fichiers")</f>
        <v>Téléchargeur de fichiers</v>
      </c>
      <c r="I61" s="10" t="str">
        <f>IFERROR(__xludf.DUMMYFUNCTION("GOOGLETRANSLATE(E61,""en"",""de"")"),"Datei -Uploader")</f>
        <v>Datei -Uploader</v>
      </c>
    </row>
    <row r="62">
      <c r="A62" s="9" t="s">
        <v>9</v>
      </c>
      <c r="B62" s="9" t="s">
        <v>42</v>
      </c>
      <c r="C62" s="9" t="s">
        <v>86</v>
      </c>
      <c r="D62" s="9" t="s">
        <v>12</v>
      </c>
      <c r="E62" s="10" t="s">
        <v>43</v>
      </c>
      <c r="F62" s="10" t="str">
        <f>IFERROR(__xludf.DUMMYFUNCTION("GOOGLETRANSLATE(E62,""en"", ""ja"")"),"入力")</f>
        <v>入力</v>
      </c>
      <c r="G62" s="10" t="str">
        <f>IFERROR(__xludf.DUMMYFUNCTION("GOOGLETRANSLATE(E62,""en"",""zh-cn"")"),"输入")</f>
        <v>输入</v>
      </c>
      <c r="H62" s="10" t="str">
        <f>IFERROR(__xludf.DUMMYFUNCTION("GOOGLETRANSLATE(E62,""en"",""fr"")"),"Saisir")</f>
        <v>Saisir</v>
      </c>
      <c r="I62" s="10" t="str">
        <f>IFERROR(__xludf.DUMMYFUNCTION("GOOGLETRANSLATE(E62,""en"",""de"")"),"Eingang")</f>
        <v>Eingang</v>
      </c>
    </row>
    <row r="63">
      <c r="A63" s="9" t="s">
        <v>9</v>
      </c>
      <c r="B63" s="9" t="s">
        <v>130</v>
      </c>
      <c r="C63" s="9" t="s">
        <v>86</v>
      </c>
      <c r="D63" s="9" t="s">
        <v>12</v>
      </c>
      <c r="E63" s="10" t="s">
        <v>131</v>
      </c>
      <c r="F63" s="10" t="str">
        <f>IFERROR(__xludf.DUMMYFUNCTION("GOOGLETRANSLATE(E63,""en"", ""ja"")"),"ピッカーピッカー")</f>
        <v>ピッカーピッカー</v>
      </c>
      <c r="G63" s="10" t="str">
        <f>IFERROR(__xludf.DUMMYFUNCTION("GOOGLETRANSLATE(E63,""en"",""zh-cn"")"),"人选择者")</f>
        <v>人选择者</v>
      </c>
      <c r="H63" s="10" t="str">
        <f>IFERROR(__xludf.DUMMYFUNCTION("GOOGLETRANSLATE(E63,""en"",""fr"")"),"Cueilleur de personnes")</f>
        <v>Cueilleur de personnes</v>
      </c>
      <c r="I63" s="10" t="str">
        <f>IFERROR(__xludf.DUMMYFUNCTION("GOOGLETRANSLATE(E63,""en"",""de"")"),"People Picker")</f>
        <v>People Picker</v>
      </c>
    </row>
    <row r="64">
      <c r="A64" s="9" t="s">
        <v>9</v>
      </c>
      <c r="B64" s="9" t="s">
        <v>132</v>
      </c>
      <c r="C64" s="9" t="s">
        <v>86</v>
      </c>
      <c r="D64" s="9" t="s">
        <v>12</v>
      </c>
      <c r="E64" s="10" t="s">
        <v>133</v>
      </c>
      <c r="F64" s="10" t="str">
        <f>IFERROR(__xludf.DUMMYFUNCTION("GOOGLETRANSLATE(E64,""en"", ""ja"")"),"ラジオボタン")</f>
        <v>ラジオボタン</v>
      </c>
      <c r="G64" s="10" t="str">
        <f>IFERROR(__xludf.DUMMYFUNCTION("GOOGLETRANSLATE(E64,""en"",""zh-cn"")"),"单选按钮")</f>
        <v>单选按钮</v>
      </c>
      <c r="H64" s="10" t="str">
        <f>IFERROR(__xludf.DUMMYFUNCTION("GOOGLETRANSLATE(E64,""en"",""fr"")"),"Bouton radio")</f>
        <v>Bouton radio</v>
      </c>
      <c r="I64" s="10" t="str">
        <f>IFERROR(__xludf.DUMMYFUNCTION("GOOGLETRANSLATE(E64,""en"",""de"")"),"Radio knopf")</f>
        <v>Radio knopf</v>
      </c>
    </row>
    <row r="65">
      <c r="A65" s="9" t="s">
        <v>9</v>
      </c>
      <c r="B65" s="9" t="s">
        <v>134</v>
      </c>
      <c r="C65" s="9" t="s">
        <v>86</v>
      </c>
      <c r="D65" s="9" t="s">
        <v>12</v>
      </c>
      <c r="E65" s="10" t="s">
        <v>135</v>
      </c>
      <c r="F65" s="10" t="str">
        <f>IFERROR(__xludf.DUMMYFUNCTION("GOOGLETRANSLATE(E65,""en"", ""ja"")"),"選択する")</f>
        <v>選択する</v>
      </c>
      <c r="G65" s="10" t="str">
        <f>IFERROR(__xludf.DUMMYFUNCTION("GOOGLETRANSLATE(E65,""en"",""zh-cn"")"),"选择")</f>
        <v>选择</v>
      </c>
      <c r="H65" s="10" t="str">
        <f>IFERROR(__xludf.DUMMYFUNCTION("GOOGLETRANSLATE(E65,""en"",""fr"")"),"Sélectionner")</f>
        <v>Sélectionner</v>
      </c>
      <c r="I65" s="10" t="str">
        <f>IFERROR(__xludf.DUMMYFUNCTION("GOOGLETRANSLATE(E65,""en"",""de"")"),"Wählen")</f>
        <v>Wählen</v>
      </c>
    </row>
    <row r="66">
      <c r="A66" s="9" t="s">
        <v>9</v>
      </c>
      <c r="B66" s="9" t="s">
        <v>136</v>
      </c>
      <c r="C66" s="9" t="s">
        <v>86</v>
      </c>
      <c r="D66" s="9" t="s">
        <v>12</v>
      </c>
      <c r="E66" s="10" t="s">
        <v>137</v>
      </c>
      <c r="F66" s="10" t="str">
        <f>IFERROR(__xludf.DUMMYFUNCTION("GOOGLETRANSLATE(E66,""en"", ""ja"")"),"スイッチ")</f>
        <v>スイッチ</v>
      </c>
      <c r="G66" s="10" t="str">
        <f>IFERROR(__xludf.DUMMYFUNCTION("GOOGLETRANSLATE(E66,""en"",""zh-cn"")"),"转变")</f>
        <v>转变</v>
      </c>
      <c r="H66" s="10" t="str">
        <f>IFERROR(__xludf.DUMMYFUNCTION("GOOGLETRANSLATE(E66,""en"",""fr"")"),"Changer")</f>
        <v>Changer</v>
      </c>
      <c r="I66" s="10" t="str">
        <f>IFERROR(__xludf.DUMMYFUNCTION("GOOGLETRANSLATE(E66,""en"",""de"")"),"Schalten")</f>
        <v>Schalten</v>
      </c>
    </row>
    <row r="67">
      <c r="A67" s="9" t="s">
        <v>9</v>
      </c>
      <c r="B67" s="9" t="s">
        <v>138</v>
      </c>
      <c r="C67" s="9" t="s">
        <v>86</v>
      </c>
      <c r="D67" s="9" t="s">
        <v>12</v>
      </c>
      <c r="E67" s="10" t="s">
        <v>139</v>
      </c>
      <c r="F67" s="10" t="str">
        <f>IFERROR(__xludf.DUMMYFUNCTION("GOOGLETRANSLATE(E67,""en"", ""ja"")"),"時点")</f>
        <v>時点</v>
      </c>
      <c r="G67" s="10" t="str">
        <f>IFERROR(__xludf.DUMMYFUNCTION("GOOGLETRANSLATE(E67,""en"",""zh-cn"")"),"钟表")</f>
        <v>钟表</v>
      </c>
      <c r="H67" s="10" t="str">
        <f>IFERROR(__xludf.DUMMYFUNCTION("GOOGLETRANSLATE(E67,""en"",""fr"")"),"Timepicker")</f>
        <v>Timepicker</v>
      </c>
      <c r="I67" s="10" t="str">
        <f>IFERROR(__xludf.DUMMYFUNCTION("GOOGLETRANSLATE(E67,""en"",""de"")"),"TimePicker")</f>
        <v>TimePicker</v>
      </c>
    </row>
    <row r="68">
      <c r="A68" s="9" t="s">
        <v>9</v>
      </c>
      <c r="B68" s="9" t="s">
        <v>140</v>
      </c>
      <c r="C68" s="9" t="s">
        <v>86</v>
      </c>
      <c r="D68" s="9" t="s">
        <v>12</v>
      </c>
      <c r="E68" s="10" t="s">
        <v>141</v>
      </c>
      <c r="F68" s="10" t="str">
        <f>IFERROR(__xludf.DUMMYFUNCTION("GOOGLETRANSLATE(E68,""en"", ""ja"")"),"カレンダー")</f>
        <v>カレンダー</v>
      </c>
      <c r="G68" s="10" t="str">
        <f>IFERROR(__xludf.DUMMYFUNCTION("GOOGLETRANSLATE(E68,""en"",""zh-cn"")"),"日历")</f>
        <v>日历</v>
      </c>
      <c r="H68" s="10" t="str">
        <f>IFERROR(__xludf.DUMMYFUNCTION("GOOGLETRANSLATE(E68,""en"",""fr"")"),"Calendrier")</f>
        <v>Calendrier</v>
      </c>
      <c r="I68" s="10" t="str">
        <f>IFERROR(__xludf.DUMMYFUNCTION("GOOGLETRANSLATE(E68,""en"",""de"")"),"Kalender")</f>
        <v>Kalender</v>
      </c>
    </row>
    <row r="69">
      <c r="A69" s="9" t="s">
        <v>9</v>
      </c>
      <c r="B69" s="9" t="s">
        <v>142</v>
      </c>
      <c r="C69" s="9" t="s">
        <v>86</v>
      </c>
      <c r="D69" s="9" t="s">
        <v>12</v>
      </c>
      <c r="E69" s="10" t="s">
        <v>143</v>
      </c>
      <c r="F69" s="10" t="str">
        <f>IFERROR(__xludf.DUMMYFUNCTION("GOOGLETRANSLATE(E69,""en"", ""ja"")"),"カルーセル")</f>
        <v>カルーセル</v>
      </c>
      <c r="G69" s="10" t="str">
        <f>IFERROR(__xludf.DUMMYFUNCTION("GOOGLETRANSLATE(E69,""en"",""zh-cn"")"),"轮播")</f>
        <v>轮播</v>
      </c>
      <c r="H69" s="10" t="str">
        <f>IFERROR(__xludf.DUMMYFUNCTION("GOOGLETRANSLATE(E69,""en"",""fr"")"),"Carrousel")</f>
        <v>Carrousel</v>
      </c>
      <c r="I69" s="10" t="str">
        <f>IFERROR(__xludf.DUMMYFUNCTION("GOOGLETRANSLATE(E69,""en"",""de"")"),"Karussell")</f>
        <v>Karussell</v>
      </c>
    </row>
    <row r="70">
      <c r="A70" s="9" t="s">
        <v>9</v>
      </c>
      <c r="B70" s="9" t="s">
        <v>144</v>
      </c>
      <c r="C70" s="9" t="s">
        <v>86</v>
      </c>
      <c r="D70" s="9" t="s">
        <v>12</v>
      </c>
      <c r="E70" s="10" t="s">
        <v>145</v>
      </c>
      <c r="F70" s="10" t="str">
        <f>IFERROR(__xludf.DUMMYFUNCTION("GOOGLETRANSLATE(E70,""en"", ""ja"")"),"フィルター")</f>
        <v>フィルター</v>
      </c>
      <c r="G70" s="10" t="str">
        <f>IFERROR(__xludf.DUMMYFUNCTION("GOOGLETRANSLATE(E70,""en"",""zh-cn"")"),"过滤器")</f>
        <v>过滤器</v>
      </c>
      <c r="H70" s="10" t="str">
        <f>IFERROR(__xludf.DUMMYFUNCTION("GOOGLETRANSLATE(E70,""en"",""fr"")"),"Filtres")</f>
        <v>Filtres</v>
      </c>
      <c r="I70" s="10" t="str">
        <f>IFERROR(__xludf.DUMMYFUNCTION("GOOGLETRANSLATE(E70,""en"",""de"")"),"Filter")</f>
        <v>Filter</v>
      </c>
    </row>
    <row r="71">
      <c r="A71" s="9" t="s">
        <v>9</v>
      </c>
      <c r="B71" s="9" t="s">
        <v>146</v>
      </c>
      <c r="C71" s="9" t="s">
        <v>86</v>
      </c>
      <c r="D71" s="9" t="s">
        <v>12</v>
      </c>
      <c r="E71" s="10" t="s">
        <v>147</v>
      </c>
      <c r="F71" s="10" t="str">
        <f>IFERROR(__xludf.DUMMYFUNCTION("GOOGLETRANSLATE(E71,""en"", ""ja"")"),"ページネーション")</f>
        <v>ページネーション</v>
      </c>
      <c r="G71" s="10" t="str">
        <f>IFERROR(__xludf.DUMMYFUNCTION("GOOGLETRANSLATE(E71,""en"",""zh-cn"")"),"分页")</f>
        <v>分页</v>
      </c>
      <c r="H71" s="10" t="str">
        <f>IFERROR(__xludf.DUMMYFUNCTION("GOOGLETRANSLATE(E71,""en"",""fr"")"),"Pagination")</f>
        <v>Pagination</v>
      </c>
      <c r="I71" s="10" t="str">
        <f>IFERROR(__xludf.DUMMYFUNCTION("GOOGLETRANSLATE(E71,""en"",""de"")"),"Seitennummerierung")</f>
        <v>Seitennummerierung</v>
      </c>
    </row>
    <row r="72">
      <c r="A72" s="9" t="s">
        <v>9</v>
      </c>
      <c r="B72" s="9" t="s">
        <v>148</v>
      </c>
      <c r="C72" s="9" t="s">
        <v>86</v>
      </c>
      <c r="D72" s="9" t="s">
        <v>12</v>
      </c>
      <c r="E72" s="10" t="s">
        <v>149</v>
      </c>
      <c r="F72" s="10" t="str">
        <f>IFERROR(__xludf.DUMMYFUNCTION("GOOGLETRANSLATE(E72,""en"", ""ja"")"),"テーブル")</f>
        <v>テーブル</v>
      </c>
      <c r="G72" s="10" t="str">
        <f>IFERROR(__xludf.DUMMYFUNCTION("GOOGLETRANSLATE(E72,""en"",""zh-cn"")"),"桌子")</f>
        <v>桌子</v>
      </c>
      <c r="H72" s="10" t="str">
        <f>IFERROR(__xludf.DUMMYFUNCTION("GOOGLETRANSLATE(E72,""en"",""fr"")"),"Tableau")</f>
        <v>Tableau</v>
      </c>
      <c r="I72" s="10" t="str">
        <f>IFERROR(__xludf.DUMMYFUNCTION("GOOGLETRANSLATE(E72,""en"",""de"")"),"Tisch")</f>
        <v>Tisch</v>
      </c>
    </row>
    <row r="73">
      <c r="A73" s="9" t="s">
        <v>9</v>
      </c>
      <c r="B73" s="9" t="s">
        <v>150</v>
      </c>
      <c r="C73" s="9" t="s">
        <v>86</v>
      </c>
      <c r="D73" s="9" t="s">
        <v>12</v>
      </c>
      <c r="E73" s="10" t="s">
        <v>151</v>
      </c>
      <c r="F73" s="10" t="str">
        <f>IFERROR(__xludf.DUMMYFUNCTION("GOOGLETRANSLATE(E73,""en"", ""ja"")"),"ツールチップ")</f>
        <v>ツールチップ</v>
      </c>
      <c r="G73" s="10" t="str">
        <f>IFERROR(__xludf.DUMMYFUNCTION("GOOGLETRANSLATE(E73,""en"",""zh-cn"")"),"工具提示")</f>
        <v>工具提示</v>
      </c>
      <c r="H73" s="10" t="str">
        <f>IFERROR(__xludf.DUMMYFUNCTION("GOOGLETRANSLATE(E73,""en"",""fr"")"),"Infractions")</f>
        <v>Infractions</v>
      </c>
      <c r="I73" s="10" t="str">
        <f>IFERROR(__xludf.DUMMYFUNCTION("GOOGLETRANSLATE(E73,""en"",""de"")"),"Tooltips")</f>
        <v>Tooltips</v>
      </c>
    </row>
    <row r="74">
      <c r="A74" s="9" t="s">
        <v>9</v>
      </c>
      <c r="B74" s="9" t="s">
        <v>152</v>
      </c>
      <c r="C74" s="9" t="s">
        <v>86</v>
      </c>
      <c r="D74" s="9" t="s">
        <v>12</v>
      </c>
      <c r="E74" s="10" t="s">
        <v>153</v>
      </c>
      <c r="F74" s="10" t="str">
        <f>IFERROR(__xludf.DUMMYFUNCTION("GOOGLETRANSLATE(E74,""en"", ""ja"")"),"メッセージ")</f>
        <v>メッセージ</v>
      </c>
      <c r="G74" s="10" t="str">
        <f>IFERROR(__xludf.DUMMYFUNCTION("GOOGLETRANSLATE(E74,""en"",""zh-cn"")"),"信息")</f>
        <v>信息</v>
      </c>
      <c r="H74" s="10" t="str">
        <f>IFERROR(__xludf.DUMMYFUNCTION("GOOGLETRANSLATE(E74,""en"",""fr"")"),"Message")</f>
        <v>Message</v>
      </c>
      <c r="I74" s="10" t="str">
        <f>IFERROR(__xludf.DUMMYFUNCTION("GOOGLETRANSLATE(E74,""en"",""de"")"),"Nachricht")</f>
        <v>Nachricht</v>
      </c>
    </row>
    <row r="75">
      <c r="A75" s="9" t="s">
        <v>9</v>
      </c>
      <c r="B75" s="9" t="s">
        <v>154</v>
      </c>
      <c r="C75" s="9" t="s">
        <v>86</v>
      </c>
      <c r="D75" s="9" t="s">
        <v>12</v>
      </c>
      <c r="E75" s="10" t="s">
        <v>155</v>
      </c>
      <c r="F75" s="10" t="str">
        <f>IFERROR(__xludf.DUMMYFUNCTION("GOOGLETRANSLATE(E75,""en"", ""ja"")"),"通知")</f>
        <v>通知</v>
      </c>
      <c r="G75" s="10" t="str">
        <f>IFERROR(__xludf.DUMMYFUNCTION("GOOGLETRANSLATE(E75,""en"",""zh-cn"")"),"通知")</f>
        <v>通知</v>
      </c>
      <c r="H75" s="10" t="str">
        <f>IFERROR(__xludf.DUMMYFUNCTION("GOOGLETRANSLATE(E75,""en"",""fr"")"),"Notification")</f>
        <v>Notification</v>
      </c>
      <c r="I75" s="10" t="str">
        <f>IFERROR(__xludf.DUMMYFUNCTION("GOOGLETRANSLATE(E75,""en"",""de"")"),"Benachrichtigung")</f>
        <v>Benachrichtigung</v>
      </c>
    </row>
    <row r="76">
      <c r="A76" s="9" t="s">
        <v>9</v>
      </c>
      <c r="B76" s="9" t="s">
        <v>156</v>
      </c>
      <c r="C76" s="9" t="s">
        <v>86</v>
      </c>
      <c r="D76" s="9" t="s">
        <v>12</v>
      </c>
      <c r="E76" s="10" t="s">
        <v>157</v>
      </c>
      <c r="F76" s="10" t="str">
        <f>IFERROR(__xludf.DUMMYFUNCTION("GOOGLETRANSLATE(E76,""en"", ""ja"")"),"ダイアログ")</f>
        <v>ダイアログ</v>
      </c>
      <c r="G76" s="10" t="str">
        <f>IFERROR(__xludf.DUMMYFUNCTION("GOOGLETRANSLATE(E76,""en"",""zh-cn"")"),"对话")</f>
        <v>对话</v>
      </c>
      <c r="H76" s="10" t="str">
        <f>IFERROR(__xludf.DUMMYFUNCTION("GOOGLETRANSLATE(E76,""en"",""fr"")"),"Dialogue")</f>
        <v>Dialogue</v>
      </c>
      <c r="I76" s="10" t="str">
        <f>IFERROR(__xludf.DUMMYFUNCTION("GOOGLETRANSLATE(E76,""en"",""de"")"),"Dialog")</f>
        <v>Dialog</v>
      </c>
    </row>
    <row r="77">
      <c r="A77" s="9" t="s">
        <v>9</v>
      </c>
      <c r="B77" s="9" t="s">
        <v>158</v>
      </c>
      <c r="C77" s="9" t="s">
        <v>86</v>
      </c>
      <c r="D77" s="9" t="s">
        <v>12</v>
      </c>
      <c r="E77" s="10" t="s">
        <v>159</v>
      </c>
      <c r="F77" s="10" t="str">
        <f>IFERROR(__xludf.DUMMYFUNCTION("GOOGLETRANSLATE(E77,""en"", ""ja"")"),"モーダル")</f>
        <v>モーダル</v>
      </c>
      <c r="G77" s="10" t="str">
        <f>IFERROR(__xludf.DUMMYFUNCTION("GOOGLETRANSLATE(E77,""en"",""zh-cn"")"),"模态")</f>
        <v>模态</v>
      </c>
      <c r="H77" s="10" t="str">
        <f>IFERROR(__xludf.DUMMYFUNCTION("GOOGLETRANSLATE(E77,""en"",""fr"")"),"Modal")</f>
        <v>Modal</v>
      </c>
      <c r="I77" s="10" t="str">
        <f>IFERROR(__xludf.DUMMYFUNCTION("GOOGLETRANSLATE(E77,""en"",""de"")"),"Modal")</f>
        <v>Modal</v>
      </c>
    </row>
    <row r="78">
      <c r="A78" s="9" t="s">
        <v>9</v>
      </c>
      <c r="B78" s="9" t="s">
        <v>44</v>
      </c>
      <c r="C78" s="9" t="s">
        <v>86</v>
      </c>
      <c r="D78" s="9" t="s">
        <v>12</v>
      </c>
      <c r="E78" s="10" t="s">
        <v>45</v>
      </c>
      <c r="F78" s="10" t="str">
        <f>IFERROR(__xludf.DUMMYFUNCTION("GOOGLETRANSLATE(E78,""en"", ""ja"")"),"読み込み")</f>
        <v>読み込み</v>
      </c>
      <c r="G78" s="10" t="str">
        <f>IFERROR(__xludf.DUMMYFUNCTION("GOOGLETRANSLATE(E78,""en"",""zh-cn"")"),"加载中")</f>
        <v>加载中</v>
      </c>
      <c r="H78" s="10" t="str">
        <f>IFERROR(__xludf.DUMMYFUNCTION("GOOGLETRANSLATE(E78,""en"",""fr"")"),"Chargement")</f>
        <v>Chargement</v>
      </c>
      <c r="I78" s="10" t="str">
        <f>IFERROR(__xludf.DUMMYFUNCTION("GOOGLETRANSLATE(E78,""en"",""de"")"),"Wird geladen")</f>
        <v>Wird geladen</v>
      </c>
    </row>
    <row r="79">
      <c r="A79" s="9" t="s">
        <v>9</v>
      </c>
      <c r="B79" s="9" t="s">
        <v>160</v>
      </c>
      <c r="C79" s="9" t="s">
        <v>86</v>
      </c>
      <c r="D79" s="9" t="s">
        <v>12</v>
      </c>
      <c r="E79" s="10" t="s">
        <v>161</v>
      </c>
      <c r="F79" s="10" t="str">
        <f>IFERROR(__xludf.DUMMYFUNCTION("GOOGLETRANSLATE(E79,""en"", ""ja"")"),"パネル")</f>
        <v>パネル</v>
      </c>
      <c r="G79" s="10" t="str">
        <f>IFERROR(__xludf.DUMMYFUNCTION("GOOGLETRANSLATE(E79,""en"",""zh-cn"")"),"控制板")</f>
        <v>控制板</v>
      </c>
      <c r="H79" s="10" t="str">
        <f>IFERROR(__xludf.DUMMYFUNCTION("GOOGLETRANSLATE(E79,""en"",""fr"")"),"Panneau")</f>
        <v>Panneau</v>
      </c>
      <c r="I79" s="10" t="str">
        <f>IFERROR(__xludf.DUMMYFUNCTION("GOOGLETRANSLATE(E79,""en"",""de"")"),"Panel")</f>
        <v>Panel</v>
      </c>
    </row>
    <row r="80">
      <c r="A80" s="9" t="s">
        <v>9</v>
      </c>
      <c r="B80" s="9" t="s">
        <v>162</v>
      </c>
      <c r="C80" s="9" t="s">
        <v>86</v>
      </c>
      <c r="D80" s="9" t="s">
        <v>12</v>
      </c>
      <c r="E80" s="10" t="s">
        <v>163</v>
      </c>
      <c r="F80" s="10" t="str">
        <f>IFERROR(__xludf.DUMMYFUNCTION("GOOGLETRANSLATE(E80,""en"", ""ja"")"),"ポップオーバー")</f>
        <v>ポップオーバー</v>
      </c>
      <c r="G80" s="10" t="str">
        <f>IFERROR(__xludf.DUMMYFUNCTION("GOOGLETRANSLATE(E80,""en"",""zh-cn"")"),"弹出")</f>
        <v>弹出</v>
      </c>
      <c r="H80" s="10" t="str">
        <f>IFERROR(__xludf.DUMMYFUNCTION("GOOGLETRANSLATE(E80,""en"",""fr"")"),"Sautissement")</f>
        <v>Sautissement</v>
      </c>
      <c r="I80" s="10" t="str">
        <f>IFERROR(__xludf.DUMMYFUNCTION("GOOGLETRANSLATE(E80,""en"",""de"")"),"Popover")</f>
        <v>Popover</v>
      </c>
    </row>
    <row r="81">
      <c r="A81" s="9" t="s">
        <v>9</v>
      </c>
      <c r="B81" s="9" t="s">
        <v>164</v>
      </c>
      <c r="C81" s="9" t="s">
        <v>86</v>
      </c>
      <c r="D81" s="9" t="s">
        <v>12</v>
      </c>
      <c r="E81" s="10" t="s">
        <v>165</v>
      </c>
      <c r="F81" s="10" t="str">
        <f>IFERROR(__xludf.DUMMYFUNCTION("GOOGLETRANSLATE(E81,""en"", ""ja"")"),"進捗")</f>
        <v>進捗</v>
      </c>
      <c r="G81" s="10" t="str">
        <f>IFERROR(__xludf.DUMMYFUNCTION("GOOGLETRANSLATE(E81,""en"",""zh-cn"")"),"进步")</f>
        <v>进步</v>
      </c>
      <c r="H81" s="10" t="str">
        <f>IFERROR(__xludf.DUMMYFUNCTION("GOOGLETRANSLATE(E81,""en"",""fr"")"),"Progrès")</f>
        <v>Progrès</v>
      </c>
      <c r="I81" s="10" t="str">
        <f>IFERROR(__xludf.DUMMYFUNCTION("GOOGLETRANSLATE(E81,""en"",""de"")"),"Fortschritt")</f>
        <v>Fortschritt</v>
      </c>
    </row>
    <row r="82">
      <c r="A82" s="9" t="s">
        <v>9</v>
      </c>
      <c r="B82" s="9" t="s">
        <v>166</v>
      </c>
      <c r="C82" s="9" t="s">
        <v>86</v>
      </c>
      <c r="D82" s="9" t="s">
        <v>12</v>
      </c>
      <c r="E82" s="10" t="s">
        <v>167</v>
      </c>
      <c r="F82" s="10" t="str">
        <f>IFERROR(__xludf.DUMMYFUNCTION("GOOGLETRANSLATE(E82,""en"", ""ja"")"),"ワッフル")</f>
        <v>ワッフル</v>
      </c>
      <c r="G82" s="10" t="str">
        <f>IFERROR(__xludf.DUMMYFUNCTION("GOOGLETRANSLATE(E82,""en"",""zh-cn"")"),"胡扯")</f>
        <v>胡扯</v>
      </c>
      <c r="H82" s="10" t="str">
        <f>IFERROR(__xludf.DUMMYFUNCTION("GOOGLETRANSLATE(E82,""en"",""fr"")"),"Gaufre")</f>
        <v>Gaufre</v>
      </c>
      <c r="I82" s="10" t="str">
        <f>IFERROR(__xludf.DUMMYFUNCTION("GOOGLETRANSLATE(E82,""en"",""de"")"),"Waffel")</f>
        <v>Waffel</v>
      </c>
    </row>
    <row r="83">
      <c r="A83" s="9" t="s">
        <v>9</v>
      </c>
      <c r="B83" s="9" t="s">
        <v>168</v>
      </c>
      <c r="C83" s="9" t="s">
        <v>86</v>
      </c>
      <c r="D83" s="9" t="s">
        <v>12</v>
      </c>
      <c r="E83" s="10" t="s">
        <v>169</v>
      </c>
      <c r="F83" s="10" t="str">
        <f>IFERROR(__xludf.DUMMYFUNCTION("GOOGLETRANSLATE(E83,""en"", ""ja"")"),"アクティビティタイムライン")</f>
        <v>アクティビティタイムライン</v>
      </c>
      <c r="G83" s="10" t="str">
        <f>IFERROR(__xludf.DUMMYFUNCTION("GOOGLETRANSLATE(E83,""en"",""zh-cn"")"),"活动时间表")</f>
        <v>活动时间表</v>
      </c>
      <c r="H83" s="10" t="str">
        <f>IFERROR(__xludf.DUMMYFUNCTION("GOOGLETRANSLATE(E83,""en"",""fr"")"),"Chronologie de l'activité")</f>
        <v>Chronologie de l'activité</v>
      </c>
      <c r="I83" s="10" t="str">
        <f>IFERROR(__xludf.DUMMYFUNCTION("GOOGLETRANSLATE(E83,""en"",""de"")"),"Aktivitätszeitleiste")</f>
        <v>Aktivitätszeitleiste</v>
      </c>
    </row>
    <row r="84">
      <c r="A84" s="9" t="s">
        <v>9</v>
      </c>
      <c r="B84" s="9" t="s">
        <v>170</v>
      </c>
      <c r="C84" s="9" t="s">
        <v>86</v>
      </c>
      <c r="D84" s="9" t="s">
        <v>12</v>
      </c>
      <c r="E84" s="10" t="s">
        <v>171</v>
      </c>
      <c r="F84" s="10" t="str">
        <f>IFERROR(__xludf.DUMMYFUNCTION("GOOGLETRANSLATE(E84,""en"", ""ja"")"),"基本")</f>
        <v>基本</v>
      </c>
      <c r="G84" s="10" t="str">
        <f>IFERROR(__xludf.DUMMYFUNCTION("GOOGLETRANSLATE(E84,""en"",""zh-cn"")"),"基本的")</f>
        <v>基本的</v>
      </c>
      <c r="H84" s="10" t="str">
        <f>IFERROR(__xludf.DUMMYFUNCTION("GOOGLETRANSLATE(E84,""en"",""fr"")"),"Basique")</f>
        <v>Basique</v>
      </c>
      <c r="I84" s="10" t="str">
        <f>IFERROR(__xludf.DUMMYFUNCTION("GOOGLETRANSLATE(E84,""en"",""de"")"),"Basic")</f>
        <v>Basic</v>
      </c>
    </row>
    <row r="85">
      <c r="A85" s="9" t="s">
        <v>9</v>
      </c>
      <c r="B85" s="9" t="s">
        <v>172</v>
      </c>
      <c r="C85" s="9" t="s">
        <v>86</v>
      </c>
      <c r="D85" s="9" t="s">
        <v>12</v>
      </c>
      <c r="E85" s="10" t="s">
        <v>173</v>
      </c>
      <c r="F85" s="10" t="str">
        <f>IFERROR(__xludf.DUMMYFUNCTION("GOOGLETRANSLATE(E85,""en"", ""ja"")"),"ナビゲーション")</f>
        <v>ナビゲーション</v>
      </c>
      <c r="G85" s="10" t="str">
        <f>IFERROR(__xludf.DUMMYFUNCTION("GOOGLETRANSLATE(E85,""en"",""zh-cn"")"),"导航")</f>
        <v>导航</v>
      </c>
      <c r="H85" s="10" t="str">
        <f>IFERROR(__xludf.DUMMYFUNCTION("GOOGLETRANSLATE(E85,""en"",""fr"")"),"La navigation")</f>
        <v>La navigation</v>
      </c>
      <c r="I85" s="10" t="str">
        <f>IFERROR(__xludf.DUMMYFUNCTION("GOOGLETRANSLATE(E85,""en"",""de"")"),"Navigation")</f>
        <v>Navigation</v>
      </c>
    </row>
    <row r="86">
      <c r="A86" s="9" t="s">
        <v>9</v>
      </c>
      <c r="B86" s="9" t="s">
        <v>174</v>
      </c>
      <c r="C86" s="9" t="s">
        <v>86</v>
      </c>
      <c r="D86" s="9" t="s">
        <v>12</v>
      </c>
      <c r="E86" s="10" t="s">
        <v>175</v>
      </c>
      <c r="F86" s="10" t="str">
        <f>IFERROR(__xludf.DUMMYFUNCTION("GOOGLETRANSLATE(E86,""en"", ""ja"")"),"形状")</f>
        <v>形状</v>
      </c>
      <c r="G86" s="10" t="str">
        <f>IFERROR(__xludf.DUMMYFUNCTION("GOOGLETRANSLATE(E86,""en"",""zh-cn"")"),"形式")</f>
        <v>形式</v>
      </c>
      <c r="H86" s="10" t="str">
        <f>IFERROR(__xludf.DUMMYFUNCTION("GOOGLETRANSLATE(E86,""en"",""fr"")"),"Formulaire")</f>
        <v>Formulaire</v>
      </c>
      <c r="I86" s="10" t="str">
        <f>IFERROR(__xludf.DUMMYFUNCTION("GOOGLETRANSLATE(E86,""en"",""de"")"),"Bilden")</f>
        <v>Bilden</v>
      </c>
    </row>
    <row r="87">
      <c r="A87" s="9" t="s">
        <v>9</v>
      </c>
      <c r="B87" s="9" t="s">
        <v>176</v>
      </c>
      <c r="C87" s="9" t="s">
        <v>86</v>
      </c>
      <c r="D87" s="9" t="s">
        <v>12</v>
      </c>
      <c r="E87" s="10" t="s">
        <v>177</v>
      </c>
      <c r="F87" s="10" t="str">
        <f>IFERROR(__xludf.DUMMYFUNCTION("GOOGLETRANSLATE(E87,""en"", ""ja"")"),"データ")</f>
        <v>データ</v>
      </c>
      <c r="G87" s="10" t="str">
        <f>IFERROR(__xludf.DUMMYFUNCTION("GOOGLETRANSLATE(E87,""en"",""zh-cn"")"),"数据")</f>
        <v>数据</v>
      </c>
      <c r="H87" s="10" t="str">
        <f>IFERROR(__xludf.DUMMYFUNCTION("GOOGLETRANSLATE(E87,""en"",""fr"")"),"Données")</f>
        <v>Données</v>
      </c>
      <c r="I87" s="10" t="str">
        <f>IFERROR(__xludf.DUMMYFUNCTION("GOOGLETRANSLATE(E87,""en"",""de"")"),"Daten")</f>
        <v>Daten</v>
      </c>
    </row>
    <row r="88">
      <c r="A88" s="9" t="s">
        <v>9</v>
      </c>
      <c r="B88" s="9" t="s">
        <v>178</v>
      </c>
      <c r="C88" s="9" t="s">
        <v>86</v>
      </c>
      <c r="D88" s="9" t="s">
        <v>12</v>
      </c>
      <c r="E88" s="10" t="s">
        <v>179</v>
      </c>
      <c r="F88" s="10" t="str">
        <f>IFERROR(__xludf.DUMMYFUNCTION("GOOGLETRANSLATE(E88,""en"", ""ja"")"),"フィードバック")</f>
        <v>フィードバック</v>
      </c>
      <c r="G88" s="10" t="str">
        <f>IFERROR(__xludf.DUMMYFUNCTION("GOOGLETRANSLATE(E88,""en"",""zh-cn"")"),"反馈")</f>
        <v>反馈</v>
      </c>
      <c r="H88" s="10" t="str">
        <f>IFERROR(__xludf.DUMMYFUNCTION("GOOGLETRANSLATE(E88,""en"",""fr"")"),"Retour")</f>
        <v>Retour</v>
      </c>
      <c r="I88" s="10" t="str">
        <f>IFERROR(__xludf.DUMMYFUNCTION("GOOGLETRANSLATE(E88,""en"",""de"")"),"Rückmeldung")</f>
        <v>Rückmeldung</v>
      </c>
    </row>
    <row r="89">
      <c r="A89" s="9" t="s">
        <v>9</v>
      </c>
      <c r="B89" s="9" t="s">
        <v>180</v>
      </c>
      <c r="C89" s="9" t="s">
        <v>86</v>
      </c>
      <c r="D89" s="9" t="s">
        <v>12</v>
      </c>
      <c r="E89" s="10" t="s">
        <v>181</v>
      </c>
      <c r="F89" s="10" t="str">
        <f>IFERROR(__xludf.DUMMYFUNCTION("GOOGLETRANSLATE(E89,""en"", ""ja"")"),"その他")</f>
        <v>その他</v>
      </c>
      <c r="G89" s="10" t="str">
        <f>IFERROR(__xludf.DUMMYFUNCTION("GOOGLETRANSLATE(E89,""en"",""zh-cn"")"),"其他的")</f>
        <v>其他的</v>
      </c>
      <c r="H89" s="10" t="str">
        <f>IFERROR(__xludf.DUMMYFUNCTION("GOOGLETRANSLATE(E89,""en"",""fr"")"),"Autres")</f>
        <v>Autres</v>
      </c>
      <c r="I89" s="10" t="str">
        <f>IFERROR(__xludf.DUMMYFUNCTION("GOOGLETRANSLATE(E89,""en"",""de"")"),"Andere")</f>
        <v>Andere</v>
      </c>
    </row>
    <row r="90">
      <c r="A90" s="9" t="s">
        <v>9</v>
      </c>
      <c r="B90" s="9" t="s">
        <v>182</v>
      </c>
      <c r="C90" s="9" t="s">
        <v>86</v>
      </c>
      <c r="D90" s="9" t="s">
        <v>12</v>
      </c>
      <c r="E90" s="10" t="s">
        <v>183</v>
      </c>
      <c r="F90" s="10" t="str">
        <f>IFERROR(__xludf.DUMMYFUNCTION("GOOGLETRANSLATE(E90,""en"", ""ja"")"),"生産は確認されていません")</f>
        <v>生産は確認されていません</v>
      </c>
      <c r="G90" s="10" t="str">
        <f>IFERROR(__xludf.DUMMYFUNCTION("GOOGLETRANSLATE(E90,""en"",""zh-cn"")"),"未验证生产")</f>
        <v>未验证生产</v>
      </c>
      <c r="H90" s="10" t="str">
        <f>IFERROR(__xludf.DUMMYFUNCTION("GOOGLETRANSLATE(E90,""en"",""fr"")"),"Pas la production vérifiée")</f>
        <v>Pas la production vérifiée</v>
      </c>
      <c r="I90" s="10" t="str">
        <f>IFERROR(__xludf.DUMMYFUNCTION("GOOGLETRANSLATE(E90,""en"",""de"")"),"Nicht verifizierte Produktion")</f>
        <v>Nicht verifizierte Produktion</v>
      </c>
    </row>
    <row r="91">
      <c r="A91" s="12"/>
      <c r="B91" s="12"/>
      <c r="C91" s="12"/>
      <c r="D91" s="12"/>
      <c r="E91" s="13"/>
      <c r="F91" s="13"/>
      <c r="G91" s="13"/>
      <c r="H91" s="13"/>
      <c r="I91" s="13"/>
    </row>
    <row r="92">
      <c r="A92" s="9" t="s">
        <v>9</v>
      </c>
      <c r="B92" s="9" t="s">
        <v>184</v>
      </c>
      <c r="C92" s="9" t="s">
        <v>85</v>
      </c>
      <c r="D92" s="9" t="s">
        <v>12</v>
      </c>
      <c r="E92" s="10" t="s">
        <v>185</v>
      </c>
      <c r="F92" s="10" t="s">
        <v>186</v>
      </c>
      <c r="G92" s="10" t="s">
        <v>187</v>
      </c>
      <c r="H92" s="10" t="s">
        <v>188</v>
      </c>
      <c r="I92" s="10" t="s">
        <v>189</v>
      </c>
    </row>
    <row r="93">
      <c r="A93" s="9" t="s">
        <v>9</v>
      </c>
      <c r="B93" s="9" t="s">
        <v>190</v>
      </c>
      <c r="C93" s="9" t="s">
        <v>85</v>
      </c>
      <c r="D93" s="9" t="s">
        <v>12</v>
      </c>
      <c r="E93" s="10" t="s">
        <v>191</v>
      </c>
      <c r="F93" s="10" t="str">
        <f>IFERROR(__xludf.DUMMYFUNCTION("GOOGLETRANSLATE(E93,""en"", ""ja"")"),"WCAG2.0がサポートされています")</f>
        <v>WCAG2.0がサポートされています</v>
      </c>
      <c r="G93" s="10" t="str">
        <f>IFERROR(__xludf.DUMMYFUNCTION("GOOGLETRANSLATE(E93,""en"",""zh-cn"")"),"WCAG2.0支持")</f>
        <v>WCAG2.0支持</v>
      </c>
      <c r="H93" s="10" t="str">
        <f>IFERROR(__xludf.DUMMYFUNCTION("GOOGLETRANSLATE(E93,""en"",""fr"")"),"WCAG2.0 pris en charge")</f>
        <v>WCAG2.0 pris en charge</v>
      </c>
      <c r="I93" s="10" t="str">
        <f>IFERROR(__xludf.DUMMYFUNCTION("GOOGLETRANSLATE(E93,""en"",""de"")"),"WCAG2.0 unterstützt")</f>
        <v>WCAG2.0 unterstützt</v>
      </c>
    </row>
    <row r="94">
      <c r="A94" s="9" t="s">
        <v>9</v>
      </c>
      <c r="B94" s="9" t="s">
        <v>192</v>
      </c>
      <c r="C94" s="9" t="s">
        <v>85</v>
      </c>
      <c r="D94" s="9" t="s">
        <v>12</v>
      </c>
      <c r="E94" s="10" t="s">
        <v>193</v>
      </c>
      <c r="F94" s="10" t="str">
        <f>IFERROR(__xludf.DUMMYFUNCTION("GOOGLETRANSLATE(E94,""en"", ""ja"")"),"Webコンテンツアクセシビリティガイドライン（WCAG）2.0は、Webコンテンツをよりアクセスしやすくするための幅広い推奨事項をカバーしています。これらのガイドラインに従って、失明と低視力、難聴と難聴、学習障害、認知的制限、制限された動き、言語障害、光過敏症、これらの組み合わせなど、障害のある人々がコンテンツにアクセスできるようになります。これらのガイドラインに従うことで、多くの場合、Webコンテンツは一般的にユーザーにとってより使いやすくなります。")</f>
        <v>Webコンテンツアクセシビリティガイドライン（WCAG）2.0は、Webコンテンツをよりアクセスしやすくするための幅広い推奨事項をカバーしています。これらのガイドラインに従って、失明と低視力、難聴と難聴、学習障害、認知的制限、制限された動き、言語障害、光過敏症、これらの組み合わせなど、障害のある人々がコンテンツにアクセスできるようになります。これらのガイドラインに従うことで、多くの場合、Webコンテンツは一般的にユーザーにとってより使いやすくなります。</v>
      </c>
      <c r="G94" s="10" t="str">
        <f>IFERROR(__xludf.DUMMYFUNCTION("GOOGLETRANSLATE(E94,""en"",""zh-cn"")"),"Web内容可访问性指南（WCAG）2.0涵盖了使Web内容更容易访问的广泛建议。遵循这些准则将使更广泛的残疾人可以访问内容，包括失明和低视力，耳聋和听力丧失，学习障碍，认知局限性，有限的运动，言语障碍，光敏性和这些组合。遵循这些准则也通常会使您的Web内容一般可以对用户更有用。")</f>
        <v>Web内容可访问性指南（WCAG）2.0涵盖了使Web内容更容易访问的广泛建议。遵循这些准则将使更广泛的残疾人可以访问内容，包括失明和低视力，耳聋和听力丧失，学习障碍，认知局限性，有限的运动，言语障碍，光敏性和这些组合。遵循这些准则也通常会使您的Web内容一般可以对用户更有用。</v>
      </c>
      <c r="H94" s="10" t="str">
        <f>IFERROR(__xludf.DUMMYFUNCTION("GOOGLETRANSLATE(E94,""en"",""fr"")"),"Les directives d'accessibilité du contenu Web (WCAG) 2.0 couvrent un large éventail de recommandations pour rendre le contenu Web plus accessible. Suivre ces directives rendra le contenu accessible à un plus large éventail de personnes handicapées, notamm"&amp;"ent la cécité et la faible vision, la surdité et la perte auditive, les troubles d'apprentissage, les limitations cognitives, le mouvement limité, les troubles de la parole, la photosensibilité et les combinaisons de ceux-ci. Suivre ces directives rendra "&amp;"également souvent votre contenu Web plus utilisable aux utilisateurs en général.")</f>
        <v>Les directives d'accessibilité du contenu Web (WCAG) 2.0 couvrent un large éventail de recommandations pour rendre le contenu Web plus accessible. Suivre ces directives rendra le contenu accessible à un plus large éventail de personnes handicapées, notamment la cécité et la faible vision, la surdité et la perte auditive, les troubles d'apprentissage, les limitations cognitives, le mouvement limité, les troubles de la parole, la photosensibilité et les combinaisons de ceux-ci. Suivre ces directives rendra également souvent votre contenu Web plus utilisable aux utilisateurs en général.</v>
      </c>
      <c r="I94" s="10" t="str">
        <f>IFERROR(__xludf.DUMMYFUNCTION("GOOGLETRANSLATE(E94,""en"",""de"")"),"Die Richtlinien für Webinhalte Accessibility (WCAG) 2.0 deckt eine breite Palette von Empfehlungen ab, um Webinhalte zugänglicher zu machen. Das Befolgen dieser Richtlinien wird den Inhalten für eine breitere Palette von Menschen mit Behinderungen zugängl"&amp;"ich machen, darunter Blindheit und geringes Sehen, Taubheit und Hörverlust, Lernschwierigkeiten, kognitive Einschränkungen, begrenzte Bewegung, Sprachbehinderungen, Photosensitivität und Kombinationen dieser. Das Befolgen dieser Richtlinien macht Ihren We"&amp;"binhalt auch häufig für Benutzer im Allgemeinen mehr verwendbar.")</f>
        <v>Die Richtlinien für Webinhalte Accessibility (WCAG) 2.0 deckt eine breite Palette von Empfehlungen ab, um Webinhalte zugänglicher zu machen. Das Befolgen dieser Richtlinien wird den Inhalten für eine breitere Palette von Menschen mit Behinderungen zugänglich machen, darunter Blindheit und geringes Sehen, Taubheit und Hörverlust, Lernschwierigkeiten, kognitive Einschränkungen, begrenzte Bewegung, Sprachbehinderungen, Photosensitivität und Kombinationen dieser. Das Befolgen dieser Richtlinien macht Ihren Webinhalt auch häufig für Benutzer im Allgemeinen mehr verwendbar.</v>
      </c>
    </row>
    <row r="95">
      <c r="A95" s="9" t="s">
        <v>9</v>
      </c>
      <c r="B95" s="9" t="s">
        <v>194</v>
      </c>
      <c r="C95" s="9" t="s">
        <v>85</v>
      </c>
      <c r="D95" s="9" t="s">
        <v>12</v>
      </c>
      <c r="E95" s="10" t="s">
        <v>195</v>
      </c>
      <c r="F95" s="10" t="str">
        <f>IFERROR(__xludf.DUMMYFUNCTION("GOOGLETRANSLATE(E95,""en"", ""ja"")"),"WCAG 2の概要")</f>
        <v>WCAG 2の概要</v>
      </c>
      <c r="G95" s="10" t="str">
        <f>IFERROR(__xludf.DUMMYFUNCTION("GOOGLETRANSLATE(E95,""en"",""zh-cn"")"),"WCAG 2概述")</f>
        <v>WCAG 2概述</v>
      </c>
      <c r="H95" s="10" t="str">
        <f>IFERROR(__xludf.DUMMYFUNCTION("GOOGLETRANSLATE(E95,""en"",""fr"")"),"Présentation WCAG 2")</f>
        <v>Présentation WCAG 2</v>
      </c>
      <c r="I95" s="10" t="str">
        <f>IFERROR(__xludf.DUMMYFUNCTION("GOOGLETRANSLATE(E95,""en"",""de"")"),"WCAG 2 Übersicht")</f>
        <v>WCAG 2 Übersicht</v>
      </c>
    </row>
    <row r="96">
      <c r="A96" s="9" t="s">
        <v>9</v>
      </c>
      <c r="B96" s="9" t="s">
        <v>196</v>
      </c>
      <c r="C96" s="9" t="s">
        <v>85</v>
      </c>
      <c r="D96" s="9" t="s">
        <v>12</v>
      </c>
      <c r="E96" s="10" t="s">
        <v>197</v>
      </c>
      <c r="F96" s="10" t="str">
        <f>IFERROR(__xludf.DUMMYFUNCTION("GOOGLETRANSLATE(E96,""en"", ""ja"")"),"環境サポート")</f>
        <v>環境サポート</v>
      </c>
      <c r="G96" s="10" t="str">
        <f>IFERROR(__xludf.DUMMYFUNCTION("GOOGLETRANSLATE(E96,""en"",""zh-cn"")"),"环境支持")</f>
        <v>环境支持</v>
      </c>
      <c r="H96" s="10" t="str">
        <f>IFERROR(__xludf.DUMMYFUNCTION("GOOGLETRANSLATE(E96,""en"",""fr"")"),"Soutien à l'environnement")</f>
        <v>Soutien à l'environnement</v>
      </c>
      <c r="I96" s="10" t="str">
        <f>IFERROR(__xludf.DUMMYFUNCTION("GOOGLETRANSLATE(E96,""en"",""de"")"),"Umweltunterstützung")</f>
        <v>Umweltunterstützung</v>
      </c>
    </row>
    <row r="97">
      <c r="A97" s="9" t="s">
        <v>9</v>
      </c>
      <c r="B97" s="9" t="s">
        <v>198</v>
      </c>
      <c r="C97" s="9" t="s">
        <v>85</v>
      </c>
      <c r="D97" s="9" t="s">
        <v>12</v>
      </c>
      <c r="E97" s="10" t="s">
        <v>199</v>
      </c>
      <c r="F97" s="10" t="str">
        <f>IFERROR(__xludf.DUMMYFUNCTION("GOOGLETRANSLATE(E97,""en"", ""ja"")"),"最新の{{number}}バージョン")</f>
        <v>最新の{{number}}バージョン</v>
      </c>
      <c r="G97" s="10" t="str">
        <f>IFERROR(__xludf.DUMMYFUNCTION("GOOGLETRANSLATE(E97,""en"",""zh-cn"")"),"最新{{number}}版本")</f>
        <v>最新{{number}}版本</v>
      </c>
      <c r="H97" s="10" t="s">
        <v>200</v>
      </c>
      <c r="I97" s="10" t="s">
        <v>201</v>
      </c>
    </row>
    <row r="98">
      <c r="A98" s="9" t="s">
        <v>9</v>
      </c>
      <c r="B98" s="9" t="s">
        <v>202</v>
      </c>
      <c r="C98" s="9" t="s">
        <v>85</v>
      </c>
      <c r="D98" s="9" t="s">
        <v>12</v>
      </c>
      <c r="E98" s="10" t="s">
        <v>203</v>
      </c>
      <c r="F98" s="10" t="str">
        <f>IFERROR(__xludf.DUMMYFUNCTION("GOOGLETRANSLATE(E98,""en"", ""ja"")"),"Allure UIはProgetのフィード_でホストされているため、UIプロジェクトのルートフォルダーの下に.NPMRCファイルを作成する必要があります。")</f>
        <v>Allure UIはProgetのフィード_でホストされているため、UIプロジェクトのルートフォルダーの下に.NPMRCファイルを作成する必要があります。</v>
      </c>
      <c r="G98" s="10" t="str">
        <f>IFERROR(__xludf.DUMMYFUNCTION("GOOGLETRANSLATE(E98,""en"",""zh-cn"")"),"由于Allure UI托管在Proget的Feed _上，因此您应该在UI项目的根文件夹下创建.NPMRC文件。")</f>
        <v>由于Allure UI托管在Proget的Feed _上，因此您应该在UI项目的根文件夹下创建.NPMRC文件。</v>
      </c>
      <c r="H98" s="10" t="str">
        <f>IFERROR(__xludf.DUMMYFUNCTION("GOOGLETRANSLATE(E98,""en"",""fr"")"),"Étant donné que l'interface utilisateur allure est hébergée sur le flux _ de promet, vous devez créer un fichier .npmrc sous le dossier racine de votre projet d'interface utilisateur.")</f>
        <v>Étant donné que l'interface utilisateur allure est hébergée sur le flux _ de promet, vous devez créer un fichier .npmrc sous le dossier racine de votre projet d'interface utilisateur.</v>
      </c>
      <c r="I98" s="10" t="str">
        <f>IFERROR(__xludf.DUMMYFUNCTION("GOOGLETRANSLATE(E98,""en"",""de"")"),"Da die Allure UI auf dem Feed _ von Proget gehostet wird, sollten Sie eine .npmrc -Datei unter dem Stammordner Ihres UI -Projekts erstellen.")</f>
        <v>Da die Allure UI auf dem Feed _ von Proget gehostet wird, sollten Sie eine .npmrc -Datei unter dem Stammordner Ihres UI -Projekts erstellen.</v>
      </c>
    </row>
    <row r="99">
      <c r="A99" s="9" t="s">
        <v>9</v>
      </c>
      <c r="B99" s="9" t="s">
        <v>16</v>
      </c>
      <c r="C99" s="9" t="s">
        <v>85</v>
      </c>
      <c r="D99" s="9" t="s">
        <v>12</v>
      </c>
      <c r="E99" s="10" t="s">
        <v>204</v>
      </c>
      <c r="F99" s="10" t="str">
        <f>IFERROR(__xludf.DUMMYFUNCTION("GOOGLETRANSLATE(E99,""en"", ""ja"")"),"次に、{{name}} uiパッケージをインストールします。")</f>
        <v>次に、{{name}} uiパッケージをインストールします。</v>
      </c>
      <c r="G99" s="10" t="str">
        <f>IFERROR(__xludf.DUMMYFUNCTION("GOOGLETRANSLATE(E99,""en"",""zh-cn"")"),"然后安装{{name}} UI软件包：")</f>
        <v>然后安装{{name}} UI软件包：</v>
      </c>
      <c r="H99" s="10" t="str">
        <f>IFERROR(__xludf.DUMMYFUNCTION("GOOGLETRANSLATE(E99,""en"",""fr"")"),"Installez ensuite le package {{name}} UI:")</f>
        <v>Installez ensuite le package {{name}} UI:</v>
      </c>
      <c r="I99" s="10" t="s">
        <v>205</v>
      </c>
    </row>
    <row r="100">
      <c r="A100" s="9" t="s">
        <v>9</v>
      </c>
      <c r="B100" s="9" t="s">
        <v>10</v>
      </c>
      <c r="C100" s="9" t="s">
        <v>85</v>
      </c>
      <c r="D100" s="9" t="s">
        <v>12</v>
      </c>
      <c r="E100" s="10" t="s">
        <v>206</v>
      </c>
      <c r="F100" s="10" t="str">
        <f>IFERROR(__xludf.DUMMYFUNCTION("GOOGLETRANSLATE(E100,""en"", ""ja"")"),"Reactアプリのルートファイルで、{{name}} uiをインポートし、対応するテーマと言語を設定します。")</f>
        <v>Reactアプリのルートファイルで、{{name}} uiをインポートし、対応するテーマと言語を設定します。</v>
      </c>
      <c r="G100" s="10" t="str">
        <f>IFERROR(__xludf.DUMMYFUNCTION("GOOGLETRANSLATE(E100,""en"",""zh-cn"")"),"在您的React应用程序的根文件中，导入{{name}} UI并设置相应的主题和语言。")</f>
        <v>在您的React应用程序的根文件中，导入{{name}} UI并设置相应的主题和语言。</v>
      </c>
      <c r="H100" s="10" t="str">
        <f>IFERROR(__xludf.DUMMYFUNCTION("GOOGLETRANSLATE(E100,""en"",""fr"")"),"Dans le fichier racine de votre application React, import {{name}} ui et définissez le thème et la langue correspondants.")</f>
        <v>Dans le fichier racine de votre application React, import {{name}} ui et définissez le thème et la langue correspondants.</v>
      </c>
      <c r="I100" s="10" t="s">
        <v>207</v>
      </c>
    </row>
    <row r="101">
      <c r="A101" s="11"/>
      <c r="B101" s="11"/>
      <c r="C101" s="11"/>
      <c r="D101" s="11"/>
      <c r="E101" s="11"/>
      <c r="F101" s="11"/>
      <c r="G101" s="11"/>
      <c r="H101" s="11"/>
      <c r="I101" s="11"/>
    </row>
    <row r="102">
      <c r="A102" s="9" t="s">
        <v>208</v>
      </c>
      <c r="B102" s="9" t="s">
        <v>209</v>
      </c>
      <c r="C102" s="9" t="s">
        <v>156</v>
      </c>
      <c r="D102" s="9" t="s">
        <v>12</v>
      </c>
      <c r="E102" s="10" t="s">
        <v>157</v>
      </c>
      <c r="F102" s="10" t="str">
        <f>IFERROR(__xludf.DUMMYFUNCTION("GOOGLETRANSLATE(E102,""en"", ""ja"")"),"ダイアログ")</f>
        <v>ダイアログ</v>
      </c>
      <c r="G102" s="10" t="str">
        <f>IFERROR(__xludf.DUMMYFUNCTION("GOOGLETRANSLATE(E102,""en"",""zh-cn"")"),"对话")</f>
        <v>对话</v>
      </c>
      <c r="H102" s="10" t="str">
        <f>IFERROR(__xludf.DUMMYFUNCTION("GOOGLETRANSLATE(E102,""en"",""fr"")"),"Dialogue")</f>
        <v>Dialogue</v>
      </c>
      <c r="I102" s="10" t="str">
        <f>IFERROR(__xludf.DUMMYFUNCTION("GOOGLETRANSLATE(E102,""en"",""de"")"),"Dialog")</f>
        <v>Dialog</v>
      </c>
    </row>
    <row r="103">
      <c r="A103" s="9" t="s">
        <v>208</v>
      </c>
      <c r="B103" s="9" t="s">
        <v>210</v>
      </c>
      <c r="C103" s="9" t="s">
        <v>156</v>
      </c>
      <c r="D103" s="9" t="s">
        <v>12</v>
      </c>
      <c r="E103" s="10" t="s">
        <v>211</v>
      </c>
      <c r="F103" s="10" t="str">
        <f>IFERROR(__xludf.DUMMYFUNCTION("GOOGLETRANSLATE(E103,""en"", ""ja"")"),"ダイアログはモーダルコントロールです。これは、ユーザーがアプリケーションと対話する必要がある一時的なポップアップです。")</f>
        <v>ダイアログはモーダルコントロールです。これは、ユーザーがアプリケーションと対話する必要がある一時的なポップアップです。</v>
      </c>
      <c r="G103" s="10" t="str">
        <f>IFERROR(__xludf.DUMMYFUNCTION("GOOGLETRANSLATE(E103,""en"",""zh-cn"")"),"对话框是模态控制。这是一个临时弹出窗口，要求用户与应用程序进行交互。")</f>
        <v>对话框是模态控制。这是一个临时弹出窗口，要求用户与应用程序进行交互。</v>
      </c>
      <c r="H103" s="10" t="str">
        <f>IFERROR(__xludf.DUMMYFUNCTION("GOOGLETRANSLATE(E103,""en"",""fr"")"),"Les boîtes de dialogue sont un contrôle modal. Il s'agit d'une fenêtre contextuelle temporaire qui oblige les utilisateurs à interagir avec l'application.")</f>
        <v>Les boîtes de dialogue sont un contrôle modal. Il s'agit d'une fenêtre contextuelle temporaire qui oblige les utilisateurs à interagir avec l'application.</v>
      </c>
      <c r="I103" s="10" t="str">
        <f>IFERROR(__xludf.DUMMYFUNCTION("GOOGLETRANSLATE(E103,""en"",""de"")"),"Dialoge sind modale Kontrolle. Es handelt sich um ein temporäres Popup, bei dem Benutzer mit der Anwendung interagieren müssen.")</f>
        <v>Dialoge sind modale Kontrolle. Es handelt sich um ein temporäres Popup, bei dem Benutzer mit der Anwendung interagieren müssen.</v>
      </c>
    </row>
    <row r="104">
      <c r="A104" s="9" t="s">
        <v>208</v>
      </c>
      <c r="B104" s="9" t="s">
        <v>212</v>
      </c>
      <c r="C104" s="9" t="s">
        <v>156</v>
      </c>
      <c r="D104" s="9" t="s">
        <v>12</v>
      </c>
      <c r="E104" s="10" t="s">
        <v>213</v>
      </c>
      <c r="F104" s="10" t="str">
        <f>IFERROR(__xludf.DUMMYFUNCTION("GOOGLETRANSLATE(E104,""en"", ""ja"")"),"アイテムの削除/キャンセルなど、アクションを確認したり、人々に気付かないように依頼するために使用されます。")</f>
        <v>アイテムの削除/キャンセルなど、アクションを確認したり、人々に気付かないように依頼するために使用されます。</v>
      </c>
      <c r="G104" s="10" t="str">
        <f>IFERROR(__xludf.DUMMYFUNCTION("GOOGLETRANSLATE(E104,""en"",""zh-cn"")"),"它用于确认操作，例如删除/取消项目，要求人们注意。")</f>
        <v>它用于确认操作，例如删除/取消项目，要求人们注意。</v>
      </c>
      <c r="H104" s="10" t="str">
        <f>IFERROR(__xludf.DUMMYFUNCTION("GOOGLETRANSLATE(E104,""en"",""fr"")"),"Il est utilisé pour confirmer des actions, telles que supprimer / annuler un article, demander aux gens de le remarquer.")</f>
        <v>Il est utilisé pour confirmer des actions, telles que supprimer / annuler un article, demander aux gens de le remarquer.</v>
      </c>
      <c r="I104" s="10" t="str">
        <f>IFERROR(__xludf.DUMMYFUNCTION("GOOGLETRANSLATE(E104,""en"",""de"")"),"Es wird zur Bestätigung von Aktionen verwendet, z. B. einen Artikel löschen/abbrechen, wobei die Personen aufgefordert werden, es zu bemerken.")</f>
        <v>Es wird zur Bestätigung von Aktionen verwendet, z. B. einen Artikel löschen/abbrechen, wobei die Personen aufgefordert werden, es zu bemerken.</v>
      </c>
    </row>
    <row r="105">
      <c r="A105" s="9" t="s">
        <v>208</v>
      </c>
      <c r="B105" s="9" t="s">
        <v>214</v>
      </c>
      <c r="C105" s="9" t="s">
        <v>156</v>
      </c>
      <c r="D105" s="9" t="s">
        <v>12</v>
      </c>
      <c r="E105" s="10" t="s">
        <v>215</v>
      </c>
      <c r="F105" s="10" t="str">
        <f>IFERROR(__xludf.DUMMYFUNCTION("GOOGLETRANSLATE(E105,""en"", ""ja"")"),"ユーザーは、次のステップの前にいくつかの選択を行う必要があります。エラー結果がユーザーに注意を払う必要がある場合は、ダイアログを使用してアラートを表示します。")</f>
        <v>ユーザーは、次のステップの前にいくつかの選択を行う必要があります。エラー結果がユーザーに注意を払う必要がある場合は、ダイアログを使用してアラートを表示します。</v>
      </c>
      <c r="G105" s="10" t="str">
        <f>IFERROR(__xludf.DUMMYFUNCTION("GOOGLETRANSLATE(E105,""en"",""zh-cn"")"),"用户必须在下一步之前做出一些选择。当错误结果需要用户注意时，请使用对话框显示警报。")</f>
        <v>用户必须在下一步之前做出一些选择。当错误结果需要用户注意时，请使用对话框显示警报。</v>
      </c>
      <c r="H105" s="10" t="str">
        <f>IFERROR(__xludf.DUMMYFUNCTION("GOOGLETRANSLATE(E105,""en"",""fr"")"),"L'utilisateur doit faire des choix avant l'étape suivante. Lorsque le résultat de l'erreur a besoin que l'utilisateur fasse attention, utilisez la boîte de dialogue pour afficher l'alerte.")</f>
        <v>L'utilisateur doit faire des choix avant l'étape suivante. Lorsque le résultat de l'erreur a besoin que l'utilisateur fasse attention, utilisez la boîte de dialogue pour afficher l'alerte.</v>
      </c>
      <c r="I105" s="10" t="str">
        <f>IFERROR(__xludf.DUMMYFUNCTION("GOOGLETRANSLATE(E105,""en"",""de"")"),"Der Benutzer muss vor dem nächsten Schritt einige Auswahlmöglichkeiten treffen. Wenn das Fehlerergebnis den Benutzer benötigt, um Aufmerksamkeit zu schenken, werden Sie mit dem Dialogfeld die Warnung angezeigt.")</f>
        <v>Der Benutzer muss vor dem nächsten Schritt einige Auswahlmöglichkeiten treffen. Wenn das Fehlerergebnis den Benutzer benötigt, um Aufmerksamkeit zu schenken, werden Sie mit dem Dialogfeld die Warnung angezeigt.</v>
      </c>
    </row>
    <row r="106">
      <c r="A106" s="9" t="s">
        <v>208</v>
      </c>
      <c r="B106" s="9" t="s">
        <v>216</v>
      </c>
      <c r="C106" s="9" t="s">
        <v>156</v>
      </c>
      <c r="D106" s="9" t="s">
        <v>12</v>
      </c>
      <c r="E106" s="10" t="s">
        <v>217</v>
      </c>
      <c r="F106" s="10" t="str">
        <f>IFERROR(__xludf.DUMMYFUNCTION("GOOGLETRANSLATE(E106,""en"", ""ja"")"),"レイアウト：")</f>
        <v>レイアウト：</v>
      </c>
      <c r="G106" s="10" t="str">
        <f>IFERROR(__xludf.DUMMYFUNCTION("GOOGLETRANSLATE(E106,""en"",""zh-cn"")"),"布局：")</f>
        <v>布局：</v>
      </c>
      <c r="H106" s="10" t="str">
        <f>IFERROR(__xludf.DUMMYFUNCTION("GOOGLETRANSLATE(E106,""en"",""fr"")"),"Mise en page:")</f>
        <v>Mise en page:</v>
      </c>
      <c r="I106" s="10" t="str">
        <f>IFERROR(__xludf.DUMMYFUNCTION("GOOGLETRANSLATE(E106,""en"",""de"")"),"Layout:")</f>
        <v>Layout:</v>
      </c>
    </row>
    <row r="107">
      <c r="A107" s="9" t="s">
        <v>208</v>
      </c>
      <c r="B107" s="9" t="s">
        <v>218</v>
      </c>
      <c r="C107" s="9" t="s">
        <v>156</v>
      </c>
      <c r="D107" s="9" t="s">
        <v>12</v>
      </c>
      <c r="E107" s="10" t="s">
        <v>219</v>
      </c>
      <c r="F107" s="10" t="str">
        <f>IFERROR(__xludf.DUMMYFUNCTION("GOOGLETRANSLATE(E107,""en"", ""ja"")"),"デフォルト幅：480px、最大高さは80％x電流になります。ブラウザ - ハイト。コンテンツスペースがいっぱいになったら、垂直にスクロールし始めるはずです。水平スクロールを避ける必要があります。")</f>
        <v>デフォルト幅：480px、最大高さは80％x電流になります。ブラウザ - ハイト。コンテンツスペースがいっぱいになったら、垂直にスクロールし始めるはずです。水平スクロールを避ける必要があります。</v>
      </c>
      <c r="G107" s="10" t="str">
        <f>IFERROR(__xludf.DUMMYFUNCTION("GOOGLETRANSLATE(E107,""en"",""zh-cn"")"),"默认宽度：480px，最大高度可以为80％x电流。浏览器高。当内容空间已满时，它应该开始垂直滚动。您应该避免水平滚动。")</f>
        <v>默认宽度：480px，最大高度可以为80％x电流。浏览器高。当内容空间已满时，它应该开始垂直滚动。您应该避免水平滚动。</v>
      </c>
      <c r="H107" s="10" t="str">
        <f>IFERROR(__xludf.DUMMYFUNCTION("GOOGLETRANSLATE(E107,""en"",""fr"")"),"Largeur par défaut: 480px, la hauteur maximale peut être de 80% x courant. Browser-Height. Lorsque l'espace de contenu est plein, il devrait commencer à faire défiler verticalement. Vous devez éviter le défilement horizontal.")</f>
        <v>Largeur par défaut: 480px, la hauteur maximale peut être de 80% x courant. Browser-Height. Lorsque l'espace de contenu est plein, il devrait commencer à faire défiler verticalement. Vous devez éviter le défilement horizontal.</v>
      </c>
      <c r="I107" s="10" t="str">
        <f>IFERROR(__xludf.DUMMYFUNCTION("GOOGLETRANSLATE(E107,""en"",""de"")"),"Standardbreite: 480px, maximale Höhe kann 80%x Strom betragen. Browserhohe. Wenn der Inhaltsraum voll ist, sollte er vertikal scrollen. Sie sollten horizontales Scrollen vermeiden.")</f>
        <v>Standardbreite: 480px, maximale Höhe kann 80%x Strom betragen. Browserhohe. Wenn der Inhaltsraum voll ist, sollte er vertikal scrollen. Sie sollten horizontales Scrollen vermeiden.</v>
      </c>
    </row>
    <row r="108">
      <c r="A108" s="9" t="s">
        <v>208</v>
      </c>
      <c r="B108" s="9" t="s">
        <v>220</v>
      </c>
      <c r="C108" s="9" t="s">
        <v>156</v>
      </c>
      <c r="D108" s="9" t="s">
        <v>12</v>
      </c>
      <c r="E108" s="10" t="s">
        <v>221</v>
      </c>
      <c r="F108" s="10" t="str">
        <f>IFERROR(__xludf.DUMMYFUNCTION("GOOGLETRANSLATE(E108,""en"", ""ja"")"),"ヘッダ：")</f>
        <v>ヘッダ：</v>
      </c>
      <c r="G108" s="10" t="str">
        <f>IFERROR(__xludf.DUMMYFUNCTION("GOOGLETRANSLATE(E108,""en"",""zh-cn"")"),"标头：")</f>
        <v>标头：</v>
      </c>
      <c r="H108" s="10" t="str">
        <f>IFERROR(__xludf.DUMMYFUNCTION("GOOGLETRANSLATE(E108,""en"",""fr"")"),"Entête:")</f>
        <v>Entête:</v>
      </c>
      <c r="I108" s="10" t="str">
        <f>IFERROR(__xludf.DUMMYFUNCTION("GOOGLETRANSLATE(E108,""en"",""de"")"),"Header:")</f>
        <v>Header:</v>
      </c>
    </row>
    <row r="109">
      <c r="A109" s="9" t="s">
        <v>208</v>
      </c>
      <c r="B109" s="9" t="s">
        <v>222</v>
      </c>
      <c r="C109" s="9" t="s">
        <v>156</v>
      </c>
      <c r="D109" s="9" t="s">
        <v>12</v>
      </c>
      <c r="E109" s="10" t="s">
        <v>223</v>
      </c>
      <c r="F109" s="10" t="str">
        <f>IFERROR(__xludf.DUMMYFUNCTION("GOOGLETRANSLATE(E109,""en"", ""ja"")"),"左側にタイトルを提供し、「削除」「警告」など、タイトルを可能な限りシンプルで直感的に保ちます")</f>
        <v>左側にタイトルを提供し、「削除」「警告」など、タイトルを可能な限りシンプルで直感的に保ちます</v>
      </c>
      <c r="G109" s="10" t="str">
        <f>IFERROR(__xludf.DUMMYFUNCTION("GOOGLETRANSLATE(E109,""en"",""zh-cn"")"),"在左侧提供标题，并保持标题尽可能简单和直观，例如“删除”“警告”")</f>
        <v>在左侧提供标题，并保持标题尽可能简单和直观，例如“删除”“警告”</v>
      </c>
      <c r="H109" s="10" t="str">
        <f>IFERROR(__xludf.DUMMYFUNCTION("GOOGLETRANSLATE(E109,""en"",""fr"")"),"Fournissez un titre à gauche et gardez le titre aussi simple et intuitif que possible, tel que «supprimer» «avertissement»")</f>
        <v>Fournissez un titre à gauche et gardez le titre aussi simple et intuitif que possible, tel que «supprimer» «avertissement»</v>
      </c>
      <c r="I109" s="10" t="str">
        <f>IFERROR(__xludf.DUMMYFUNCTION("GOOGLETRANSLATE(E109,""en"",""de"")"),"Geben Sie links einen Titel an und halten Sie den Titel so einfach und intuitiv wie möglich, z. B. ""Löschen"" ""Warnung""")</f>
        <v>Geben Sie links einen Titel an und halten Sie den Titel so einfach und intuitiv wie möglich, z. B. "Löschen" "Warnung"</v>
      </c>
    </row>
    <row r="110">
      <c r="A110" s="9" t="s">
        <v>208</v>
      </c>
      <c r="B110" s="9" t="s">
        <v>94</v>
      </c>
      <c r="C110" s="9" t="s">
        <v>156</v>
      </c>
      <c r="D110" s="9" t="s">
        <v>12</v>
      </c>
      <c r="E110" s="10" t="s">
        <v>224</v>
      </c>
      <c r="F110" s="10" t="str">
        <f>IFERROR(__xludf.DUMMYFUNCTION("GOOGLETRANSLATE(E110,""en"", ""ja"")"),"ボタン：")</f>
        <v>ボタン：</v>
      </c>
      <c r="G110" s="10" t="str">
        <f>IFERROR(__xludf.DUMMYFUNCTION("GOOGLETRANSLATE(E110,""en"",""zh-cn"")"),"按钮：")</f>
        <v>按钮：</v>
      </c>
      <c r="H110" s="10" t="str">
        <f>IFERROR(__xludf.DUMMYFUNCTION("GOOGLETRANSLATE(E110,""en"",""fr"")"),"Bouton:")</f>
        <v>Bouton:</v>
      </c>
      <c r="I110" s="10" t="str">
        <f>IFERROR(__xludf.DUMMYFUNCTION("GOOGLETRANSLATE(E110,""en"",""de"")"),"Taste:")</f>
        <v>Taste:</v>
      </c>
    </row>
    <row r="111">
      <c r="A111" s="9" t="s">
        <v>208</v>
      </c>
      <c r="B111" s="9" t="s">
        <v>225</v>
      </c>
      <c r="C111" s="9" t="s">
        <v>156</v>
      </c>
      <c r="D111" s="9" t="s">
        <v>12</v>
      </c>
      <c r="E111" s="10" t="s">
        <v>226</v>
      </c>
      <c r="F111" s="10" t="str">
        <f>IFERROR(__xludf.DUMMYFUNCTION("GOOGLETRANSLATE(E111,""en"", ""ja"")"),"1つの主要なボタンが含まれています。セカンダリボタンはオプションです。一次確認ボタンは常に右側に配置されます。タイトルの主な情報に対する具体的な応答であるボタンラベルを書き込みます。タイトル「このファイルを削除しますか？」 「削除」と「キャンセル」というラベルのボタンを「キャンセル」効果のように「キャンセル」することができます。")</f>
        <v>1つの主要なボタンが含まれています。セカンダリボタンはオプションです。一次確認ボタンは常に右側に配置されます。タイトルの主な情報に対する具体的な応答であるボタンラベルを書き込みます。タイトル「このファイルを削除しますか？」 「削除」と「キャンセル」というラベルのボタンを「キャンセル」効果のように「キャンセル」することができます。</v>
      </c>
      <c r="G111" s="10" t="str">
        <f>IFERROR(__xludf.DUMMYFUNCTION("GOOGLETRANSLATE(E111,""en"",""zh-cn"")"),"包括一个主按钮。辅助按钮是可选的。主确认按钮始终放在右侧。编写对标题中主要信息的特定响应的按钮标签。标题“删除此文件？”可以标记为“删除”的按钮和“取消” ESC键的作用像“取消”效果。")</f>
        <v>包括一个主按钮。辅助按钮是可选的。主确认按钮始终放在右侧。编写对标题中主要信息的特定响应的按钮标签。标题“删除此文件？”可以标记为“删除”的按钮和“取消” ESC键的作用像“取消”效果。</v>
      </c>
      <c r="H111" s="10" t="str">
        <f>IFERROR(__xludf.DUMMYFUNCTION("GOOGLETRANSLATE(E111,""en"",""fr"")"),"Comprend un bouton principal. Un bouton secondaire est facultatif. Le bouton de confirmation primaire est toujours placé sur le côté droit. Étiquettes de bouton d'écriture qui sont des réponses spécifiques aux informations principales du titre. Le titre «"&amp;"Supprimer ce fichier?» pourrait avoir des boutons étiquetés «supprimer» et «annuler» la clé ESC agit comme un effet «annuler».")</f>
        <v>Comprend un bouton principal. Un bouton secondaire est facultatif. Le bouton de confirmation primaire est toujours placé sur le côté droit. Étiquettes de bouton d'écriture qui sont des réponses spécifiques aux informations principales du titre. Le titre «Supprimer ce fichier?» pourrait avoir des boutons étiquetés «supprimer» et «annuler» la clé ESC agit comme un effet «annuler».</v>
      </c>
      <c r="I111" s="10" t="str">
        <f>IFERROR(__xludf.DUMMYFUNCTION("GOOGLETRANSLATE(E111,""en"",""de"")"),"Enthält einen Primärknopf. Eine sekundäre Taste ist optional. Die primäre Bestätigungsknopf wird immer auf der rechten Seite platziert. Schreiben Sie Schaltflächenbezeichnungen, die spezifische Antworten auf die Hauptinformationen im Titel sind. Der Titel"&amp;" ""Löschen dieser Datei?"" Könnten Schaltflächen mit der Bezeichnung „Löschen“ und „Abbrechen“ den ESC -Schlüssel wie ein ""Abbrechen"" -Effekt haben.")</f>
        <v>Enthält einen Primärknopf. Eine sekundäre Taste ist optional. Die primäre Bestätigungsknopf wird immer auf der rechten Seite platziert. Schreiben Sie Schaltflächenbezeichnungen, die spezifische Antworten auf die Hauptinformationen im Titel sind. Der Titel "Löschen dieser Datei?" Könnten Schaltflächen mit der Bezeichnung „Löschen“ und „Abbrechen“ den ESC -Schlüssel wie ein "Abbrechen" -Effekt haben.</v>
      </c>
    </row>
    <row r="112">
      <c r="A112" s="9" t="s">
        <v>208</v>
      </c>
      <c r="B112" s="9" t="s">
        <v>227</v>
      </c>
      <c r="C112" s="9" t="s">
        <v>156</v>
      </c>
      <c r="D112" s="9" t="s">
        <v>12</v>
      </c>
      <c r="E112" s="10" t="s">
        <v>228</v>
      </c>
      <c r="F112" s="10" t="str">
        <f>IFERROR(__xludf.DUMMYFUNCTION("GOOGLETRANSLATE(E112,""en"", ""ja"")"),"開くダイアログ")</f>
        <v>開くダイアログ</v>
      </c>
      <c r="G112" s="10" t="str">
        <f>IFERROR(__xludf.DUMMYFUNCTION("GOOGLETRANSLATE(E112,""en"",""zh-cn"")"),"打开对话框")</f>
        <v>打开对话框</v>
      </c>
      <c r="H112" s="10" t="str">
        <f>IFERROR(__xludf.DUMMYFUNCTION("GOOGLETRANSLATE(E112,""en"",""fr"")"),"Ouvrir la boîte de dialogue")</f>
        <v>Ouvrir la boîte de dialogue</v>
      </c>
      <c r="I112" s="10" t="str">
        <f>IFERROR(__xludf.DUMMYFUNCTION("GOOGLETRANSLATE(E112,""en"",""de"")"),"Dialog öffnen")</f>
        <v>Dialog öffnen</v>
      </c>
    </row>
    <row r="113">
      <c r="A113" s="9" t="s">
        <v>208</v>
      </c>
      <c r="B113" s="9" t="s">
        <v>229</v>
      </c>
      <c r="C113" s="9" t="s">
        <v>156</v>
      </c>
      <c r="D113" s="9" t="s">
        <v>12</v>
      </c>
      <c r="E113" s="10" t="s">
        <v>230</v>
      </c>
      <c r="F113" s="10" t="str">
        <f>IFERROR(__xludf.DUMMYFUNCTION("GOOGLETRANSLATE(E113,""en"", ""ja"")"),"確認する")</f>
        <v>確認する</v>
      </c>
      <c r="G113" s="10" t="str">
        <f>IFERROR(__xludf.DUMMYFUNCTION("GOOGLETRANSLATE(E113,""en"",""zh-cn"")"),"确认")</f>
        <v>确认</v>
      </c>
      <c r="H113" s="10" t="str">
        <f>IFERROR(__xludf.DUMMYFUNCTION("GOOGLETRANSLATE(E113,""en"",""fr"")"),"Confirmer")</f>
        <v>Confirmer</v>
      </c>
      <c r="I113" s="10" t="str">
        <f>IFERROR(__xludf.DUMMYFUNCTION("GOOGLETRANSLATE(E113,""en"",""de"")"),"Bestätigen")</f>
        <v>Bestätigen</v>
      </c>
    </row>
    <row r="114">
      <c r="A114" s="9" t="s">
        <v>208</v>
      </c>
      <c r="B114" s="9" t="s">
        <v>231</v>
      </c>
      <c r="C114" s="9" t="s">
        <v>156</v>
      </c>
      <c r="D114" s="9" t="s">
        <v>12</v>
      </c>
      <c r="E114" s="10" t="s">
        <v>232</v>
      </c>
      <c r="F114" s="10" t="str">
        <f>IFERROR(__xludf.DUMMYFUNCTION("GOOGLETRANSLATE(E114,""en"", ""ja"")"),"メール確認")</f>
        <v>メール確認</v>
      </c>
      <c r="G114" s="10" t="str">
        <f>IFERROR(__xludf.DUMMYFUNCTION("GOOGLETRANSLATE(E114,""en"",""zh-cn"")"),"电子邮件确认")</f>
        <v>电子邮件确认</v>
      </c>
      <c r="H114" s="10" t="str">
        <f>IFERROR(__xludf.DUMMYFUNCTION("GOOGLETRANSLATE(E114,""en"",""fr"")"),"Courriel Confirmer")</f>
        <v>Courriel Confirmer</v>
      </c>
      <c r="I114" s="10" t="str">
        <f>IFERROR(__xludf.DUMMYFUNCTION("GOOGLETRANSLATE(E114,""en"",""de"")"),"Email bestätigen")</f>
        <v>Email bestätigen</v>
      </c>
    </row>
    <row r="115">
      <c r="A115" s="9" t="s">
        <v>208</v>
      </c>
      <c r="B115" s="9" t="s">
        <v>233</v>
      </c>
      <c r="C115" s="9" t="s">
        <v>156</v>
      </c>
      <c r="D115" s="9" t="s">
        <v>12</v>
      </c>
      <c r="E115" s="10" t="s">
        <v>234</v>
      </c>
      <c r="F115" s="10" t="str">
        <f>IFERROR(__xludf.DUMMYFUNCTION("GOOGLETRANSLATE(E115,""en"", ""ja"")"),"このメッセージを件名なしで送信しますか？送信したい場合は、「送信」をクリックするか、「送信しない」または「閉じる」を押してキャンセルできます。")</f>
        <v>このメッセージを件名なしで送信しますか？送信したい場合は、「送信」をクリックするか、「送信しない」または「閉じる」を押してキャンセルできます。</v>
      </c>
      <c r="G115" s="10" t="str">
        <f>IFERROR(__xludf.DUMMYFUNCTION("GOOGLETRANSLATE(E115,""en"",""zh-cn"")"),"您想在没有主题的情况下发送此消息吗？如果要发送，请单击“发送”，也可以通过按“不要发送”或“关闭”来取消。")</f>
        <v>您想在没有主题的情况下发送此消息吗？如果要发送，请单击“发送”，也可以通过按“不要发送”或“关闭”来取消。</v>
      </c>
      <c r="H115" s="10" t="str">
        <f>IFERROR(__xludf.DUMMYFUNCTION("GOOGLETRANSLATE(E115,""en"",""fr"")"),"Voulez-vous envoyer ce message sans sujet? Si vous souhaitez envoyer, veuillez cliquer sur «Envoyer», ou vous pouvez annuler en appuyant sur «Don't Send» ou «Fermer».")</f>
        <v>Voulez-vous envoyer ce message sans sujet? Si vous souhaitez envoyer, veuillez cliquer sur «Envoyer», ou vous pouvez annuler en appuyant sur «Don't Send» ou «Fermer».</v>
      </c>
      <c r="I115" s="10" t="str">
        <f>IFERROR(__xludf.DUMMYFUNCTION("GOOGLETRANSLATE(E115,""en"",""de"")"),"Möchten Sie diese Nachricht ohne Betreff senden? Wenn Sie senden möchten, klicken Sie bitte auf ""Senden"", oder Sie können abbrechen, indem Sie ""Nicht senden"" oder ""Schließen"" drücken.")</f>
        <v>Möchten Sie diese Nachricht ohne Betreff senden? Wenn Sie senden möchten, klicken Sie bitte auf "Senden", oder Sie können abbrechen, indem Sie "Nicht senden" oder "Schließen" drücken.</v>
      </c>
    </row>
    <row r="116">
      <c r="A116" s="11"/>
      <c r="B116" s="11"/>
      <c r="C116" s="11"/>
      <c r="D116" s="11"/>
      <c r="E116" s="11"/>
      <c r="F116" s="11"/>
      <c r="G116" s="11"/>
      <c r="H116" s="11"/>
      <c r="I116" s="11"/>
    </row>
    <row r="117">
      <c r="A117" s="9" t="s">
        <v>235</v>
      </c>
      <c r="B117" s="9" t="s">
        <v>209</v>
      </c>
      <c r="C117" s="9" t="s">
        <v>88</v>
      </c>
      <c r="D117" s="9" t="s">
        <v>12</v>
      </c>
      <c r="E117" s="10" t="s">
        <v>89</v>
      </c>
      <c r="F117" s="10" t="str">
        <f>IFERROR(__xludf.DUMMYFUNCTION("GOOGLETRANSLATE(E117,""en"", ""ja"")"),"デザインの原則")</f>
        <v>デザインの原則</v>
      </c>
      <c r="G117" s="10" t="str">
        <f>IFERROR(__xludf.DUMMYFUNCTION("GOOGLETRANSLATE(E117,""en"",""zh-cn"")"),"设计原理")</f>
        <v>设计原理</v>
      </c>
      <c r="H117" s="10" t="str">
        <f>IFERROR(__xludf.DUMMYFUNCTION("GOOGLETRANSLATE(E117,""en"",""fr"")"),"Principe de conception")</f>
        <v>Principe de conception</v>
      </c>
      <c r="I117" s="10" t="str">
        <f>IFERROR(__xludf.DUMMYFUNCTION("GOOGLETRANSLATE(E117,""en"",""de"")"),"Designprinzip")</f>
        <v>Designprinzip</v>
      </c>
    </row>
    <row r="118">
      <c r="A118" s="9" t="s">
        <v>235</v>
      </c>
      <c r="B118" s="9" t="s">
        <v>236</v>
      </c>
      <c r="C118" s="9" t="s">
        <v>88</v>
      </c>
      <c r="D118" s="9" t="s">
        <v>12</v>
      </c>
      <c r="E118" s="10" t="s">
        <v>237</v>
      </c>
      <c r="F118" s="10" t="str">
        <f>IFERROR(__xludf.DUMMYFUNCTION("GOOGLETRANSLATE(E118,""en"", ""ja"")"),"役に立つ")</f>
        <v>役に立つ</v>
      </c>
      <c r="G118" s="10" t="str">
        <f>IFERROR(__xludf.DUMMYFUNCTION("GOOGLETRANSLATE(E118,""en"",""zh-cn"")"),"有用")</f>
        <v>有用</v>
      </c>
      <c r="H118" s="10" t="str">
        <f>IFERROR(__xludf.DUMMYFUNCTION("GOOGLETRANSLATE(E118,""en"",""fr"")"),"Utile")</f>
        <v>Utile</v>
      </c>
      <c r="I118" s="10" t="str">
        <f>IFERROR(__xludf.DUMMYFUNCTION("GOOGLETRANSLATE(E118,""en"",""de"")"),"Nützlich")</f>
        <v>Nützlich</v>
      </c>
    </row>
    <row r="119">
      <c r="A119" s="9" t="s">
        <v>235</v>
      </c>
      <c r="B119" s="9" t="s">
        <v>238</v>
      </c>
      <c r="C119" s="9" t="s">
        <v>88</v>
      </c>
      <c r="D119" s="9" t="s">
        <v>12</v>
      </c>
      <c r="E119" s="10" t="s">
        <v>239</v>
      </c>
      <c r="F119" s="10" t="str">
        <f>IFERROR(__xludf.DUMMYFUNCTION("GOOGLETRANSLATE(E119,""en"", ""ja"")"),"使用可能")</f>
        <v>使用可能</v>
      </c>
      <c r="G119" s="10" t="str">
        <f>IFERROR(__xludf.DUMMYFUNCTION("GOOGLETRANSLATE(E119,""en"",""zh-cn"")"),"可用")</f>
        <v>可用</v>
      </c>
      <c r="H119" s="10" t="str">
        <f>IFERROR(__xludf.DUMMYFUNCTION("GOOGLETRANSLATE(E119,""en"",""fr"")"),"Utilisable")</f>
        <v>Utilisable</v>
      </c>
      <c r="I119" s="10" t="str">
        <f>IFERROR(__xludf.DUMMYFUNCTION("GOOGLETRANSLATE(E119,""en"",""de"")"),"Verwendbar")</f>
        <v>Verwendbar</v>
      </c>
    </row>
    <row r="120">
      <c r="A120" s="9" t="s">
        <v>235</v>
      </c>
      <c r="B120" s="9" t="s">
        <v>240</v>
      </c>
      <c r="C120" s="9" t="s">
        <v>88</v>
      </c>
      <c r="D120" s="9" t="s">
        <v>12</v>
      </c>
      <c r="E120" s="10" t="s">
        <v>241</v>
      </c>
      <c r="F120" s="10" t="str">
        <f>IFERROR(__xludf.DUMMYFUNCTION("GOOGLETRANSLATE(E120,""en"", ""ja"")"),"効率")</f>
        <v>効率</v>
      </c>
      <c r="G120" s="10" t="str">
        <f>IFERROR(__xludf.DUMMYFUNCTION("GOOGLETRANSLATE(E120,""en"",""zh-cn"")"),"效率")</f>
        <v>效率</v>
      </c>
      <c r="H120" s="10" t="str">
        <f>IFERROR(__xludf.DUMMYFUNCTION("GOOGLETRANSLATE(E120,""en"",""fr"")"),"Efficacité")</f>
        <v>Efficacité</v>
      </c>
      <c r="I120" s="10" t="str">
        <f>IFERROR(__xludf.DUMMYFUNCTION("GOOGLETRANSLATE(E120,""en"",""de"")"),"Effizienz")</f>
        <v>Effizienz</v>
      </c>
    </row>
    <row r="121">
      <c r="A121" s="9" t="s">
        <v>235</v>
      </c>
      <c r="B121" s="9" t="s">
        <v>242</v>
      </c>
      <c r="C121" s="9" t="s">
        <v>88</v>
      </c>
      <c r="D121" s="9" t="s">
        <v>12</v>
      </c>
      <c r="E121" s="10" t="s">
        <v>243</v>
      </c>
      <c r="F121" s="10" t="str">
        <f>IFERROR(__xludf.DUMMYFUNCTION("GOOGLETRANSLATE(E121,""en"", ""ja"")"),"一貫性")</f>
        <v>一貫性</v>
      </c>
      <c r="G121" s="10" t="str">
        <f>IFERROR(__xludf.DUMMYFUNCTION("GOOGLETRANSLATE(E121,""en"",""zh-cn"")"),"一致性")</f>
        <v>一致性</v>
      </c>
      <c r="H121" s="10" t="str">
        <f>IFERROR(__xludf.DUMMYFUNCTION("GOOGLETRANSLATE(E121,""en"",""fr"")"),"Cohérence")</f>
        <v>Cohérence</v>
      </c>
      <c r="I121" s="10" t="str">
        <f>IFERROR(__xludf.DUMMYFUNCTION("GOOGLETRANSLATE(E121,""en"",""de"")"),"Konsistenz")</f>
        <v>Konsistenz</v>
      </c>
    </row>
    <row r="122">
      <c r="A122" s="9" t="s">
        <v>235</v>
      </c>
      <c r="B122" s="9" t="s">
        <v>244</v>
      </c>
      <c r="C122" s="9" t="s">
        <v>88</v>
      </c>
      <c r="D122" s="9" t="s">
        <v>12</v>
      </c>
      <c r="E122" s="10" t="s">
        <v>245</v>
      </c>
      <c r="F122" s="10" t="str">
        <f>IFERROR(__xludf.DUMMYFUNCTION("GOOGLETRANSLATE(E122,""en"", ""ja"")"),"アクセス可能")</f>
        <v>アクセス可能</v>
      </c>
      <c r="G122" s="10" t="str">
        <f>IFERROR(__xludf.DUMMYFUNCTION("GOOGLETRANSLATE(E122,""en"",""zh-cn"")"),"无障碍")</f>
        <v>无障碍</v>
      </c>
      <c r="H122" s="10" t="str">
        <f>IFERROR(__xludf.DUMMYFUNCTION("GOOGLETRANSLATE(E122,""en"",""fr"")"),"Accessible")</f>
        <v>Accessible</v>
      </c>
      <c r="I122" s="10" t="str">
        <f>IFERROR(__xludf.DUMMYFUNCTION("GOOGLETRANSLATE(E122,""en"",""de"")"),"Zugänglich")</f>
        <v>Zugänglich</v>
      </c>
    </row>
    <row r="123">
      <c r="A123" s="9" t="s">
        <v>235</v>
      </c>
      <c r="B123" s="9" t="s">
        <v>246</v>
      </c>
      <c r="C123" s="9" t="s">
        <v>88</v>
      </c>
      <c r="D123" s="9" t="s">
        <v>12</v>
      </c>
      <c r="E123" s="10" t="s">
        <v>247</v>
      </c>
      <c r="F123" s="10" t="str">
        <f>IFERROR(__xludf.DUMMYFUNCTION("GOOGLETRANSLATE(E123,""en"", ""ja"")"),"共同")</f>
        <v>共同</v>
      </c>
      <c r="G123" s="10" t="str">
        <f>IFERROR(__xludf.DUMMYFUNCTION("GOOGLETRANSLATE(E123,""en"",""zh-cn"")"),"协作")</f>
        <v>协作</v>
      </c>
      <c r="H123" s="10" t="str">
        <f>IFERROR(__xludf.DUMMYFUNCTION("GOOGLETRANSLATE(E123,""en"",""fr"")"),"Collaboratif")</f>
        <v>Collaboratif</v>
      </c>
      <c r="I123" s="10" t="str">
        <f>IFERROR(__xludf.DUMMYFUNCTION("GOOGLETRANSLATE(E123,""en"",""de"")"),"Kollaborativ")</f>
        <v>Kollaborativ</v>
      </c>
    </row>
    <row r="124">
      <c r="A124" s="9" t="s">
        <v>235</v>
      </c>
      <c r="B124" s="9" t="s">
        <v>248</v>
      </c>
      <c r="C124" s="9" t="s">
        <v>88</v>
      </c>
      <c r="D124" s="9" t="s">
        <v>12</v>
      </c>
      <c r="E124" s="10" t="s">
        <v>249</v>
      </c>
      <c r="F124" s="10" t="str">
        <f>IFERROR(__xludf.DUMMYFUNCTION("GOOGLETRANSLATE(E124,""en"", ""ja"")"),"応答性")</f>
        <v>応答性</v>
      </c>
      <c r="G124" s="10" t="str">
        <f>IFERROR(__xludf.DUMMYFUNCTION("GOOGLETRANSLATE(E124,""en"",""zh-cn"")"),"响应迅速")</f>
        <v>响应迅速</v>
      </c>
      <c r="H124" s="10" t="str">
        <f>IFERROR(__xludf.DUMMYFUNCTION("GOOGLETRANSLATE(E124,""en"",""fr"")"),"Sensible")</f>
        <v>Sensible</v>
      </c>
      <c r="I124" s="10" t="str">
        <f>IFERROR(__xludf.DUMMYFUNCTION("GOOGLETRANSLATE(E124,""en"",""de"")"),"Reaktionsschnell")</f>
        <v>Reaktionsschnell</v>
      </c>
    </row>
    <row r="125">
      <c r="A125" s="9" t="s">
        <v>235</v>
      </c>
      <c r="B125" s="9" t="s">
        <v>250</v>
      </c>
      <c r="C125" s="9" t="s">
        <v>88</v>
      </c>
      <c r="D125" s="9" t="s">
        <v>12</v>
      </c>
      <c r="E125" s="10" t="s">
        <v>251</v>
      </c>
      <c r="F125" s="10" t="str">
        <f>IFERROR(__xludf.DUMMYFUNCTION("GOOGLETRANSLATE(E125,""en"", ""ja"")"),"ユーザーのコンテンツは常に最初に来ます - ユーザーのビジネス目標に焦点を合わせ、常にタスク駆動型であることを確認してください。")</f>
        <v>ユーザーのコンテンツは常に最初に来ます - ユーザーのビジネス目標に焦点を合わせ、常にタスク駆動型であることを確認してください。</v>
      </c>
      <c r="G125" s="10" t="str">
        <f>IFERROR(__xludf.DUMMYFUNCTION("GOOGLETRANSLATE(E125,""en"",""zh-cn"")"),"我们用户的内容总是首先出现的 - 确保我们集中了用户的业务目标，并始终是任务驱动的。")</f>
        <v>我们用户的内容总是首先出现的 - 确保我们集中了用户的业务目标，并始终是任务驱动的。</v>
      </c>
      <c r="H125" s="10" t="str">
        <f>IFERROR(__xludf.DUMMYFUNCTION("GOOGLETRANSLATE(E125,""en"",""fr"")"),"Le contenu de nos utilisateurs vient toujours en premier - assurez-vous que nous concentrons les objectifs commerciaux de l'utilisateur et que nous soyons toujours axés sur les tâches.")</f>
        <v>Le contenu de nos utilisateurs vient toujours en premier - assurez-vous que nous concentrons les objectifs commerciaux de l'utilisateur et que nous soyons toujours axés sur les tâches.</v>
      </c>
      <c r="I125" s="10" t="str">
        <f>IFERROR(__xludf.DUMMYFUNCTION("GOOGLETRANSLATE(E125,""en"",""de"")"),"Der Inhalt unserer Benutzer kommt immer an erster Stelle - stellen Sie sicher, dass wir die Geschäftsziele des Benutzers konzentrieren und immer aufgabengetrieben werden.")</f>
        <v>Der Inhalt unserer Benutzer kommt immer an erster Stelle - stellen Sie sicher, dass wir die Geschäftsziele des Benutzers konzentrieren und immer aufgabengetrieben werden.</v>
      </c>
    </row>
    <row r="126">
      <c r="A126" s="9" t="s">
        <v>235</v>
      </c>
      <c r="B126" s="9" t="s">
        <v>252</v>
      </c>
      <c r="C126" s="9" t="s">
        <v>88</v>
      </c>
      <c r="D126" s="9" t="s">
        <v>12</v>
      </c>
      <c r="E126" s="10" t="s">
        <v>253</v>
      </c>
      <c r="F126" s="10" t="str">
        <f>IFERROR(__xludf.DUMMYFUNCTION("GOOGLETRANSLATE(E126,""en"", ""ja"")"),"すべてのユーザーは、困難なく使用できます。コンテンツは明確で簡単に見つける必要があります。関数は簡単にアクセスして効率的である必要があります。")</f>
        <v>すべてのユーザーは、困難なく使用できます。コンテンツは明確で簡単に見つける必要があります。関数は簡単にアクセスして効率的である必要があります。</v>
      </c>
      <c r="G126" s="10" t="str">
        <f>IFERROR(__xludf.DUMMYFUNCTION("GOOGLETRANSLATE(E126,""en"",""zh-cn"")"),"所有用户都可以毫无困难地使用它。内容需要清晰易于找到。功能需要轻松访问和高效。")</f>
        <v>所有用户都可以毫无困难地使用它。内容需要清晰易于找到。功能需要轻松访问和高效。</v>
      </c>
      <c r="H126" s="10" t="str">
        <f>IFERROR(__xludf.DUMMYFUNCTION("GOOGLETRANSLATE(E126,""en"",""fr"")"),"Tous les utilisateurs peuvent l'utiliser sans difficultés. Le contenu doit être clair et facile à trouver. Les fonctions doivent être facilement accessibles et efficaces.")</f>
        <v>Tous les utilisateurs peuvent l'utiliser sans difficultés. Le contenu doit être clair et facile à trouver. Les fonctions doivent être facilement accessibles et efficaces.</v>
      </c>
      <c r="I126" s="10" t="str">
        <f>IFERROR(__xludf.DUMMYFUNCTION("GOOGLETRANSLATE(E126,""en"",""de"")"),"Alle Benutzer können es ohne Schwierigkeiten verwenden. Der Inhalt muss klar und leicht zu finden sein. Funktionen müssen leicht zugreifen und effizient sind.")</f>
        <v>Alle Benutzer können es ohne Schwierigkeiten verwenden. Der Inhalt muss klar und leicht zu finden sein. Funktionen müssen leicht zugreifen und effizient sind.</v>
      </c>
    </row>
    <row r="127">
      <c r="A127" s="9" t="s">
        <v>235</v>
      </c>
      <c r="B127" s="9" t="s">
        <v>254</v>
      </c>
      <c r="C127" s="9" t="s">
        <v>88</v>
      </c>
      <c r="D127" s="9" t="s">
        <v>12</v>
      </c>
      <c r="E127" s="10" t="s">
        <v>255</v>
      </c>
      <c r="F127" s="10" t="str">
        <f>IFERROR(__xludf.DUMMYFUNCTION("GOOGLETRANSLATE(E127,""en"", ""ja"")"),"UI要素は、必要な場合にのみ、常に利用可能にするのではなく、表示することを選択します。")</f>
        <v>UI要素は、必要な場合にのみ、常に利用可能にするのではなく、表示することを選択します。</v>
      </c>
      <c r="G127" s="10" t="str">
        <f>IFERROR(__xludf.DUMMYFUNCTION("GOOGLETRANSLATE(E127,""en"",""zh-cn"")"),"我们选择仅在需要时显示UI元素，而不是始终使其可用。")</f>
        <v>我们选择仅在需要时显示UI元素，而不是始终使其可用。</v>
      </c>
      <c r="H127" s="10" t="str">
        <f>IFERROR(__xludf.DUMMYFUNCTION("GOOGLETRANSLATE(E127,""en"",""fr"")"),"Nous choisissons d'afficher des éléments d'interface utilisateur uniquement lorsqu'ils sont nécessaires, plutôt que de les rendre disponibles à tout moment.")</f>
        <v>Nous choisissons d'afficher des éléments d'interface utilisateur uniquement lorsqu'ils sont nécessaires, plutôt que de les rendre disponibles à tout moment.</v>
      </c>
      <c r="I127" s="10" t="str">
        <f>IFERROR(__xludf.DUMMYFUNCTION("GOOGLETRANSLATE(E127,""en"",""de"")"),"Wir wählen UI -Elemente nur dann, wenn sie benötigt werden, anstatt sie jederzeit verfügbar zu machen.")</f>
        <v>Wir wählen UI -Elemente nur dann, wenn sie benötigt werden, anstatt sie jederzeit verfügbar zu machen.</v>
      </c>
    </row>
    <row r="128">
      <c r="A128" s="9" t="s">
        <v>235</v>
      </c>
      <c r="B128" s="9" t="s">
        <v>256</v>
      </c>
      <c r="C128" s="9" t="s">
        <v>88</v>
      </c>
      <c r="D128" s="9" t="s">
        <v>12</v>
      </c>
      <c r="E128" s="10" t="s">
        <v>257</v>
      </c>
      <c r="F128" s="10" t="str">
        <f>IFERROR(__xludf.DUMMYFUNCTION("GOOGLETRANSLATE(E128,""en"", ""ja"")"),"同じ質問に同じソリューションを適用することにより、親しみやすさを作成し、直感を強化すると、学習コストを削減できます。")</f>
        <v>同じ質問に同じソリューションを適用することにより、親しみやすさを作成し、直感を強化すると、学習コストを削減できます。</v>
      </c>
      <c r="G128" s="10" t="str">
        <f>IFERROR(__xludf.DUMMYFUNCTION("GOOGLETRANSLATE(E128,""en"",""zh-cn"")"),"通过将相同的解决方案应用于相同的问题可以降低学习成本，从而建立熟悉度并加强直觉。")</f>
        <v>通过将相同的解决方案应用于相同的问题可以降低学习成本，从而建立熟悉度并加强直觉。</v>
      </c>
      <c r="H128" s="10" t="str">
        <f>IFERROR(__xludf.DUMMYFUNCTION("GOOGLETRANSLATE(E128,""en"",""fr"")"),"Créez la familiarité et renforcez l'intuition en appliquant la même solution aux mêmes questions qui peuvent réduire le coût d'apprentissage.")</f>
        <v>Créez la familiarité et renforcez l'intuition en appliquant la même solution aux mêmes questions qui peuvent réduire le coût d'apprentissage.</v>
      </c>
      <c r="I128" s="10" t="str">
        <f>IFERROR(__xludf.DUMMYFUNCTION("GOOGLETRANSLATE(E128,""en"",""de"")"),"Erstellen Sie Vertrautheit und stärken Sie die Intuition, indem Sie dieselbe Lösung auf dieselben Fragen anwenden können, um die Lernkosten zu senken.")</f>
        <v>Erstellen Sie Vertrautheit und stärken Sie die Intuition, indem Sie dieselbe Lösung auf dieselben Fragen anwenden können, um die Lernkosten zu senken.</v>
      </c>
    </row>
    <row r="129">
      <c r="A129" s="9" t="s">
        <v>235</v>
      </c>
      <c r="B129" s="9" t="s">
        <v>258</v>
      </c>
      <c r="C129" s="9" t="s">
        <v>88</v>
      </c>
      <c r="D129" s="9" t="s">
        <v>12</v>
      </c>
      <c r="E129" s="10" t="s">
        <v>259</v>
      </c>
      <c r="F129" s="10" t="str">
        <f>IFERROR(__xludf.DUMMYFUNCTION("GOOGLETRANSLATE(E129,""en"", ""ja"")"),"すべてのページデザインは、色のコントラスト、ナビゲーションの代替品、およびWCAG 2.0に基づくその他のガイドラインの観点からアクセシビリティ要件を満たしています。")</f>
        <v>すべてのページデザインは、色のコントラスト、ナビゲーションの代替品、およびWCAG 2.0に基づくその他のガイドラインの観点からアクセシビリティ要件を満たしています。</v>
      </c>
      <c r="G129" s="10" t="str">
        <f>IFERROR(__xludf.DUMMYFUNCTION("GOOGLETRANSLATE(E129,""en"",""zh-cn"")"),"所有页面设计都符合颜色对比度，导航替代方案以及基于WCAG 2.0的更多准则，符合可访问性要求。")</f>
        <v>所有页面设计都符合颜色对比度，导航替代方案以及基于WCAG 2.0的更多准则，符合可访问性要求。</v>
      </c>
      <c r="H129" s="10" t="str">
        <f>IFERROR(__xludf.DUMMYFUNCTION("GOOGLETRANSLATE(E129,""en"",""fr"")"),"Toutes les conceptions de pages répondent aux conditions d'accessibilité en termes de contraste des couleurs, d'alternatives de navigation et de directives supplémentaires basées sur WCAG 2.0.")</f>
        <v>Toutes les conceptions de pages répondent aux conditions d'accessibilité en termes de contraste des couleurs, d'alternatives de navigation et de directives supplémentaires basées sur WCAG 2.0.</v>
      </c>
      <c r="I129" s="10" t="str">
        <f>IFERROR(__xludf.DUMMYFUNCTION("GOOGLETRANSLATE(E129,""en"",""de"")"),"Alle Seitendesigns erfüllen die Anforderungen an die Zugänglichkeit in Bezug auf Farbkontrast, Navigationsalternativen und weitere Richtlinien basierend auf WCAG 2.0.")</f>
        <v>Alle Seitendesigns erfüllen die Anforderungen an die Zugänglichkeit in Bezug auf Farbkontrast, Navigationsalternativen und weitere Richtlinien basierend auf WCAG 2.0.</v>
      </c>
    </row>
    <row r="130">
      <c r="A130" s="9" t="s">
        <v>235</v>
      </c>
      <c r="B130" s="9" t="s">
        <v>260</v>
      </c>
      <c r="C130" s="9" t="s">
        <v>88</v>
      </c>
      <c r="D130" s="9" t="s">
        <v>12</v>
      </c>
      <c r="E130" s="10" t="s">
        <v>261</v>
      </c>
      <c r="F130" s="10" t="str">
        <f>IFERROR(__xludf.DUMMYFUNCTION("GOOGLETRANSLATE(E130,""en"", ""ja"")"),"豊富な教育活動を提供し、チームワークを可能にします。")</f>
        <v>豊富な教育活動を提供し、チームワークを可能にします。</v>
      </c>
      <c r="G130" s="10" t="str">
        <f>IFERROR(__xludf.DUMMYFUNCTION("GOOGLETRANSLATE(E130,""en"",""zh-cn"")"),"我们提供大量的教学活动并实现团队合作。")</f>
        <v>我们提供大量的教学活动并实现团队合作。</v>
      </c>
      <c r="H130" s="10" t="str">
        <f>IFERROR(__xludf.DUMMYFUNCTION("GOOGLETRANSLATE(E130,""en"",""fr"")"),"Nous fournissons une multitude d'activités d'enseignement et permettons le travail d'équipe.")</f>
        <v>Nous fournissons une multitude d'activités d'enseignement et permettons le travail d'équipe.</v>
      </c>
      <c r="I130" s="10" t="str">
        <f>IFERROR(__xludf.DUMMYFUNCTION("GOOGLETRANSLATE(E130,""en"",""de"")"),"Wir bieten eine Fülle von Lehraktivitäten und ermöglichen die Teamarbeit.")</f>
        <v>Wir bieten eine Fülle von Lehraktivitäten und ermöglichen die Teamarbeit.</v>
      </c>
    </row>
    <row r="131">
      <c r="A131" s="9" t="s">
        <v>235</v>
      </c>
      <c r="B131" s="9" t="s">
        <v>262</v>
      </c>
      <c r="C131" s="9" t="s">
        <v>88</v>
      </c>
      <c r="D131" s="9" t="s">
        <v>12</v>
      </c>
      <c r="E131" s="10" t="s">
        <v>263</v>
      </c>
      <c r="F131" s="10" t="str">
        <f>IFERROR(__xludf.DUMMYFUNCTION("GOOGLETRANSLATE(E131,""en"", ""ja"")"),"8ピクセルのベースユニットを使用すると、コンポーネントはすべてのディスプレイサイズにわたって一貫してスケーリングできます。")</f>
        <v>8ピクセルのベースユニットを使用すると、コンポーネントはすべてのディスプレイサイズにわたって一貫してスケーリングできます。</v>
      </c>
      <c r="G131" s="10" t="str">
        <f>IFERROR(__xludf.DUMMYFUNCTION("GOOGLETRANSLATE(E131,""en"",""zh-cn"")"),"使用8像素基本单元允许组件在所有显示大小上始终如一地扩展。")</f>
        <v>使用8像素基本单元允许组件在所有显示大小上始终如一地扩展。</v>
      </c>
      <c r="H131" s="10" t="str">
        <f>IFERROR(__xludf.DUMMYFUNCTION("GOOGLETRANSLATE(E131,""en"",""fr"")"),"L'utilisation d'une unité de base de 8 pixels permet aux composants de s'étendre de manière cohérente sur toutes les tailles d'affichage.")</f>
        <v>L'utilisation d'une unité de base de 8 pixels permet aux composants de s'étendre de manière cohérente sur toutes les tailles d'affichage.</v>
      </c>
      <c r="I131" s="10" t="str">
        <f>IFERROR(__xludf.DUMMYFUNCTION("GOOGLETRANSLATE(E131,""en"",""de"")"),"Durch die Verwendung einer 8-Pixel-Basiseinheit können Komponenten konsistent über alle Anzeigegrößen skalieren.")</f>
        <v>Durch die Verwendung einer 8-Pixel-Basiseinheit können Komponenten konsistent über alle Anzeigegrößen skalieren.</v>
      </c>
    </row>
    <row r="132">
      <c r="A132" s="11"/>
      <c r="B132" s="11"/>
      <c r="C132" s="11"/>
      <c r="D132" s="11"/>
      <c r="E132" s="11"/>
      <c r="F132" s="11"/>
      <c r="G132" s="11"/>
      <c r="H132" s="11"/>
      <c r="I132" s="11"/>
    </row>
    <row r="133">
      <c r="A133" s="9" t="s">
        <v>264</v>
      </c>
      <c r="B133" s="9" t="s">
        <v>209</v>
      </c>
      <c r="C133" s="9" t="s">
        <v>94</v>
      </c>
      <c r="D133" s="9" t="s">
        <v>12</v>
      </c>
      <c r="E133" s="10" t="s">
        <v>95</v>
      </c>
      <c r="F133" s="10" t="str">
        <f>IFERROR(__xludf.DUMMYFUNCTION("GOOGLETRANSLATE(E133,""en"", ""ja"")"),"ボタン")</f>
        <v>ボタン</v>
      </c>
      <c r="G133" s="10" t="str">
        <f>IFERROR(__xludf.DUMMYFUNCTION("GOOGLETRANSLATE(E133,""en"",""zh-cn"")"),"按钮")</f>
        <v>按钮</v>
      </c>
      <c r="H133" s="10" t="str">
        <f>IFERROR(__xludf.DUMMYFUNCTION("GOOGLETRANSLATE(E133,""en"",""fr"")"),"Bouton")</f>
        <v>Bouton</v>
      </c>
      <c r="I133" s="10" t="str">
        <f>IFERROR(__xludf.DUMMYFUNCTION("GOOGLETRANSLATE(E133,""en"",""de"")"),"Taste")</f>
        <v>Taste</v>
      </c>
    </row>
    <row r="134">
      <c r="A134" s="9" t="s">
        <v>264</v>
      </c>
      <c r="B134" s="9" t="s">
        <v>210</v>
      </c>
      <c r="C134" s="9" t="s">
        <v>94</v>
      </c>
      <c r="D134" s="9" t="s">
        <v>12</v>
      </c>
      <c r="E134" s="10" t="s">
        <v>265</v>
      </c>
      <c r="F134" s="10" t="str">
        <f>IFERROR(__xludf.DUMMYFUNCTION("GOOGLETRANSLATE(E134,""en"", ""ja"")"),"ボタンを使用して特定のアクションを実行します。")</f>
        <v>ボタンを使用して特定のアクションを実行します。</v>
      </c>
      <c r="G134" s="10" t="str">
        <f>IFERROR(__xludf.DUMMYFUNCTION("GOOGLETRANSLATE(E134,""en"",""zh-cn"")"),"使用按钮执行特定动作。")</f>
        <v>使用按钮执行特定动作。</v>
      </c>
      <c r="H134" s="10" t="str">
        <f>IFERROR(__xludf.DUMMYFUNCTION("GOOGLETRANSLATE(E134,""en"",""fr"")"),"Utilisez le bouton pour effectuer une action spécifique.")</f>
        <v>Utilisez le bouton pour effectuer une action spécifique.</v>
      </c>
      <c r="I134" s="10" t="str">
        <f>IFERROR(__xludf.DUMMYFUNCTION("GOOGLETRANSLATE(E134,""en"",""de"")"),"Verwenden Sie die Taste, um eine bestimmte Aktion auszuführen.")</f>
        <v>Verwenden Sie die Taste, um eine bestimmte Aktion auszuführen.</v>
      </c>
    </row>
    <row r="135">
      <c r="A135" s="9" t="s">
        <v>264</v>
      </c>
      <c r="B135" s="9" t="s">
        <v>266</v>
      </c>
      <c r="C135" s="9" t="s">
        <v>94</v>
      </c>
      <c r="D135" s="9" t="s">
        <v>12</v>
      </c>
      <c r="E135" s="10" t="s">
        <v>267</v>
      </c>
      <c r="F135" s="10" t="str">
        <f>IFERROR(__xludf.DUMMYFUNCTION("GOOGLETRANSLATE(E135,""en"", ""ja"")"),"UERが必要な状況でプライマリボタンを使用します。")</f>
        <v>UERが必要な状況でプライマリボタンを使用します。</v>
      </c>
      <c r="G135" s="10" t="str">
        <f>IFERROR(__xludf.DUMMYFUNCTION("GOOGLETRANSLATE(E135,""en"",""zh-cn"")"),"在UERS可能需要的情况下使用主要按钮：")</f>
        <v>在UERS可能需要的情况下使用主要按钮：</v>
      </c>
      <c r="H135" s="10" t="str">
        <f>IFERROR(__xludf.DUMMYFUNCTION("GOOGLETRANSLATE(E135,""en"",""fr"")"),"Utilisez des boutons primaires dans des situations où les UER peuvent avoir besoin de:")</f>
        <v>Utilisez des boutons primaires dans des situations où les UER peuvent avoir besoin de:</v>
      </c>
      <c r="I135" s="10" t="str">
        <f>IFERROR(__xludf.DUMMYFUNCTION("GOOGLETRANSLATE(E135,""en"",""de"")"),"Verwenden Sie primäre Schaltflächen in Situationen, in denen UERS möglicherweise:")</f>
        <v>Verwenden Sie primäre Schaltflächen in Situationen, in denen UERS möglicherweise:</v>
      </c>
    </row>
    <row r="136">
      <c r="A136" s="9" t="s">
        <v>264</v>
      </c>
      <c r="B136" s="9" t="s">
        <v>212</v>
      </c>
      <c r="C136" s="9" t="s">
        <v>94</v>
      </c>
      <c r="D136" s="9" t="s">
        <v>12</v>
      </c>
      <c r="E136" s="10" t="s">
        <v>268</v>
      </c>
      <c r="F136" s="10" t="str">
        <f>IFERROR(__xludf.DUMMYFUNCTION("GOOGLETRANSLATE(E136,""en"", ""ja"")"),"フォームを送信します（送信、適用、保存、OK、キャンセル、閉じる）")</f>
        <v>フォームを送信します（送信、適用、保存、OK、キャンセル、閉じる）</v>
      </c>
      <c r="G136" s="10" t="str">
        <f>IFERROR(__xludf.DUMMYFUNCTION("GOOGLETRANSLATE(E136,""en"",""zh-cn"")"),"提交表格（提交，申请，保存，确定，取消，关闭）")</f>
        <v>提交表格（提交，申请，保存，确定，取消，关闭）</v>
      </c>
      <c r="H136" s="10" t="str">
        <f>IFERROR(__xludf.DUMMYFUNCTION("GOOGLETRANSLATE(E136,""en"",""fr"")"),"Soumettre un formulaire (soumettre, postuler, enregistrer, ok, annuler, clôture)")</f>
        <v>Soumettre un formulaire (soumettre, postuler, enregistrer, ok, annuler, clôture)</v>
      </c>
      <c r="I136" s="10" t="str">
        <f>IFERROR(__xludf.DUMMYFUNCTION("GOOGLETRANSLATE(E136,""en"",""de"")"),"Senden Sie ein Formular ein (senden, beantragen, sparen, ok, abbrechen, schließen)")</f>
        <v>Senden Sie ein Formular ein (senden, beantragen, sparen, ok, abbrechen, schließen)</v>
      </c>
    </row>
    <row r="137">
      <c r="A137" s="9" t="s">
        <v>264</v>
      </c>
      <c r="B137" s="9" t="s">
        <v>214</v>
      </c>
      <c r="C137" s="9" t="s">
        <v>94</v>
      </c>
      <c r="D137" s="9" t="s">
        <v>12</v>
      </c>
      <c r="E137" s="10" t="s">
        <v>269</v>
      </c>
      <c r="F137" s="10" t="str">
        <f>IFERROR(__xludf.DUMMYFUNCTION("GOOGLETRANSLATE(E137,""en"", ""ja"")"),"新しいタスクを開始する（開始、作成） - プロセスの新しいステップまたは次のステップを指定します（バック、ネクスト）")</f>
        <v>新しいタスクを開始する（開始、作成） - プロセスの新しいステップまたは次のステップを指定します（バック、ネクスト）</v>
      </c>
      <c r="G137" s="10" t="str">
        <f>IFERROR(__xludf.DUMMYFUNCTION("GOOGLETRANSLATE(E137,""en"",""zh-cn"")"),"开始一个新任务（启动，创建） - 在过程中指定新的或下一步（返回，下一个）")</f>
        <v>开始一个新任务（启动，创建） - 在过程中指定新的或下一步（返回，下一个）</v>
      </c>
      <c r="H137" s="10" t="str">
        <f>IFERROR(__xludf.DUMMYFUNCTION("GOOGLETRANSLATE(E137,""en"",""fr"")"),"Commencer une nouvelle tâche (démarrer, créer) - spécifiez une étape nouvelle ou suivante d'un processus (dos, ensuite)")</f>
        <v>Commencer une nouvelle tâche (démarrer, créer) - spécifiez une étape nouvelle ou suivante d'un processus (dos, ensuite)</v>
      </c>
      <c r="I137" s="10" t="str">
        <f>IFERROR(__xludf.DUMMYFUNCTION("GOOGLETRANSLATE(E137,""en"",""de"")"),"Starten Sie eine neue Aufgabe (Start, Erstellen) - Geben Sie einen neuen oder nächsten Schritt in einem Prozess an (zurück (nächstes))")</f>
        <v>Starten Sie eine neue Aufgabe (Start, Erstellen) - Geben Sie einen neuen oder nächsten Schritt in einem Prozess an (zurück (nächstes))</v>
      </c>
    </row>
    <row r="138">
      <c r="A138" s="9" t="s">
        <v>264</v>
      </c>
      <c r="B138" s="9" t="s">
        <v>270</v>
      </c>
      <c r="C138" s="9" t="s">
        <v>94</v>
      </c>
      <c r="D138" s="9" t="s">
        <v>12</v>
      </c>
      <c r="E138" s="10" t="s">
        <v>271</v>
      </c>
      <c r="F138" s="10" t="str">
        <f>IFERROR(__xludf.DUMMYFUNCTION("GOOGLETRANSLATE(E138,""en"", ""ja"")"),"重要な他の人")</f>
        <v>重要な他の人</v>
      </c>
      <c r="G138" s="10" t="str">
        <f>IFERROR(__xludf.DUMMYFUNCTION("GOOGLETRANSLATE(E138,""en"",""zh-cn"")"),"其他重要的")</f>
        <v>其他重要的</v>
      </c>
      <c r="H138" s="10" t="str">
        <f>IFERROR(__xludf.DUMMYFUNCTION("GOOGLETRANSLATE(E138,""en"",""fr"")"),"D'autres qui sont importants")</f>
        <v>D'autres qui sont importants</v>
      </c>
      <c r="I138" s="10" t="str">
        <f>IFERROR(__xludf.DUMMYFUNCTION("GOOGLETRANSLATE(E138,""en"",""de"")"),"Andere, die wichtig sind")</f>
        <v>Andere, die wichtig sind</v>
      </c>
    </row>
    <row r="139">
      <c r="A139" s="9" t="s">
        <v>264</v>
      </c>
      <c r="B139" s="9" t="s">
        <v>272</v>
      </c>
      <c r="C139" s="9" t="s">
        <v>94</v>
      </c>
      <c r="D139" s="9" t="s">
        <v>12</v>
      </c>
      <c r="E139" s="10" t="s">
        <v>273</v>
      </c>
      <c r="F139" s="10" t="str">
        <f>IFERROR(__xludf.DUMMYFUNCTION("GOOGLETRANSLATE(E139,""en"", ""ja"")"),"常に右側のプライマリボタン。原則を参照してください_（https://3.7designs.co/blog/2009/01/03/the-gutenburg-diagram-in-design/）")</f>
        <v>常に右側のプライマリボタン。原則を参照してください_（https://3.7designs.co/blog/2009/01/03/the-gutenburg-diagram-in-design/）</v>
      </c>
      <c r="G139" s="10" t="str">
        <f>IFERROR(__xludf.DUMMYFUNCTION("GOOGLETRANSLATE(E139,""en"",""zh-cn"")"),"主按钮始终在右边。请参阅原理_（https://3.7designs.co/blog/2009/01/03/the-gutenburg-diagram-ingram-ingram-in-design/）")</f>
        <v>主按钮始终在右边。请参阅原理_（https://3.7designs.co/blog/2009/01/03/the-gutenburg-diagram-ingram-ingram-in-design/）</v>
      </c>
      <c r="H139" s="10" t="str">
        <f>IFERROR(__xludf.DUMMYFUNCTION("GOOGLETRANSLATE(E139,""en"",""fr"")"),"Bouton primaire toujours à droite. Veuillez vous référer au principe _ (https://3.7designs.co/blog/2009/01/03/the-gutenburg-diagram-in-design/)")</f>
        <v>Bouton primaire toujours à droite. Veuillez vous référer au principe _ (https://3.7designs.co/blog/2009/01/03/the-gutenburg-diagram-in-design/)</v>
      </c>
      <c r="I139" s="10" t="str">
        <f>IFERROR(__xludf.DUMMYFUNCTION("GOOGLETRANSLATE(E139,""en"",""de"")"),"Primärknopf immer rechts. Weitere Informationen finden Sie im Prinzip _ (https://3.7designs.co/blog/2009/01/03/the-gutenburg-diagram-in-design/)")</f>
        <v>Primärknopf immer rechts. Weitere Informationen finden Sie im Prinzip _ (https://3.7designs.co/blog/2009/01/03/the-gutenburg-diagram-in-design/)</v>
      </c>
    </row>
    <row r="140">
      <c r="A140" s="9" t="s">
        <v>264</v>
      </c>
      <c r="B140" s="9" t="s">
        <v>274</v>
      </c>
      <c r="C140" s="9" t="s">
        <v>94</v>
      </c>
      <c r="D140" s="9" t="s">
        <v>12</v>
      </c>
      <c r="E140" s="10" t="s">
        <v>275</v>
      </c>
      <c r="F140" s="10" t="str">
        <f>IFERROR(__xludf.DUMMYFUNCTION("GOOGLETRANSLATE(E140,""en"", ""ja"")"),"ボタンは、アクションを実行するために使用されるクリック可能なアイテムです。ページで推奨されるアクションをプライマリボタンにすることをお勧めします。一般に、ボタンには常にこれらの5つのステータスがあります：通常、ホバー、クリック、焦点、無効化。")</f>
        <v>ボタンは、アクションを実行するために使用されるクリック可能なアイテムです。ページで推奨されるアクションをプライマリボタンにすることをお勧めします。一般に、ボタンには常にこれらの5つのステータスがあります：通常、ホバー、クリック、焦点、無効化。</v>
      </c>
      <c r="G140" s="10" t="str">
        <f>IFERROR(__xludf.DUMMYFUNCTION("GOOGLETRANSLATE(E140,""en"",""zh-cn"")"),"按钮是可单击的项目，用于执行操作。最好将页面上的建议操作作为主按钮。通常，按钮始终具有这五个状态：正常，悬停，单击，集中和禁用。")</f>
        <v>按钮是可单击的项目，用于执行操作。最好将页面上的建议操作作为主按钮。通常，按钮始终具有这五个状态：正常，悬停，单击，集中和禁用。</v>
      </c>
      <c r="H140" s="10" t="str">
        <f>IFERROR(__xludf.DUMMYFUNCTION("GOOGLETRANSLATE(E140,""en"",""fr"")"),"Les boutons sont des éléments cliquables utilisés pour effectuer une action. Il est préférable de faire de l'action recommandée sur la page pour être le bouton principal. En général, un bouton a toujours ces cinq statuts: normal, survole, cliqué, concentr"&amp;"é et désactivé.")</f>
        <v>Les boutons sont des éléments cliquables utilisés pour effectuer une action. Il est préférable de faire de l'action recommandée sur la page pour être le bouton principal. En général, un bouton a toujours ces cinq statuts: normal, survole, cliqué, concentré et désactivé.</v>
      </c>
      <c r="I140" s="10" t="str">
        <f>IFERROR(__xludf.DUMMYFUNCTION("GOOGLETRANSLATE(E140,""en"",""de"")"),"Schaltflächen sind anklickbare Elemente, die zur Ausführung einer Aktion verwendet werden. Es ist besser, die empfohlene Aktion auf der Seite als primäre Schaltfläche zu erstellen. Im Allgemeinen hat eine Schaltfläche immer diese fünf Status: normal, schw"&amp;"eben, klickte, fokussiert und behindert.")</f>
        <v>Schaltflächen sind anklickbare Elemente, die zur Ausführung einer Aktion verwendet werden. Es ist besser, die empfohlene Aktion auf der Seite als primäre Schaltfläche zu erstellen. Im Allgemeinen hat eine Schaltfläche immer diese fünf Status: normal, schweben, klickte, fokussiert und behindert.</v>
      </c>
    </row>
    <row r="141">
      <c r="A141" s="9" t="s">
        <v>264</v>
      </c>
      <c r="B141" s="9" t="s">
        <v>276</v>
      </c>
      <c r="C141" s="9" t="s">
        <v>94</v>
      </c>
      <c r="D141" s="9" t="s">
        <v>12</v>
      </c>
      <c r="E141" s="10" t="s">
        <v>277</v>
      </c>
      <c r="F141" s="10" t="str">
        <f>IFERROR(__xludf.DUMMYFUNCTION("GOOGLETRANSLATE(E141,""en"", ""ja"")"),"通常のボタン")</f>
        <v>通常のボタン</v>
      </c>
      <c r="G141" s="10" t="str">
        <f>IFERROR(__xludf.DUMMYFUNCTION("GOOGLETRANSLATE(E141,""en"",""zh-cn"")"),"普通按钮")</f>
        <v>普通按钮</v>
      </c>
      <c r="H141" s="10" t="str">
        <f>IFERROR(__xludf.DUMMYFUNCTION("GOOGLETRANSLATE(E141,""en"",""fr"")"),"Bouton normal")</f>
        <v>Bouton normal</v>
      </c>
      <c r="I141" s="10" t="str">
        <f>IFERROR(__xludf.DUMMYFUNCTION("GOOGLETRANSLATE(E141,""en"",""de"")"),"Normale Taste")</f>
        <v>Normale Taste</v>
      </c>
    </row>
    <row r="142">
      <c r="A142" s="9" t="s">
        <v>264</v>
      </c>
      <c r="B142" s="9" t="s">
        <v>278</v>
      </c>
      <c r="C142" s="9" t="s">
        <v>94</v>
      </c>
      <c r="D142" s="9" t="s">
        <v>12</v>
      </c>
      <c r="E142" s="10" t="s">
        <v>279</v>
      </c>
      <c r="F142" s="10" t="str">
        <f>IFERROR(__xludf.DUMMYFUNCTION("GOOGLETRANSLATE(E142,""en"", ""ja"")"),"概要")</f>
        <v>概要</v>
      </c>
      <c r="G142" s="10" t="str">
        <f>IFERROR(__xludf.DUMMYFUNCTION("GOOGLETRANSLATE(E142,""en"",""zh-cn"")"),"大纲")</f>
        <v>大纲</v>
      </c>
      <c r="H142" s="10" t="str">
        <f>IFERROR(__xludf.DUMMYFUNCTION("GOOGLETRANSLATE(E142,""en"",""fr"")"),"Contour")</f>
        <v>Contour</v>
      </c>
      <c r="I142" s="10" t="str">
        <f>IFERROR(__xludf.DUMMYFUNCTION("GOOGLETRANSLATE(E142,""en"",""de"")"),"Gliederung")</f>
        <v>Gliederung</v>
      </c>
    </row>
    <row r="143">
      <c r="A143" s="9" t="s">
        <v>264</v>
      </c>
      <c r="B143" s="9" t="s">
        <v>280</v>
      </c>
      <c r="C143" s="9" t="s">
        <v>94</v>
      </c>
      <c r="D143" s="9" t="s">
        <v>12</v>
      </c>
      <c r="E143" s="9" t="s">
        <v>281</v>
      </c>
      <c r="F143" s="10" t="str">
        <f>IFERROR(__xludf.DUMMYFUNCTION("GOOGLETRANSLATE(E143,""en"", ""ja"")"),"塗りつぶされたボタン")</f>
        <v>塗りつぶされたボタン</v>
      </c>
      <c r="G143" s="10" t="str">
        <f>IFERROR(__xludf.DUMMYFUNCTION("GOOGLETRANSLATE(E143,""en"",""zh-cn"")"),"填充按钮")</f>
        <v>填充按钮</v>
      </c>
      <c r="H143" s="10" t="str">
        <f>IFERROR(__xludf.DUMMYFUNCTION("GOOGLETRANSLATE(E143,""en"",""fr"")"),"Bouton rempli")</f>
        <v>Bouton rempli</v>
      </c>
      <c r="I143" s="10" t="str">
        <f>IFERROR(__xludf.DUMMYFUNCTION("GOOGLETRANSLATE(E143,""en"",""de"")"),"Gefüllte Taste")</f>
        <v>Gefüllte Taste</v>
      </c>
    </row>
    <row r="144">
      <c r="A144" s="9" t="s">
        <v>264</v>
      </c>
      <c r="B144" s="9" t="s">
        <v>282</v>
      </c>
      <c r="C144" s="9" t="s">
        <v>94</v>
      </c>
      <c r="D144" s="9" t="s">
        <v>12</v>
      </c>
      <c r="E144" s="10" t="s">
        <v>283</v>
      </c>
      <c r="F144" s="10" t="str">
        <f>IFERROR(__xludf.DUMMYFUNCTION("GOOGLETRANSLATE(E144,""en"", ""ja"")"),"打ち砕かれたボタン")</f>
        <v>打ち砕かれたボタン</v>
      </c>
      <c r="G144" s="10" t="str">
        <f>IFERROR(__xludf.DUMMYFUNCTION("GOOGLETRANSLATE(E144,""en"",""zh-cn"")"),"虚线按钮")</f>
        <v>虚线按钮</v>
      </c>
      <c r="H144" s="10" t="str">
        <f>IFERROR(__xludf.DUMMYFUNCTION("GOOGLETRANSLATE(E144,""en"",""fr"")"),"Bouton en pointillé")</f>
        <v>Bouton en pointillé</v>
      </c>
      <c r="I144" s="10" t="str">
        <f>IFERROR(__xludf.DUMMYFUNCTION("GOOGLETRANSLATE(E144,""en"",""de"")"),"Gestrichelte Taste")</f>
        <v>Gestrichelte Taste</v>
      </c>
    </row>
    <row r="145">
      <c r="A145" s="9" t="s">
        <v>264</v>
      </c>
      <c r="B145" s="9" t="s">
        <v>284</v>
      </c>
      <c r="C145" s="9" t="s">
        <v>94</v>
      </c>
      <c r="D145" s="9" t="s">
        <v>12</v>
      </c>
      <c r="E145" s="10" t="s">
        <v>285</v>
      </c>
      <c r="F145" s="10" t="str">
        <f>IFERROR(__xludf.DUMMYFUNCTION("GOOGLETRANSLATE(E145,""en"", ""ja"")"),"リンクボタン")</f>
        <v>リンクボタン</v>
      </c>
      <c r="G145" s="10" t="str">
        <f>IFERROR(__xludf.DUMMYFUNCTION("GOOGLETRANSLATE(E145,""en"",""zh-cn"")"),"链接按钮")</f>
        <v>链接按钮</v>
      </c>
      <c r="H145" s="10" t="str">
        <f>IFERROR(__xludf.DUMMYFUNCTION("GOOGLETRANSLATE(E145,""en"",""fr"")"),"Bouton de liaison")</f>
        <v>Bouton de liaison</v>
      </c>
      <c r="I145" s="10" t="str">
        <f>IFERROR(__xludf.DUMMYFUNCTION("GOOGLETRANSLATE(E145,""en"",""de"")"),"Link -Taste")</f>
        <v>Link -Taste</v>
      </c>
    </row>
    <row r="146">
      <c r="A146" s="9" t="s">
        <v>264</v>
      </c>
      <c r="B146" s="9" t="s">
        <v>286</v>
      </c>
      <c r="C146" s="9" t="s">
        <v>94</v>
      </c>
      <c r="D146" s="9" t="s">
        <v>12</v>
      </c>
      <c r="E146" s="10" t="s">
        <v>287</v>
      </c>
      <c r="F146" s="10" t="str">
        <f>IFERROR(__xludf.DUMMYFUNCTION("GOOGLETRANSLATE(E146,""en"", ""ja"")"),"無効にします")</f>
        <v>無効にします</v>
      </c>
      <c r="G146" s="10" t="str">
        <f>IFERROR(__xludf.DUMMYFUNCTION("GOOGLETRANSLATE(E146,""en"",""zh-cn"")"),"禁用")</f>
        <v>禁用</v>
      </c>
      <c r="H146" s="10" t="str">
        <f>IFERROR(__xludf.DUMMYFUNCTION("GOOGLETRANSLATE(E146,""en"",""fr"")"),"Désactiver")</f>
        <v>Désactiver</v>
      </c>
      <c r="I146" s="10" t="str">
        <f>IFERROR(__xludf.DUMMYFUNCTION("GOOGLETRANSLATE(E146,""en"",""de"")"),"Deaktivieren")</f>
        <v>Deaktivieren</v>
      </c>
    </row>
    <row r="147">
      <c r="A147" s="9" t="s">
        <v>264</v>
      </c>
      <c r="B147" s="9" t="s">
        <v>288</v>
      </c>
      <c r="C147" s="9" t="s">
        <v>94</v>
      </c>
      <c r="D147" s="9" t="s">
        <v>12</v>
      </c>
      <c r="E147" s="10" t="s">
        <v>289</v>
      </c>
      <c r="F147" s="10" t="str">
        <f>IFERROR(__xludf.DUMMYFUNCTION("GOOGLETRANSLATE(E147,""en"", ""ja"")"),"無効なボタンに集中できるようにします")</f>
        <v>無効なボタンに集中できるようにします</v>
      </c>
      <c r="G147" s="10" t="str">
        <f>IFERROR(__xludf.DUMMYFUNCTION("GOOGLETRANSLATE(E147,""en"",""zh-cn"")"),"启用专注于残疾按钮")</f>
        <v>启用专注于残疾按钮</v>
      </c>
      <c r="H147" s="10" t="str">
        <f>IFERROR(__xludf.DUMMYFUNCTION("GOOGLETRANSLATE(E147,""en"",""fr"")"),"Activer la mise au point sur les boutons désactivés")</f>
        <v>Activer la mise au point sur les boutons désactivés</v>
      </c>
      <c r="I147" s="10" t="str">
        <f>IFERROR(__xludf.DUMMYFUNCTION("GOOGLETRANSLATE(E147,""en"",""de"")"),"Aktivieren Sie die Fokussierung auf deaktivierte Schaltflächen")</f>
        <v>Aktivieren Sie die Fokussierung auf deaktivierte Schaltflächen</v>
      </c>
    </row>
    <row r="148">
      <c r="A148" s="9" t="s">
        <v>264</v>
      </c>
      <c r="B148" s="9" t="s">
        <v>98</v>
      </c>
      <c r="C148" s="9" t="s">
        <v>94</v>
      </c>
      <c r="D148" s="9" t="s">
        <v>12</v>
      </c>
      <c r="E148" s="10" t="s">
        <v>290</v>
      </c>
      <c r="F148" s="10" t="str">
        <f>IFERROR(__xludf.DUMMYFUNCTION("GOOGLETRANSLATE(E148,""en"", ""ja"")"),"アイコンボタン")</f>
        <v>アイコンボタン</v>
      </c>
      <c r="G148" s="10" t="str">
        <f>IFERROR(__xludf.DUMMYFUNCTION("GOOGLETRANSLATE(E148,""en"",""zh-cn"")"),"图标按钮")</f>
        <v>图标按钮</v>
      </c>
      <c r="H148" s="10" t="str">
        <f>IFERROR(__xludf.DUMMYFUNCTION("GOOGLETRANSLATE(E148,""en"",""fr"")"),"Bouton d'icône")</f>
        <v>Bouton d'icône</v>
      </c>
      <c r="I148" s="10" t="str">
        <f>IFERROR(__xludf.DUMMYFUNCTION("GOOGLETRANSLATE(E148,""en"",""de"")"),"Symbolknopf")</f>
        <v>Symbolknopf</v>
      </c>
    </row>
    <row r="149">
      <c r="A149" s="9" t="s">
        <v>264</v>
      </c>
      <c r="B149" s="9" t="s">
        <v>291</v>
      </c>
      <c r="C149" s="9" t="s">
        <v>94</v>
      </c>
      <c r="D149" s="9" t="s">
        <v>12</v>
      </c>
      <c r="E149" s="9" t="s">
        <v>292</v>
      </c>
      <c r="F149" s="10" t="str">
        <f>IFERROR(__xludf.DUMMYFUNCTION("GOOGLETRANSLATE(E149,""en"", ""ja"")"),"コンテキストメニュー")</f>
        <v>コンテキストメニュー</v>
      </c>
      <c r="G149" s="10" t="str">
        <f>IFERROR(__xludf.DUMMYFUNCTION("GOOGLETRANSLATE(E149,""en"",""zh-cn"")"),"上下文菜单")</f>
        <v>上下文菜单</v>
      </c>
      <c r="H149" s="10" t="str">
        <f>IFERROR(__xludf.DUMMYFUNCTION("GOOGLETRANSLATE(E149,""en"",""fr"")"),"Menu contextuel")</f>
        <v>Menu contextuel</v>
      </c>
      <c r="I149" s="10" t="str">
        <f>IFERROR(__xludf.DUMMYFUNCTION("GOOGLETRANSLATE(E149,""en"",""de"")"),"Kontextmenü")</f>
        <v>Kontextmenü</v>
      </c>
    </row>
    <row r="150">
      <c r="A150" s="9" t="s">
        <v>264</v>
      </c>
      <c r="B150" s="9" t="s">
        <v>44</v>
      </c>
      <c r="C150" s="9" t="s">
        <v>94</v>
      </c>
      <c r="D150" s="9" t="s">
        <v>12</v>
      </c>
      <c r="E150" s="10" t="s">
        <v>45</v>
      </c>
      <c r="F150" s="10" t="str">
        <f>IFERROR(__xludf.DUMMYFUNCTION("GOOGLETRANSLATE(E150,""en"", ""ja"")"),"読み込み")</f>
        <v>読み込み</v>
      </c>
      <c r="G150" s="10" t="str">
        <f>IFERROR(__xludf.DUMMYFUNCTION("GOOGLETRANSLATE(E150,""en"",""zh-cn"")"),"加载中")</f>
        <v>加载中</v>
      </c>
      <c r="H150" s="10" t="str">
        <f>IFERROR(__xludf.DUMMYFUNCTION("GOOGLETRANSLATE(E150,""en"",""fr"")"),"Chargement")</f>
        <v>Chargement</v>
      </c>
      <c r="I150" s="10" t="str">
        <f>IFERROR(__xludf.DUMMYFUNCTION("GOOGLETRANSLATE(E150,""en"",""de"")"),"Wird geladen")</f>
        <v>Wird geladen</v>
      </c>
    </row>
    <row r="151">
      <c r="A151" s="9" t="s">
        <v>264</v>
      </c>
      <c r="B151" s="9" t="s">
        <v>293</v>
      </c>
      <c r="C151" s="9" t="s">
        <v>94</v>
      </c>
      <c r="D151" s="9" t="s">
        <v>12</v>
      </c>
      <c r="E151" s="10" t="s">
        <v>294</v>
      </c>
      <c r="F151" s="10" t="str">
        <f>IFERROR(__xludf.DUMMYFUNCTION("GOOGLETRANSLATE(E151,""en"", ""ja"")"),"このボタンは、無効プロパティを設定するため無効になっています")</f>
        <v>このボタンは、無効プロパティを設定するため無効になっています</v>
      </c>
      <c r="G151" s="10" t="str">
        <f>IFERROR(__xludf.DUMMYFUNCTION("GOOGLETRANSLATE(E151,""en"",""zh-cn"")"),"此按钮被禁用，因为我们设置了禁用的属性")</f>
        <v>此按钮被禁用，因为我们设置了禁用的属性</v>
      </c>
      <c r="H151" s="10" t="str">
        <f>IFERROR(__xludf.DUMMYFUNCTION("GOOGLETRANSLATE(E151,""en"",""fr"")"),"Ce bouton est désactivé car nous définissons la propriété désactivée")</f>
        <v>Ce bouton est désactivé car nous définissons la propriété désactivée</v>
      </c>
      <c r="I151" s="10" t="str">
        <f>IFERROR(__xludf.DUMMYFUNCTION("GOOGLETRANSLATE(E151,""en"",""de"")"),"Diese Schaltfläche ist deaktiviert, da wir deaktivierte Eigenschaften festgelegt haben")</f>
        <v>Diese Schaltfläche ist deaktiviert, da wir deaktivierte Eigenschaften festgelegt haben</v>
      </c>
    </row>
    <row r="152">
      <c r="A152" s="9" t="s">
        <v>264</v>
      </c>
      <c r="B152" s="9" t="s">
        <v>295</v>
      </c>
      <c r="C152" s="9" t="s">
        <v>94</v>
      </c>
      <c r="D152" s="9" t="s">
        <v>12</v>
      </c>
      <c r="E152" s="10" t="s">
        <v>296</v>
      </c>
      <c r="F152" s="10" t="str">
        <f>IFERROR(__xludf.DUMMYFUNCTION("GOOGLETRANSLATE(E152,""en"", ""ja"")"),"メールメッセージ")</f>
        <v>メールメッセージ</v>
      </c>
      <c r="G152" s="10" t="str">
        <f>IFERROR(__xludf.DUMMYFUNCTION("GOOGLETRANSLATE(E152,""en"",""zh-cn"")"),"电子邮件")</f>
        <v>电子邮件</v>
      </c>
      <c r="H152" s="10" t="str">
        <f>IFERROR(__xludf.DUMMYFUNCTION("GOOGLETRANSLATE(E152,""en"",""fr"")"),"Message électronique")</f>
        <v>Message électronique</v>
      </c>
      <c r="I152" s="10" t="str">
        <f>IFERROR(__xludf.DUMMYFUNCTION("GOOGLETRANSLATE(E152,""en"",""de"")"),"E-Mail Nachricht")</f>
        <v>E-Mail Nachricht</v>
      </c>
    </row>
    <row r="153">
      <c r="A153" s="9" t="s">
        <v>264</v>
      </c>
      <c r="B153" s="9" t="s">
        <v>140</v>
      </c>
      <c r="C153" s="9" t="s">
        <v>94</v>
      </c>
      <c r="D153" s="9" t="s">
        <v>12</v>
      </c>
      <c r="E153" s="9" t="s">
        <v>297</v>
      </c>
      <c r="F153" s="10" t="str">
        <f>IFERROR(__xludf.DUMMYFUNCTION("GOOGLETRANSLATE(E153,""en"", ""ja"")"),"カレンダーイベント")</f>
        <v>カレンダーイベント</v>
      </c>
      <c r="G153" s="10" t="str">
        <f>IFERROR(__xludf.DUMMYFUNCTION("GOOGLETRANSLATE(E153,""en"",""zh-cn"")"),"日历事件")</f>
        <v>日历事件</v>
      </c>
      <c r="H153" s="10" t="str">
        <f>IFERROR(__xludf.DUMMYFUNCTION("GOOGLETRANSLATE(E153,""en"",""fr"")"),"Événement de calendrier")</f>
        <v>Événement de calendrier</v>
      </c>
      <c r="I153" s="10" t="str">
        <f>IFERROR(__xludf.DUMMYFUNCTION("GOOGLETRANSLATE(E153,""en"",""de"")"),"Kalenderereignis")</f>
        <v>Kalenderereignis</v>
      </c>
    </row>
    <row r="154">
      <c r="A154" s="9" t="s">
        <v>264</v>
      </c>
      <c r="B154" s="9" t="s">
        <v>298</v>
      </c>
      <c r="C154" s="9" t="s">
        <v>94</v>
      </c>
      <c r="D154" s="9" t="s">
        <v>12</v>
      </c>
      <c r="E154" s="10" t="s">
        <v>299</v>
      </c>
      <c r="F154" s="10" t="str">
        <f>IFERROR(__xludf.DUMMYFUNCTION("GOOGLETRANSLATE(E154,""en"", ""ja"")"),"ミーティング")</f>
        <v>ミーティング</v>
      </c>
      <c r="G154" s="10" t="str">
        <f>IFERROR(__xludf.DUMMYFUNCTION("GOOGLETRANSLATE(E154,""en"",""zh-cn"")"),"会议")</f>
        <v>会议</v>
      </c>
      <c r="H154" s="10" t="str">
        <f>IFERROR(__xludf.DUMMYFUNCTION("GOOGLETRANSLATE(E154,""en"",""fr"")"),"Réunion")</f>
        <v>Réunion</v>
      </c>
      <c r="I154" s="10" t="str">
        <f>IFERROR(__xludf.DUMMYFUNCTION("GOOGLETRANSLATE(E154,""en"",""de"")"),"Treffen")</f>
        <v>Treffen</v>
      </c>
    </row>
    <row r="155">
      <c r="A155" s="9" t="s">
        <v>264</v>
      </c>
      <c r="B155" s="9" t="s">
        <v>300</v>
      </c>
      <c r="C155" s="9" t="s">
        <v>94</v>
      </c>
      <c r="D155" s="9" t="s">
        <v>12</v>
      </c>
      <c r="E155" s="10" t="s">
        <v>301</v>
      </c>
      <c r="F155" s="10" t="str">
        <f>IFERROR(__xludf.DUMMYFUNCTION("GOOGLETRANSLATE(E155,""en"", ""ja"")"),"起動する")</f>
        <v>起動する</v>
      </c>
      <c r="G155" s="10" t="str">
        <f>IFERROR(__xludf.DUMMYFUNCTION("GOOGLETRANSLATE(E155,""en"",""zh-cn"")"),"启动")</f>
        <v>启动</v>
      </c>
      <c r="H155" s="10" t="str">
        <f>IFERROR(__xludf.DUMMYFUNCTION("GOOGLETRANSLATE(E155,""en"",""fr"")"),"Démarrer")</f>
        <v>Démarrer</v>
      </c>
      <c r="I155" s="10" t="str">
        <f>IFERROR(__xludf.DUMMYFUNCTION("GOOGLETRANSLATE(E155,""en"",""de"")"),"Start-up")</f>
        <v>Start-up</v>
      </c>
    </row>
    <row r="156">
      <c r="A156" s="9" t="s">
        <v>264</v>
      </c>
      <c r="B156" s="9" t="s">
        <v>302</v>
      </c>
      <c r="C156" s="9" t="s">
        <v>94</v>
      </c>
      <c r="D156" s="9" t="s">
        <v>12</v>
      </c>
      <c r="E156" s="10" t="s">
        <v>303</v>
      </c>
      <c r="F156" s="10" t="str">
        <f>IFERROR(__xludf.DUMMYFUNCTION("GOOGLETRANSLATE(E156,""en"", ""ja"")"),"ボタングループ")</f>
        <v>ボタングループ</v>
      </c>
      <c r="G156" s="10" t="str">
        <f>IFERROR(__xludf.DUMMYFUNCTION("GOOGLETRANSLATE(E156,""en"",""zh-cn"")"),"按钮组")</f>
        <v>按钮组</v>
      </c>
      <c r="H156" s="10" t="str">
        <f>IFERROR(__xludf.DUMMYFUNCTION("GOOGLETRANSLATE(E156,""en"",""fr"")"),"Groupe de boutons")</f>
        <v>Groupe de boutons</v>
      </c>
      <c r="I156" s="10" t="str">
        <f>IFERROR(__xludf.DUMMYFUNCTION("GOOGLETRANSLATE(E156,""en"",""de"")"),"Knopfgruppe")</f>
        <v>Knopfgruppe</v>
      </c>
    </row>
    <row r="157">
      <c r="A157" s="9" t="s">
        <v>264</v>
      </c>
      <c r="B157" s="9" t="s">
        <v>304</v>
      </c>
      <c r="C157" s="9" t="s">
        <v>94</v>
      </c>
      <c r="D157" s="9" t="s">
        <v>12</v>
      </c>
      <c r="E157" s="10" t="s">
        <v>305</v>
      </c>
      <c r="F157" s="10" t="str">
        <f>IFERROR(__xludf.DUMMYFUNCTION("GOOGLETRANSLATE(E157,""en"", ""ja"")"),"忙しいトグル")</f>
        <v>忙しいトグル</v>
      </c>
      <c r="G157" s="10" t="str">
        <f>IFERROR(__xludf.DUMMYFUNCTION("GOOGLETRANSLATE(E157,""en"",""zh-cn"")"),"切换忙")</f>
        <v>切换忙</v>
      </c>
      <c r="H157" s="10" t="str">
        <f>IFERROR(__xludf.DUMMYFUNCTION("GOOGLETRANSLATE(E157,""en"",""fr"")"),"Basculer")</f>
        <v>Basculer</v>
      </c>
      <c r="I157" s="10" t="str">
        <f>IFERROR(__xludf.DUMMYFUNCTION("GOOGLETRANSLATE(E157,""en"",""de"")"),"Umschalten beschäftigt")</f>
        <v>Umschalten beschäftigt</v>
      </c>
    </row>
    <row r="158">
      <c r="A158" s="11"/>
      <c r="B158" s="11"/>
      <c r="C158" s="11"/>
      <c r="D158" s="11"/>
      <c r="E158" s="11"/>
      <c r="F158" s="11"/>
      <c r="G158" s="11"/>
      <c r="H158" s="11"/>
      <c r="I158" s="11"/>
    </row>
    <row r="159">
      <c r="A159" s="9" t="s">
        <v>306</v>
      </c>
      <c r="B159" s="9" t="s">
        <v>209</v>
      </c>
      <c r="C159" s="9" t="s">
        <v>96</v>
      </c>
      <c r="D159" s="9" t="s">
        <v>12</v>
      </c>
      <c r="E159" s="10" t="s">
        <v>97</v>
      </c>
      <c r="F159" s="10" t="str">
        <f>IFERROR(__xludf.DUMMYFUNCTION("GOOGLETRANSLATE(E159,""en"", ""ja"")"),"アイコンギャラリー")</f>
        <v>アイコンギャラリー</v>
      </c>
      <c r="G159" s="10" t="str">
        <f>IFERROR(__xludf.DUMMYFUNCTION("GOOGLETRANSLATE(E159,""en"",""zh-cn"")"),"图标画廊")</f>
        <v>图标画廊</v>
      </c>
      <c r="H159" s="10" t="str">
        <f>IFERROR(__xludf.DUMMYFUNCTION("GOOGLETRANSLATE(E159,""en"",""fr"")"),"Galerie d'icônes")</f>
        <v>Galerie d'icônes</v>
      </c>
      <c r="I159" s="10" t="str">
        <f>IFERROR(__xludf.DUMMYFUNCTION("GOOGLETRANSLATE(E159,""en"",""de"")"),"Icon Gallery")</f>
        <v>Icon Gallery</v>
      </c>
    </row>
    <row r="160">
      <c r="A160" s="9" t="s">
        <v>306</v>
      </c>
      <c r="B160" s="9" t="s">
        <v>210</v>
      </c>
      <c r="C160" s="9" t="s">
        <v>96</v>
      </c>
      <c r="D160" s="9" t="s">
        <v>12</v>
      </c>
      <c r="E160" s="9" t="s">
        <v>307</v>
      </c>
      <c r="F160" s="10" t="str">
        <f>IFERROR(__xludf.DUMMYFUNCTION("GOOGLETRANSLATE(E160,""en"", ""ja"")"),"これは、3種類すべてのフォントアイコンのプレビューリストです。 Allure FontはAvePointによってカスタマイズされ、Font AwesomeはFont Awesomeライブラリから引用されており、別のOffice UIファブリックアイコンはMicrosoft Fontライブラリです。")</f>
        <v>これは、3種類すべてのフォントアイコンのプレビューリストです。 Allure FontはAvePointによってカスタマイズされ、Font AwesomeはFont Awesomeライブラリから引用されており、別のOffice UIファブリックアイコンはMicrosoft Fontライブラリです。</v>
      </c>
      <c r="G160" s="10" t="str">
        <f>IFERROR(__xludf.DUMMYFUNCTION("GOOGLETRANSLATE(E160,""en"",""zh-cn"")"),"这是所有三种字体图标的预览列表。 Allure字体是由Avepoint自定义的，字体很棒在字体Awesome库中引用，另一个Office UI Fabric Icons是Microsoft字体库。")</f>
        <v>这是所有三种字体图标的预览列表。 Allure字体是由Avepoint自定义的，字体很棒在字体Awesome库中引用，另一个Office UI Fabric Icons是Microsoft字体库。</v>
      </c>
      <c r="H160" s="10" t="str">
        <f>IFERROR(__xludf.DUMMYFUNCTION("GOOGLETRANSLATE(E160,""en"",""fr"")"),"Il s'agit d'une liste d'aperçu des trois types d'icônes de police. ALLURE FONT est personnalisé par AvePoint, Font Awesome est cité dans la bibliothèque de Font Awesome, et une autre bibliothèque de tissus d'interface utilisateur de bureau est la biblioth"&amp;"èque de police Microsoft.")</f>
        <v>Il s'agit d'une liste d'aperçu des trois types d'icônes de police. ALLURE FONT est personnalisé par AvePoint, Font Awesome est cité dans la bibliothèque de Font Awesome, et une autre bibliothèque de tissus d'interface utilisateur de bureau est la bibliothèque de police Microsoft.</v>
      </c>
      <c r="I160" s="10" t="str">
        <f>IFERROR(__xludf.DUMMYFUNCTION("GOOGLETRANSLATE(E160,""en"",""de"")"),"Dies ist eine Vorschau -Liste aller drei Arten von Schriftarten. Allure Font wird von AVepoint angepasst, Font Awesome wird aus der Font Awesome Library zitiert, und ein weiteres Büro -UI -Stoff -Symbole ist die Microsoft Font Library.")</f>
        <v>Dies ist eine Vorschau -Liste aller drei Arten von Schriftarten. Allure Font wird von AVepoint angepasst, Font Awesome wird aus der Font Awesome Library zitiert, und ein weiteres Büro -UI -Stoff -Symbole ist die Microsoft Font Library.</v>
      </c>
    </row>
    <row r="161">
      <c r="A161" s="9" t="s">
        <v>306</v>
      </c>
      <c r="B161" s="9" t="s">
        <v>308</v>
      </c>
      <c r="C161" s="9" t="s">
        <v>96</v>
      </c>
      <c r="D161" s="9" t="s">
        <v>12</v>
      </c>
      <c r="E161" s="10" t="s">
        <v>309</v>
      </c>
      <c r="F161" s="10" t="str">
        <f>IFERROR(__xludf.DUMMYFUNCTION("GOOGLETRANSLATE(E161,""en"", ""ja"")"),"これらはすべて、さまざまなシナリオに従って設計で使用できます。")</f>
        <v>これらはすべて、さまざまなシナリオに従って設計で使用できます。</v>
      </c>
      <c r="G161" s="10" t="str">
        <f>IFERROR(__xludf.DUMMYFUNCTION("GOOGLETRANSLATE(E161,""en"",""zh-cn"")"),"它们都可以根据不同的情况在设计中使用。")</f>
        <v>它们都可以根据不同的情况在设计中使用。</v>
      </c>
      <c r="H161" s="10" t="str">
        <f>IFERROR(__xludf.DUMMYFUNCTION("GOOGLETRANSLATE(E161,""en"",""fr"")"),"Ils peuvent tous être utilisés dans la conception en fonction de différents scénarios.")</f>
        <v>Ils peuvent tous être utilisés dans la conception en fonction de différents scénarios.</v>
      </c>
      <c r="I161" s="10" t="str">
        <f>IFERROR(__xludf.DUMMYFUNCTION("GOOGLETRANSLATE(E161,""en"",""de"")"),"Sie alle können im Design nach verschiedenen Szenarien verwendet werden.")</f>
        <v>Sie alle können im Design nach verschiedenen Szenarien verwendet werden.</v>
      </c>
    </row>
    <row r="162">
      <c r="A162" s="9" t="s">
        <v>306</v>
      </c>
      <c r="B162" s="9" t="s">
        <v>24</v>
      </c>
      <c r="C162" s="9" t="s">
        <v>96</v>
      </c>
      <c r="D162" s="9" t="s">
        <v>12</v>
      </c>
      <c r="E162" s="10" t="s">
        <v>310</v>
      </c>
      <c r="F162" s="10" t="str">
        <f>IFERROR(__xludf.DUMMYFUNCTION("GOOGLETRANSLATE(E162,""en"", ""ja"")"),"検索...")</f>
        <v>検索...</v>
      </c>
      <c r="G162" s="10" t="str">
        <f>IFERROR(__xludf.DUMMYFUNCTION("GOOGLETRANSLATE(E162,""en"",""zh-cn"")"),"搜索...")</f>
        <v>搜索...</v>
      </c>
      <c r="H162" s="10" t="str">
        <f>IFERROR(__xludf.DUMMYFUNCTION("GOOGLETRANSLATE(E162,""en"",""fr"")"),"Recherche...")</f>
        <v>Recherche...</v>
      </c>
      <c r="I162" s="10" t="str">
        <f>IFERROR(__xludf.DUMMYFUNCTION("GOOGLETRANSLATE(E162,""en"",""de"")"),"Suchen...")</f>
        <v>Suchen...</v>
      </c>
    </row>
    <row r="163">
      <c r="A163" s="11"/>
      <c r="B163" s="11"/>
      <c r="C163" s="11"/>
      <c r="D163" s="11"/>
      <c r="E163" s="11"/>
      <c r="F163" s="11"/>
      <c r="G163" s="11"/>
      <c r="H163" s="11"/>
      <c r="I163" s="11"/>
    </row>
    <row r="164">
      <c r="A164" s="9" t="s">
        <v>311</v>
      </c>
      <c r="B164" s="9" t="s">
        <v>209</v>
      </c>
      <c r="C164" s="9" t="s">
        <v>98</v>
      </c>
      <c r="D164" s="9" t="s">
        <v>12</v>
      </c>
      <c r="E164" s="10" t="s">
        <v>99</v>
      </c>
      <c r="F164" s="10" t="str">
        <f>IFERROR(__xludf.DUMMYFUNCTION("GOOGLETRANSLATE(E164,""en"", ""ja"")"),"アイコン")</f>
        <v>アイコン</v>
      </c>
      <c r="G164" s="10" t="str">
        <f>IFERROR(__xludf.DUMMYFUNCTION("GOOGLETRANSLATE(E164,""en"",""zh-cn"")"),"图标")</f>
        <v>图标</v>
      </c>
      <c r="H164" s="10" t="str">
        <f>IFERROR(__xludf.DUMMYFUNCTION("GOOGLETRANSLATE(E164,""en"",""fr"")"),"Icône")</f>
        <v>Icône</v>
      </c>
      <c r="I164" s="10" t="str">
        <f>IFERROR(__xludf.DUMMYFUNCTION("GOOGLETRANSLATE(E164,""en"",""de"")"),"Symbol")</f>
        <v>Symbol</v>
      </c>
    </row>
    <row r="165">
      <c r="A165" s="9" t="s">
        <v>311</v>
      </c>
      <c r="B165" s="9" t="s">
        <v>210</v>
      </c>
      <c r="C165" s="9" t="s">
        <v>98</v>
      </c>
      <c r="D165" s="9" t="s">
        <v>12</v>
      </c>
      <c r="E165" s="10" t="s">
        <v>312</v>
      </c>
      <c r="F165" s="10" t="str">
        <f>IFERROR(__xludf.DUMMYFUNCTION("GOOGLETRANSLATE(E165,""en"", ""ja"")"),"アイコンは視覚的なコンテキストを提供し、使いやすさを向上させます。多くの場合、アクションとして使用されます。使用可能なときにアイコンを表示します。それ以外の場合、それらは無効になります。アイコンにホバリングするときは、常にショーのフルネームを使用して、そのフルネームを表示するツールチップがあります。")</f>
        <v>アイコンは視覚的なコンテキストを提供し、使いやすさを向上させます。多くの場合、アクションとして使用されます。使用可能なときにアイコンを表示します。それ以外の場合、それらは無効になります。アイコンにホバリングするときは、常にショーのフルネームを使用して、そのフルネームを表示するツールチップがあります。</v>
      </c>
      <c r="G165" s="10" t="str">
        <f>IFERROR(__xludf.DUMMYFUNCTION("GOOGLETRANSLATE(E165,""en"",""zh-cn"")"),"图标提供视觉上下文并增强可用性。它通常被用作动作。可用时显示图标。否则，它们将被禁用。在图标上徘徊时始终使用显示全名，将有一个工具提示显示其全名。")</f>
        <v>图标提供视觉上下文并增强可用性。它通常被用作动作。可用时显示图标。否则，它们将被禁用。在图标上徘徊时始终使用显示全名，将有一个工具提示显示其全名。</v>
      </c>
      <c r="H165" s="10" t="str">
        <f>IFERROR(__xludf.DUMMYFUNCTION("GOOGLETRANSLATE(E165,""en"",""fr"")"),"L'icône fournit un contexte visuel et améliore la convivialité. Il est souvent utilisé comme action. Affichez l'icône lorsqu'elle est disponible. Sinon, ils seront handicapés. Utilisez toujours un nom complet de spectacle lors de la volonté d'une icône, i"&amp;"l y aura une infraction à outils pour afficher son nom complet.")</f>
        <v>L'icône fournit un contexte visuel et améliore la convivialité. Il est souvent utilisé comme action. Affichez l'icône lorsqu'elle est disponible. Sinon, ils seront handicapés. Utilisez toujours un nom complet de spectacle lors de la volonté d'une icône, il y aura une infraction à outils pour afficher son nom complet.</v>
      </c>
      <c r="I165" s="10" t="str">
        <f>IFERROR(__xludf.DUMMYFUNCTION("GOOGLETRANSLATE(E165,""en"",""de"")"),"Icon bietet einen visuellen Kontext und verbessert die Benutzerfreundlichkeit. Es wird oft als Aktion verwendet. Zeigen Sie das Symbol an, wenn es verfügbar ist. Andernfalls werden sie deaktiviert. Verwenden Sie immer einen vollständigen Namen, wenn Sie a"&amp;"uf einem Symbol schweben. Es gibt einen Tooltip, um den vollständigen Namen anzuzeigen.")</f>
        <v>Icon bietet einen visuellen Kontext und verbessert die Benutzerfreundlichkeit. Es wird oft als Aktion verwendet. Zeigen Sie das Symbol an, wenn es verfügbar ist. Andernfalls werden sie deaktiviert. Verwenden Sie immer einen vollständigen Namen, wenn Sie auf einem Symbol schweben. Es gibt einen Tooltip, um den vollständigen Namen anzuzeigen.</v>
      </c>
    </row>
    <row r="166">
      <c r="A166" s="9" t="s">
        <v>311</v>
      </c>
      <c r="B166" s="9" t="s">
        <v>313</v>
      </c>
      <c r="C166" s="9" t="s">
        <v>98</v>
      </c>
      <c r="D166" s="9" t="s">
        <v>12</v>
      </c>
      <c r="E166" s="10" t="s">
        <v>313</v>
      </c>
      <c r="F166" s="10" t="str">
        <f>IFERROR(__xludf.DUMMYFUNCTION("GOOGLETRANSLATE(E166,""en"", ""ja"")"),"無料")</f>
        <v>無料</v>
      </c>
      <c r="G166" s="10" t="str">
        <f>IFERROR(__xludf.DUMMYFUNCTION("GOOGLETRANSLATE(E166,""en"",""zh-cn"")"),"自由的")</f>
        <v>自由的</v>
      </c>
      <c r="H166" s="10" t="str">
        <f>IFERROR(__xludf.DUMMYFUNCTION("GOOGLETRANSLATE(E166,""en"",""fr"")"),"gratuit")</f>
        <v>gratuit</v>
      </c>
      <c r="I166" s="10" t="str">
        <f>IFERROR(__xludf.DUMMYFUNCTION("GOOGLETRANSLATE(E166,""en"",""de"")"),"frei")</f>
        <v>frei</v>
      </c>
    </row>
    <row r="167">
      <c r="A167" s="9" t="s">
        <v>311</v>
      </c>
      <c r="B167" s="9" t="s">
        <v>63</v>
      </c>
      <c r="C167" s="9" t="s">
        <v>98</v>
      </c>
      <c r="D167" s="9" t="s">
        <v>12</v>
      </c>
      <c r="E167" s="10" t="s">
        <v>314</v>
      </c>
      <c r="F167" s="10" t="str">
        <f>IFERROR(__xludf.DUMMYFUNCTION("GOOGLETRANSLATE(E167,""en"", ""ja"")"),"カスタムカラー付き")</f>
        <v>カスタムカラー付き</v>
      </c>
      <c r="G167" s="10" t="str">
        <f>IFERROR(__xludf.DUMMYFUNCTION("GOOGLETRANSLATE(E167,""en"",""zh-cn"")"),"具有自定义颜色")</f>
        <v>具有自定义颜色</v>
      </c>
      <c r="H167" s="10" t="str">
        <f>IFERROR(__xludf.DUMMYFUNCTION("GOOGLETRANSLATE(E167,""en"",""fr"")"),"avec une couleur personnalisée")</f>
        <v>avec une couleur personnalisée</v>
      </c>
      <c r="I167" s="10" t="str">
        <f>IFERROR(__xludf.DUMMYFUNCTION("GOOGLETRANSLATE(E167,""en"",""de"")"),"mit benutzerdefinierter Farbe")</f>
        <v>mit benutzerdefinierter Farbe</v>
      </c>
    </row>
    <row r="168">
      <c r="A168" s="11"/>
      <c r="B168" s="11"/>
      <c r="C168" s="11"/>
      <c r="D168" s="11"/>
      <c r="E168" s="11"/>
      <c r="F168" s="11"/>
      <c r="G168" s="11"/>
      <c r="H168" s="11"/>
      <c r="I168" s="11"/>
    </row>
    <row r="169">
      <c r="A169" s="9" t="s">
        <v>315</v>
      </c>
      <c r="B169" s="9" t="s">
        <v>209</v>
      </c>
      <c r="C169" s="9" t="s">
        <v>104</v>
      </c>
      <c r="D169" s="9" t="s">
        <v>12</v>
      </c>
      <c r="E169" s="10" t="s">
        <v>105</v>
      </c>
      <c r="F169" s="10" t="str">
        <f>IFERROR(__xludf.DUMMYFUNCTION("GOOGLETRANSLATE(E169,""en"", ""ja"")"),"タイポグラフィ")</f>
        <v>タイポグラフィ</v>
      </c>
      <c r="G169" s="10" t="str">
        <f>IFERROR(__xludf.DUMMYFUNCTION("GOOGLETRANSLATE(E169,""en"",""zh-cn"")"),"排版")</f>
        <v>排版</v>
      </c>
      <c r="H169" s="10" t="str">
        <f>IFERROR(__xludf.DUMMYFUNCTION("GOOGLETRANSLATE(E169,""en"",""fr"")"),"Typographie")</f>
        <v>Typographie</v>
      </c>
      <c r="I169" s="10" t="str">
        <f>IFERROR(__xludf.DUMMYFUNCTION("GOOGLETRANSLATE(E169,""en"",""de"")"),"Typografie")</f>
        <v>Typografie</v>
      </c>
    </row>
    <row r="170">
      <c r="A170" s="9" t="s">
        <v>315</v>
      </c>
      <c r="B170" s="9" t="s">
        <v>210</v>
      </c>
      <c r="C170" s="9" t="s">
        <v>104</v>
      </c>
      <c r="D170" s="9" t="s">
        <v>12</v>
      </c>
      <c r="E170" s="10" t="s">
        <v>316</v>
      </c>
      <c r="F170" s="10" t="str">
        <f>IFERROR(__xludf.DUMMYFUNCTION("GOOGLETRANSLATE(E170,""en"", ""ja"")"),"これは、テキストを表示するためのコンポーネントです。これを使用して、システム全体にテキストを標準化できます。")</f>
        <v>これは、テキストを表示するためのコンポーネントです。これを使用して、システム全体にテキストを標準化できます。</v>
      </c>
      <c r="G170" s="10" t="str">
        <f>IFERROR(__xludf.DUMMYFUNCTION("GOOGLETRANSLATE(E170,""en"",""zh-cn"")"),"这是用于显示文本的组件。您可以将其用于整个系统中的文本标准化。")</f>
        <v>这是用于显示文本的组件。您可以将其用于整个系统中的文本标准化。</v>
      </c>
      <c r="H170" s="10" t="str">
        <f>IFERROR(__xludf.DUMMYFUNCTION("GOOGLETRANSLATE(E170,""en"",""fr"")"),"Il s'agit d'un composant pour afficher du texte. Vous pouvez l'utiliser pour normaliser le texte sur votre système.")</f>
        <v>Il s'agit d'un composant pour afficher du texte. Vous pouvez l'utiliser pour normaliser le texte sur votre système.</v>
      </c>
      <c r="I170" s="10" t="str">
        <f>IFERROR(__xludf.DUMMYFUNCTION("GOOGLETRANSLATE(E170,""en"",""de"")"),"Dies ist eine Komponente zum Anzeigen von Text. Sie können dies verwenden, um Text in Ihrem System zu standardisieren.")</f>
        <v>Dies ist eine Komponente zum Anzeigen von Text. Sie können dies verwenden, um Text in Ihrem System zu standardisieren.</v>
      </c>
    </row>
    <row r="171">
      <c r="A171" s="9" t="s">
        <v>315</v>
      </c>
      <c r="B171" s="9" t="s">
        <v>317</v>
      </c>
      <c r="C171" s="9" t="s">
        <v>104</v>
      </c>
      <c r="D171" s="9" t="s">
        <v>12</v>
      </c>
      <c r="E171" s="10" t="s">
        <v>318</v>
      </c>
      <c r="F171" s="10" t="str">
        <f>IFERROR(__xludf.DUMMYFUNCTION("GOOGLETRANSLATE(E171,""en"", ""ja"")"),"文字間隔")</f>
        <v>文字間隔</v>
      </c>
      <c r="G171" s="10" t="str">
        <f>IFERROR(__xludf.DUMMYFUNCTION("GOOGLETRANSLATE(E171,""en"",""zh-cn"")"),"字母间距")</f>
        <v>字母间距</v>
      </c>
      <c r="H171" s="10" t="str">
        <f>IFERROR(__xludf.DUMMYFUNCTION("GOOGLETRANSLATE(E171,""en"",""fr"")"),"L'espacement des lettres")</f>
        <v>L'espacement des lettres</v>
      </c>
      <c r="I171" s="10" t="str">
        <f>IFERROR(__xludf.DUMMYFUNCTION("GOOGLETRANSLATE(E171,""en"",""de"")"),"Buchstaben-Abstand")</f>
        <v>Buchstaben-Abstand</v>
      </c>
    </row>
    <row r="172">
      <c r="A172" s="9" t="s">
        <v>315</v>
      </c>
      <c r="B172" s="9" t="s">
        <v>319</v>
      </c>
      <c r="C172" s="9" t="s">
        <v>104</v>
      </c>
      <c r="D172" s="9" t="s">
        <v>12</v>
      </c>
      <c r="E172" s="10" t="s">
        <v>320</v>
      </c>
      <c r="F172" s="10" t="str">
        <f>IFERROR(__xludf.DUMMYFUNCTION("GOOGLETRANSLATE(E172,""en"", ""ja"")"),"フォントコンベンション")</f>
        <v>フォントコンベンション</v>
      </c>
      <c r="G172" s="10" t="str">
        <f>IFERROR(__xludf.DUMMYFUNCTION("GOOGLETRANSLATE(E172,""en"",""zh-cn"")"),"字体大会")</f>
        <v>字体大会</v>
      </c>
      <c r="H172" s="10" t="str">
        <f>IFERROR(__xludf.DUMMYFUNCTION("GOOGLETRANSLATE(E172,""en"",""fr"")"),"Convention de police")</f>
        <v>Convention de police</v>
      </c>
      <c r="I172" s="10" t="str">
        <f>IFERROR(__xludf.DUMMYFUNCTION("GOOGLETRANSLATE(E172,""en"",""de"")"),"Schriftart Konvent")</f>
        <v>Schriftart Konvent</v>
      </c>
    </row>
    <row r="173">
      <c r="A173" s="9" t="s">
        <v>315</v>
      </c>
      <c r="B173" s="9" t="s">
        <v>321</v>
      </c>
      <c r="C173" s="9" t="s">
        <v>104</v>
      </c>
      <c r="D173" s="9" t="s">
        <v>12</v>
      </c>
      <c r="E173" s="10" t="s">
        <v>322</v>
      </c>
      <c r="F173" s="10" t="str">
        <f>IFERROR(__xludf.DUMMYFUNCTION("GOOGLETRANSLATE(E173,""en"", ""ja"")"),"ページヘッダータイトル")</f>
        <v>ページヘッダータイトル</v>
      </c>
      <c r="G173" s="10" t="str">
        <f>IFERROR(__xludf.DUMMYFUNCTION("GOOGLETRANSLATE(E173,""en"",""zh-cn"")"),"页面标题")</f>
        <v>页面标题</v>
      </c>
      <c r="H173" s="10" t="str">
        <f>IFERROR(__xludf.DUMMYFUNCTION("GOOGLETRANSLATE(E173,""en"",""fr"")"),"Titre d'en-tête de page")</f>
        <v>Titre d'en-tête de page</v>
      </c>
      <c r="I173" s="10" t="str">
        <f>IFERROR(__xludf.DUMMYFUNCTION("GOOGLETRANSLATE(E173,""en"",""de"")"),"Page -Header -Titel")</f>
        <v>Page -Header -Titel</v>
      </c>
    </row>
    <row r="174">
      <c r="A174" s="9" t="s">
        <v>315</v>
      </c>
      <c r="B174" s="9" t="s">
        <v>323</v>
      </c>
      <c r="C174" s="9" t="s">
        <v>104</v>
      </c>
      <c r="D174" s="9" t="s">
        <v>12</v>
      </c>
      <c r="E174" s="10" t="s">
        <v>324</v>
      </c>
      <c r="F174" s="10" t="str">
        <f>IFERROR(__xludf.DUMMYFUNCTION("GOOGLETRANSLATE(E174,""en"", ""ja"")"),"大きな太字に向かっています")</f>
        <v>大きな太字に向かっています</v>
      </c>
      <c r="G174" s="10" t="str">
        <f>IFERROR(__xludf.DUMMYFUNCTION("GOOGLETRANSLATE(E174,""en"",""zh-cn"")"),"大胆大胆")</f>
        <v>大胆大胆</v>
      </c>
      <c r="H174" s="10" t="str">
        <f>IFERROR(__xludf.DUMMYFUNCTION("GOOGLETRANSLATE(E174,""en"",""fr"")"),"Se diriger de gros gras")</f>
        <v>Se diriger de gros gras</v>
      </c>
      <c r="I174" s="10" t="str">
        <f>IFERROR(__xludf.DUMMYFUNCTION("GOOGLETRANSLATE(E174,""en"",""de"")"),"Den großen fett gedruckt")</f>
        <v>Den großen fett gedruckt</v>
      </c>
    </row>
    <row r="175">
      <c r="A175" s="9" t="s">
        <v>315</v>
      </c>
      <c r="B175" s="9" t="s">
        <v>325</v>
      </c>
      <c r="C175" s="9" t="s">
        <v>104</v>
      </c>
      <c r="D175" s="9" t="s">
        <v>12</v>
      </c>
      <c r="E175" s="10" t="s">
        <v>326</v>
      </c>
      <c r="F175" s="10" t="str">
        <f>IFERROR(__xludf.DUMMYFUNCTION("GOOGLETRANSLATE(E175,""en"", ""ja"")"),"見出しの中程度の太字")</f>
        <v>見出しの中程度の太字</v>
      </c>
      <c r="G175" s="10" t="str">
        <f>IFERROR(__xludf.DUMMYFUNCTION("GOOGLETRANSLATE(E175,""en"",""zh-cn"")"),"标题中等大胆")</f>
        <v>标题中等大胆</v>
      </c>
      <c r="H175" s="10" t="str">
        <f>IFERROR(__xludf.DUMMYFUNCTION("GOOGLETRANSLATE(E175,""en"",""fr"")"),"En-tête moyen audacieux")</f>
        <v>En-tête moyen audacieux</v>
      </c>
      <c r="I175" s="10" t="str">
        <f>IFERROR(__xludf.DUMMYFUNCTION("GOOGLETRANSLATE(E175,""en"",""de"")"),"Kopfmedium fett")</f>
        <v>Kopfmedium fett</v>
      </c>
    </row>
    <row r="176">
      <c r="A176" s="9" t="s">
        <v>315</v>
      </c>
      <c r="B176" s="9" t="s">
        <v>327</v>
      </c>
      <c r="C176" s="9" t="s">
        <v>104</v>
      </c>
      <c r="D176" s="9" t="s">
        <v>12</v>
      </c>
      <c r="E176" s="10" t="s">
        <v>328</v>
      </c>
      <c r="F176" s="10" t="str">
        <f>IFERROR(__xludf.DUMMYFUNCTION("GOOGLETRANSLATE(E176,""en"", ""ja"")"),"大胆な見出し")</f>
        <v>大胆な見出し</v>
      </c>
      <c r="G176" s="10" t="str">
        <f>IFERROR(__xludf.DUMMYFUNCTION("GOOGLETRANSLATE(E176,""en"",""zh-cn"")"),"大胆的标题")</f>
        <v>大胆的标题</v>
      </c>
      <c r="H176" s="10" t="str">
        <f>IFERROR(__xludf.DUMMYFUNCTION("GOOGLETRANSLATE(E176,""en"",""fr"")"),"Tête audacieux")</f>
        <v>Tête audacieux</v>
      </c>
      <c r="I176" s="10" t="str">
        <f>IFERROR(__xludf.DUMMYFUNCTION("GOOGLETRANSLATE(E176,""en"",""de"")"),"Kühne Überschrift")</f>
        <v>Kühne Überschrift</v>
      </c>
    </row>
    <row r="177">
      <c r="A177" s="9" t="s">
        <v>315</v>
      </c>
      <c r="B177" s="9" t="s">
        <v>329</v>
      </c>
      <c r="C177" s="9" t="s">
        <v>104</v>
      </c>
      <c r="D177" s="9" t="s">
        <v>12</v>
      </c>
      <c r="E177" s="10" t="s">
        <v>330</v>
      </c>
      <c r="F177" s="10" t="str">
        <f>IFERROR(__xludf.DUMMYFUNCTION("GOOGLETRANSLATE(E177,""en"", ""ja"")"),"セミボルドの見出し")</f>
        <v>セミボルドの見出し</v>
      </c>
      <c r="G177" s="10" t="str">
        <f>IFERROR(__xludf.DUMMYFUNCTION("GOOGLETRANSLATE(E177,""en"",""zh-cn"")"),"半决赛标题")</f>
        <v>半决赛标题</v>
      </c>
      <c r="H177" s="10" t="str">
        <f>IFERROR(__xludf.DUMMYFUNCTION("GOOGLETRANSLATE(E177,""en"",""fr"")"),"Semi-titre")</f>
        <v>Semi-titre</v>
      </c>
      <c r="I177" s="10" t="str">
        <f>IFERROR(__xludf.DUMMYFUNCTION("GOOGLETRANSLATE(E177,""en"",""de"")"),"Halbdehnung")</f>
        <v>Halbdehnung</v>
      </c>
    </row>
    <row r="178">
      <c r="A178" s="9" t="s">
        <v>315</v>
      </c>
      <c r="B178" s="9" t="s">
        <v>331</v>
      </c>
      <c r="C178" s="9" t="s">
        <v>104</v>
      </c>
      <c r="D178" s="9" t="s">
        <v>12</v>
      </c>
      <c r="E178" s="10" t="s">
        <v>332</v>
      </c>
      <c r="F178" s="10" t="str">
        <f>IFERROR(__xludf.DUMMYFUNCTION("GOOGLETRANSLATE(E178,""en"", ""ja"")"),"デフォルトの本体")</f>
        <v>デフォルトの本体</v>
      </c>
      <c r="G178" s="10" t="str">
        <f>IFERROR(__xludf.DUMMYFUNCTION("GOOGLETRANSLATE(E178,""en"",""zh-cn"")"),"默认主体")</f>
        <v>默认主体</v>
      </c>
      <c r="H178" s="10" t="str">
        <f>IFERROR(__xludf.DUMMYFUNCTION("GOOGLETRANSLATE(E178,""en"",""fr"")"),"Corps par défaut")</f>
        <v>Corps par défaut</v>
      </c>
      <c r="I178" s="10" t="str">
        <f>IFERROR(__xludf.DUMMYFUNCTION("GOOGLETRANSLATE(E178,""en"",""de"")"),"Standardkörper")</f>
        <v>Standardkörper</v>
      </c>
    </row>
    <row r="179">
      <c r="A179" s="9" t="s">
        <v>315</v>
      </c>
      <c r="B179" s="9" t="s">
        <v>333</v>
      </c>
      <c r="C179" s="9" t="s">
        <v>104</v>
      </c>
      <c r="D179" s="9" t="s">
        <v>12</v>
      </c>
      <c r="E179" s="10" t="s">
        <v>334</v>
      </c>
      <c r="F179" s="10" t="str">
        <f>IFERROR(__xludf.DUMMYFUNCTION("GOOGLETRANSLATE(E179,""en"", ""ja"")"),"二次テキスト")</f>
        <v>二次テキスト</v>
      </c>
      <c r="G179" s="10" t="str">
        <f>IFERROR(__xludf.DUMMYFUNCTION("GOOGLETRANSLATE(E179,""en"",""zh-cn"")"),"次要文字")</f>
        <v>次要文字</v>
      </c>
      <c r="H179" s="10" t="str">
        <f>IFERROR(__xludf.DUMMYFUNCTION("GOOGLETRANSLATE(E179,""en"",""fr"")"),"Texte secondaire")</f>
        <v>Texte secondaire</v>
      </c>
      <c r="I179" s="10" t="str">
        <f>IFERROR(__xludf.DUMMYFUNCTION("GOOGLETRANSLATE(E179,""en"",""de"")"),"Sekundärer Text")</f>
        <v>Sekundärer Text</v>
      </c>
    </row>
    <row r="180">
      <c r="A180" s="9" t="s">
        <v>315</v>
      </c>
      <c r="B180" s="9" t="s">
        <v>106</v>
      </c>
      <c r="C180" s="9" t="s">
        <v>104</v>
      </c>
      <c r="D180" s="9" t="s">
        <v>12</v>
      </c>
      <c r="E180" s="10" t="s">
        <v>107</v>
      </c>
      <c r="F180" s="10" t="str">
        <f>IFERROR(__xludf.DUMMYFUNCTION("GOOGLETRANSLATE(E180,""en"", ""ja"")"),"パン塊")</f>
        <v>パン塊</v>
      </c>
      <c r="G180" s="10" t="str">
        <f>IFERROR(__xludf.DUMMYFUNCTION("GOOGLETRANSLATE(E180,""en"",""zh-cn"")"),"面包屑")</f>
        <v>面包屑</v>
      </c>
      <c r="H180" s="10" t="str">
        <f>IFERROR(__xludf.DUMMYFUNCTION("GOOGLETRANSLATE(E180,""en"",""fr"")"),"Miette de pain")</f>
        <v>Miette de pain</v>
      </c>
      <c r="I180" s="10" t="str">
        <f>IFERROR(__xludf.DUMMYFUNCTION("GOOGLETRANSLATE(E180,""en"",""de"")"),"Breadcrumb")</f>
        <v>Breadcrumb</v>
      </c>
    </row>
    <row r="181">
      <c r="A181" s="9" t="s">
        <v>315</v>
      </c>
      <c r="B181" s="9" t="s">
        <v>140</v>
      </c>
      <c r="C181" s="9" t="s">
        <v>104</v>
      </c>
      <c r="D181" s="9" t="s">
        <v>12</v>
      </c>
      <c r="E181" s="10" t="s">
        <v>335</v>
      </c>
      <c r="F181" s="10" t="str">
        <f>IFERROR(__xludf.DUMMYFUNCTION("GOOGLETRANSLATE(E181,""en"", ""ja"")"),"カレンダー月/年")</f>
        <v>カレンダー月/年</v>
      </c>
      <c r="G181" s="10" t="str">
        <f>IFERROR(__xludf.DUMMYFUNCTION("GOOGLETRANSLATE(E181,""en"",""zh-cn"")"),"日历月/年")</f>
        <v>日历月/年</v>
      </c>
      <c r="H181" s="10" t="str">
        <f>IFERROR(__xludf.DUMMYFUNCTION("GOOGLETRANSLATE(E181,""en"",""fr"")"),"Mois / année civile")</f>
        <v>Mois / année civile</v>
      </c>
      <c r="I181" s="10" t="str">
        <f>IFERROR(__xludf.DUMMYFUNCTION("GOOGLETRANSLATE(E181,""en"",""de"")"),"Kalendermonat/Jahr")</f>
        <v>Kalendermonat/Jahr</v>
      </c>
    </row>
    <row r="182">
      <c r="A182" s="9" t="s">
        <v>315</v>
      </c>
      <c r="B182" s="9" t="s">
        <v>160</v>
      </c>
      <c r="C182" s="9" t="s">
        <v>104</v>
      </c>
      <c r="D182" s="9" t="s">
        <v>12</v>
      </c>
      <c r="E182" s="10" t="s">
        <v>336</v>
      </c>
      <c r="F182" s="10" t="str">
        <f>IFERROR(__xludf.DUMMYFUNCTION("GOOGLETRANSLATE(E182,""en"", ""ja"")"),"パネルとポップアップのタイトル")</f>
        <v>パネルとポップアップのタイトル</v>
      </c>
      <c r="G182" s="10" t="str">
        <f>IFERROR(__xludf.DUMMYFUNCTION("GOOGLETRANSLATE(E182,""en"",""zh-cn"")"),"面板和弹出标题")</f>
        <v>面板和弹出标题</v>
      </c>
      <c r="H182" s="10" t="str">
        <f>IFERROR(__xludf.DUMMYFUNCTION("GOOGLETRANSLATE(E182,""en"",""fr"")"),"Titre de panneau et popup")</f>
        <v>Titre de panneau et popup</v>
      </c>
      <c r="I182" s="10" t="str">
        <f>IFERROR(__xludf.DUMMYFUNCTION("GOOGLETRANSLATE(E182,""en"",""de"")"),"Panel- und Popup -Titel")</f>
        <v>Panel- und Popup -Titel</v>
      </c>
    </row>
    <row r="183">
      <c r="A183" s="9" t="s">
        <v>315</v>
      </c>
      <c r="B183" s="9" t="s">
        <v>337</v>
      </c>
      <c r="C183" s="9" t="s">
        <v>104</v>
      </c>
      <c r="D183" s="9" t="s">
        <v>12</v>
      </c>
      <c r="E183" s="10" t="s">
        <v>338</v>
      </c>
      <c r="F183" s="10" t="str">
        <f>IFERROR(__xludf.DUMMYFUNCTION("GOOGLETRANSLATE(E183,""en"", ""ja"")"),"セクションタイトル、テーブルプライマリ列値")</f>
        <v>セクションタイトル、テーブルプライマリ列値</v>
      </c>
      <c r="G183" s="10" t="str">
        <f>IFERROR(__xludf.DUMMYFUNCTION("GOOGLETRANSLATE(E183,""en"",""zh-cn"")"),"章节标题，表主要列值")</f>
        <v>章节标题，表主要列值</v>
      </c>
      <c r="H183" s="10" t="str">
        <f>IFERROR(__xludf.DUMMYFUNCTION("GOOGLETRANSLATE(E183,""en"",""fr"")"),"Titre de la section, Tableau Valeur de la colonne primaire")</f>
        <v>Titre de la section, Tableau Valeur de la colonne primaire</v>
      </c>
      <c r="I183" s="10" t="str">
        <f>IFERROR(__xludf.DUMMYFUNCTION("GOOGLETRANSLATE(E183,""en"",""de"")"),"Abschnittstitel, Tabelle Primärspaltenwert")</f>
        <v>Abschnittstitel, Tabelle Primärspaltenwert</v>
      </c>
    </row>
    <row r="184">
      <c r="A184" s="9" t="s">
        <v>315</v>
      </c>
      <c r="B184" s="9" t="s">
        <v>339</v>
      </c>
      <c r="C184" s="9" t="s">
        <v>104</v>
      </c>
      <c r="D184" s="9" t="s">
        <v>12</v>
      </c>
      <c r="E184" s="10" t="s">
        <v>340</v>
      </c>
      <c r="F184" s="10" t="str">
        <f>IFERROR(__xludf.DUMMYFUNCTION("GOOGLETRANSLATE(E184,""en"", ""ja"")"),"ラベルタイトル、テーブル列名、アクション")</f>
        <v>ラベルタイトル、テーブル列名、アクション</v>
      </c>
      <c r="G184" s="10" t="str">
        <f>IFERROR(__xludf.DUMMYFUNCTION("GOOGLETRANSLATE(E184,""en"",""zh-cn"")"),"标签标题，表列名称，动作")</f>
        <v>标签标题，表列名称，动作</v>
      </c>
      <c r="H184" s="10" t="str">
        <f>IFERROR(__xludf.DUMMYFUNCTION("GOOGLETRANSLATE(E184,""en"",""fr"")"),"Titre de l'étiquette, nom de la colonne de table, action")</f>
        <v>Titre de l'étiquette, nom de la colonne de table, action</v>
      </c>
      <c r="I184" s="10" t="str">
        <f>IFERROR(__xludf.DUMMYFUNCTION("GOOGLETRANSLATE(E184,""en"",""de"")"),"Beschriftungstitel, Tabellenspaltenname, Aktion")</f>
        <v>Beschriftungstitel, Tabellenspaltenname, Aktion</v>
      </c>
    </row>
    <row r="185">
      <c r="A185" s="9" t="s">
        <v>315</v>
      </c>
      <c r="B185" s="9" t="s">
        <v>341</v>
      </c>
      <c r="C185" s="9" t="s">
        <v>104</v>
      </c>
      <c r="D185" s="9" t="s">
        <v>12</v>
      </c>
      <c r="E185" s="10" t="s">
        <v>342</v>
      </c>
      <c r="F185" s="10" t="str">
        <f>IFERROR(__xludf.DUMMYFUNCTION("GOOGLETRANSLATE(E185,""en"", ""ja"")"),"体")</f>
        <v>体</v>
      </c>
      <c r="G185" s="10" t="str">
        <f>IFERROR(__xludf.DUMMYFUNCTION("GOOGLETRANSLATE(E185,""en"",""zh-cn"")"),"身体")</f>
        <v>身体</v>
      </c>
      <c r="H185" s="10" t="str">
        <f>IFERROR(__xludf.DUMMYFUNCTION("GOOGLETRANSLATE(E185,""en"",""fr"")"),"Corps")</f>
        <v>Corps</v>
      </c>
      <c r="I185" s="10" t="str">
        <f>IFERROR(__xludf.DUMMYFUNCTION("GOOGLETRANSLATE(E185,""en"",""de"")"),"Körper")</f>
        <v>Körper</v>
      </c>
    </row>
    <row r="186">
      <c r="A186" s="9" t="s">
        <v>315</v>
      </c>
      <c r="B186" s="9" t="s">
        <v>343</v>
      </c>
      <c r="C186" s="9" t="s">
        <v>104</v>
      </c>
      <c r="D186" s="9" t="s">
        <v>12</v>
      </c>
      <c r="E186" s="10" t="s">
        <v>344</v>
      </c>
      <c r="F186" s="10" t="str">
        <f>IFERROR(__xludf.DUMMYFUNCTION("GOOGLETRANSLATE(E186,""en"", ""ja"")"),"説明、透かし")</f>
        <v>説明、透かし</v>
      </c>
      <c r="G186" s="10" t="str">
        <f>IFERROR(__xludf.DUMMYFUNCTION("GOOGLETRANSLATE(E186,""en"",""zh-cn"")"),"描述，水印")</f>
        <v>描述，水印</v>
      </c>
      <c r="H186" s="10" t="str">
        <f>IFERROR(__xludf.DUMMYFUNCTION("GOOGLETRANSLATE(E186,""en"",""fr"")"),"Description, filigrane")</f>
        <v>Description, filigrane</v>
      </c>
      <c r="I186" s="10" t="str">
        <f>IFERROR(__xludf.DUMMYFUNCTION("GOOGLETRANSLATE(E186,""en"",""de"")"),"Beschreibung, Wasserzeichen")</f>
        <v>Beschreibung, Wasserzeichen</v>
      </c>
    </row>
    <row r="187">
      <c r="A187" s="11"/>
      <c r="B187" s="11"/>
      <c r="C187" s="11"/>
      <c r="D187" s="11"/>
      <c r="E187" s="11"/>
      <c r="F187" s="11"/>
      <c r="G187" s="11"/>
      <c r="H187" s="11"/>
      <c r="I187" s="11"/>
    </row>
    <row r="188">
      <c r="A188" s="9" t="s">
        <v>345</v>
      </c>
      <c r="B188" s="9" t="s">
        <v>209</v>
      </c>
      <c r="C188" s="9" t="s">
        <v>106</v>
      </c>
      <c r="D188" s="9" t="s">
        <v>12</v>
      </c>
      <c r="E188" s="10" t="s">
        <v>107</v>
      </c>
      <c r="F188" s="10" t="str">
        <f>IFERROR(__xludf.DUMMYFUNCTION("GOOGLETRANSLATE(E188,""en"", ""ja"")"),"パン塊")</f>
        <v>パン塊</v>
      </c>
      <c r="G188" s="10" t="str">
        <f>IFERROR(__xludf.DUMMYFUNCTION("GOOGLETRANSLATE(E188,""en"",""zh-cn"")"),"面包屑")</f>
        <v>面包屑</v>
      </c>
      <c r="H188" s="10" t="str">
        <f>IFERROR(__xludf.DUMMYFUNCTION("GOOGLETRANSLATE(E188,""en"",""fr"")"),"Miette de pain")</f>
        <v>Miette de pain</v>
      </c>
      <c r="I188" s="10" t="str">
        <f>IFERROR(__xludf.DUMMYFUNCTION("GOOGLETRANSLATE(E188,""en"",""de"")"),"Breadcrumb")</f>
        <v>Breadcrumb</v>
      </c>
    </row>
    <row r="189">
      <c r="A189" s="9" t="s">
        <v>345</v>
      </c>
      <c r="B189" s="9" t="s">
        <v>210</v>
      </c>
      <c r="C189" s="9" t="s">
        <v>106</v>
      </c>
      <c r="D189" s="9" t="s">
        <v>12</v>
      </c>
      <c r="E189" s="10" t="s">
        <v>346</v>
      </c>
      <c r="F189" s="10" t="str">
        <f>IFERROR(__xludf.DUMMYFUNCTION("GOOGLETRANSLATE(E189,""en"", ""ja"")"),"ページ階層で表示され、ユーザーがどこにいるかを知ることができます。ホームページを除いて、このパン界のナビゲーションを持っている方が良いでしょう。")</f>
        <v>ページ階層で表示され、ユーザーがどこにいるかを知ることができます。ホームページを除いて、このパン界のナビゲーションを持っている方が良いでしょう。</v>
      </c>
      <c r="G189" s="10" t="str">
        <f>IFERROR(__xludf.DUMMYFUNCTION("GOOGLETRANSLATE(E189,""en"",""zh-cn"")"),"它通过页面层次结构显示，允许用户知道他们在哪里。除主页外，最好要进行此面包屑导航。")</f>
        <v>它通过页面层次结构显示，允许用户知道他们在哪里。除主页外，最好要进行此面包屑导航。</v>
      </c>
      <c r="H189" s="10" t="str">
        <f>IFERROR(__xludf.DUMMYFUNCTION("GOOGLETRANSLATE(E189,""en"",""fr"")"),"Il s'affiche par la hiérarchie de page et permet à l'utilisateur de savoir où ils se trouvent. Mieux vaut avoir cette navigation sur le pain à l'exception de la page d'accueil.")</f>
        <v>Il s'affiche par la hiérarchie de page et permet à l'utilisateur de savoir où ils se trouvent. Mieux vaut avoir cette navigation sur le pain à l'exception de la page d'accueil.</v>
      </c>
      <c r="I189" s="10" t="str">
        <f>IFERROR(__xludf.DUMMYFUNCTION("GOOGLETRANSLATE(E189,""en"",""de"")"),"Es wird nach der Seitenhierarchie angezeigt und ermöglicht den Benutzer zu wissen, wo sie sich befinden. Besser diese Breadcrumb Navigation mit Ausnahme der Homepage.")</f>
        <v>Es wird nach der Seitenhierarchie angezeigt und ermöglicht den Benutzer zu wissen, wo sie sich befinden. Besser diese Breadcrumb Navigation mit Ausnahme der Homepage.</v>
      </c>
    </row>
    <row r="190">
      <c r="A190" s="9" t="s">
        <v>345</v>
      </c>
      <c r="B190" s="9" t="s">
        <v>347</v>
      </c>
      <c r="C190" s="9" t="s">
        <v>106</v>
      </c>
      <c r="D190" s="9" t="s">
        <v>12</v>
      </c>
      <c r="E190" s="10" t="s">
        <v>348</v>
      </c>
      <c r="F190" s="10" t="str">
        <f>IFERROR(__xludf.DUMMYFUNCTION("GOOGLETRANSLATE(E190,""en"", ""ja"")"),"いつ使用しないでください：")</f>
        <v>いつ使用しないでください：</v>
      </c>
      <c r="G190" s="10" t="str">
        <f>IFERROR(__xludf.DUMMYFUNCTION("GOOGLETRANSLATE(E190,""en"",""zh-cn"")"),"不要使用：")</f>
        <v>不要使用：</v>
      </c>
      <c r="H190" s="10" t="str">
        <f>IFERROR(__xludf.DUMMYFUNCTION("GOOGLETRANSLATE(E190,""en"",""fr"")"),"N'utilisez pas quand:")</f>
        <v>N'utilisez pas quand:</v>
      </c>
      <c r="I190" s="10" t="str">
        <f>IFERROR(__xludf.DUMMYFUNCTION("GOOGLETRANSLATE(E190,""en"",""de"")"),"Verwenden Sie nicht, wann:")</f>
        <v>Verwenden Sie nicht, wann:</v>
      </c>
    </row>
    <row r="191">
      <c r="A191" s="9" t="s">
        <v>345</v>
      </c>
      <c r="B191" s="9" t="s">
        <v>349</v>
      </c>
      <c r="C191" s="9" t="s">
        <v>106</v>
      </c>
      <c r="D191" s="9" t="s">
        <v>12</v>
      </c>
      <c r="E191" s="10" t="s">
        <v>350</v>
      </c>
      <c r="F191" s="10" t="str">
        <f>IFERROR(__xludf.DUMMYFUNCTION("GOOGLETRANSLATE(E191,""en"", ""ja"")"),"製品には論理的な階層がありません")</f>
        <v>製品には論理的な階層がありません</v>
      </c>
      <c r="G191" s="10" t="str">
        <f>IFERROR(__xludf.DUMMYFUNCTION("GOOGLETRANSLATE(E191,""en"",""zh-cn"")"),"产品没有逻辑层次结构")</f>
        <v>产品没有逻辑层次结构</v>
      </c>
      <c r="H191" s="10" t="str">
        <f>IFERROR(__xludf.DUMMYFUNCTION("GOOGLETRANSLATE(E191,""en"",""fr"")"),"Le produit n'a pas de hiérarchie logique")</f>
        <v>Le produit n'a pas de hiérarchie logique</v>
      </c>
      <c r="I191" s="10" t="str">
        <f>IFERROR(__xludf.DUMMYFUNCTION("GOOGLETRANSLATE(E191,""en"",""de"")"),"Produkt hat keine logische Hierarchie")</f>
        <v>Produkt hat keine logische Hierarchie</v>
      </c>
    </row>
    <row r="192">
      <c r="A192" s="9" t="s">
        <v>345</v>
      </c>
      <c r="B192" s="9" t="s">
        <v>351</v>
      </c>
      <c r="C192" s="9" t="s">
        <v>106</v>
      </c>
      <c r="D192" s="9" t="s">
        <v>12</v>
      </c>
      <c r="E192" s="10" t="s">
        <v>352</v>
      </c>
      <c r="F192" s="10" t="str">
        <f>IFERROR(__xludf.DUMMYFUNCTION("GOOGLETRANSLATE(E192,""en"", ""ja"")"),"非常に近いナビゲーションオプションが多すぎます。")</f>
        <v>非常に近いナビゲーションオプションが多すぎます。</v>
      </c>
      <c r="G192" s="10" t="str">
        <f>IFERROR(__xludf.DUMMYFUNCTION("GOOGLETRANSLATE(E192,""en"",""zh-cn"")"),"有太多的导航选项非常接近。")</f>
        <v>有太多的导航选项非常接近。</v>
      </c>
      <c r="H192" s="10" t="str">
        <f>IFERROR(__xludf.DUMMYFUNCTION("GOOGLETRANSLATE(E192,""en"",""fr"")"),"Il y a trop d'options de navigation qui sont très proches les unes des autres.")</f>
        <v>Il y a trop d'options de navigation qui sont très proches les unes des autres.</v>
      </c>
      <c r="I192" s="10" t="str">
        <f>IFERROR(__xludf.DUMMYFUNCTION("GOOGLETRANSLATE(E192,""en"",""de"")"),"Es gibt zu viele Navigationsoptionen, die sehr eng beieinander liegen.")</f>
        <v>Es gibt zu viele Navigationsoptionen, die sehr eng beieinander liegen.</v>
      </c>
    </row>
    <row r="193">
      <c r="A193" s="9" t="s">
        <v>345</v>
      </c>
      <c r="B193" s="9" t="s">
        <v>353</v>
      </c>
      <c r="C193" s="9" t="s">
        <v>106</v>
      </c>
      <c r="D193" s="9" t="s">
        <v>12</v>
      </c>
      <c r="E193" s="10" t="s">
        <v>354</v>
      </c>
      <c r="F193" s="10" t="str">
        <f>IFERROR(__xludf.DUMMYFUNCTION("GOOGLETRANSLATE(E193,""en"", ""ja"")"),"ブレッドクランブは、主要なナビゲーションを置き換えることはできません。")</f>
        <v>ブレッドクランブは、主要なナビゲーションを置き換えることはできません。</v>
      </c>
      <c r="G193" s="10" t="str">
        <f>IFERROR(__xludf.DUMMYFUNCTION("GOOGLETRANSLATE(E193,""en"",""zh-cn"")"),"面包屑无法替代主要导航。")</f>
        <v>面包屑无法替代主要导航。</v>
      </c>
      <c r="H193" s="10" t="str">
        <f>IFERROR(__xludf.DUMMYFUNCTION("GOOGLETRANSLATE(E193,""en"",""fr"")"),"La chapelure ne peut pas remplacer la navigation primaire.")</f>
        <v>La chapelure ne peut pas remplacer la navigation primaire.</v>
      </c>
      <c r="I193" s="10" t="str">
        <f>IFERROR(__xludf.DUMMYFUNCTION("GOOGLETRANSLATE(E193,""en"",""de"")"),"Breadcrumb kann die primäre Navigation nicht ersetzen.")</f>
        <v>Breadcrumb kann die primäre Navigation nicht ersetzen.</v>
      </c>
    </row>
    <row r="194">
      <c r="A194" s="9" t="s">
        <v>345</v>
      </c>
      <c r="B194" s="9" t="s">
        <v>355</v>
      </c>
      <c r="C194" s="9" t="s">
        <v>106</v>
      </c>
      <c r="D194" s="9" t="s">
        <v>12</v>
      </c>
      <c r="E194" s="10" t="s">
        <v>356</v>
      </c>
      <c r="F194" s="10" t="str">
        <f>IFERROR(__xludf.DUMMYFUNCTION("GOOGLETRANSLATE(E194,""en"", ""ja"")"),"1レベルのパン塊が1つしかない場合、クリックすることはできません。しかし、テキストの色は黒です。")</f>
        <v>1レベルのパン塊が1つしかない場合、クリックすることはできません。しかし、テキストの色は黒です。</v>
      </c>
      <c r="G194" s="10" t="str">
        <f>IFERROR(__xludf.DUMMYFUNCTION("GOOGLETRANSLATE(E194,""en"",""zh-cn"")"),"如果只有1级面包屑，则无法单击。但是文字颜色是黑色的。")</f>
        <v>如果只有1级面包屑，则无法单击。但是文字颜色是黑色的。</v>
      </c>
      <c r="H194" s="10" t="str">
        <f>IFERROR(__xludf.DUMMYFUNCTION("GOOGLETRANSLATE(E194,""en"",""fr"")"),"Lorsqu'il n'y a qu'un seul pain de niveau, il n'est pas cliquable. Mais la couleur du texte est noire.")</f>
        <v>Lorsqu'il n'y a qu'un seul pain de niveau, il n'est pas cliquable. Mais la couleur du texte est noire.</v>
      </c>
      <c r="I194" s="10" t="str">
        <f>IFERROR(__xludf.DUMMYFUNCTION("GOOGLETRANSLATE(E194,""en"",""de"")"),"Wenn es nur 1 Level -Brotcrumb gibt, ist es nicht anklickbar. Aber die Textfarbe ist schwarz.")</f>
        <v>Wenn es nur 1 Level -Brotcrumb gibt, ist es nicht anklickbar. Aber die Textfarbe ist schwarz.</v>
      </c>
    </row>
    <row r="195">
      <c r="A195" s="9" t="s">
        <v>345</v>
      </c>
      <c r="B195" s="9" t="s">
        <v>357</v>
      </c>
      <c r="C195" s="9" t="s">
        <v>106</v>
      </c>
      <c r="D195" s="9" t="s">
        <v>12</v>
      </c>
      <c r="E195" s="10" t="s">
        <v>358</v>
      </c>
      <c r="F195" s="10" t="str">
        <f>IFERROR(__xludf.DUMMYFUNCTION("GOOGLETRANSLATE(E195,""en"", ""ja"")"),"家")</f>
        <v>家</v>
      </c>
      <c r="G195" s="10" t="str">
        <f>IFERROR(__xludf.DUMMYFUNCTION("GOOGLETRANSLATE(E195,""en"",""zh-cn"")"),"家")</f>
        <v>家</v>
      </c>
      <c r="H195" s="10" t="str">
        <f>IFERROR(__xludf.DUMMYFUNCTION("GOOGLETRANSLATE(E195,""en"",""fr"")"),"Maison")</f>
        <v>Maison</v>
      </c>
      <c r="I195" s="10" t="str">
        <f>IFERROR(__xludf.DUMMYFUNCTION("GOOGLETRANSLATE(E195,""en"",""de"")"),"Heim")</f>
        <v>Heim</v>
      </c>
    </row>
    <row r="196">
      <c r="A196" s="9" t="s">
        <v>345</v>
      </c>
      <c r="B196" s="9" t="s">
        <v>359</v>
      </c>
      <c r="C196" s="9" t="s">
        <v>106</v>
      </c>
      <c r="D196" s="9" t="s">
        <v>12</v>
      </c>
      <c r="E196" s="10" t="s">
        <v>360</v>
      </c>
      <c r="F196" s="10" t="str">
        <f>IFERROR(__xludf.DUMMYFUNCTION("GOOGLETRANSLATE(E196,""en"", ""ja"")"),"一部のリンクはクリックできない場合があります。")</f>
        <v>一部のリンクはクリックできない場合があります。</v>
      </c>
      <c r="G196" s="10" t="str">
        <f>IFERROR(__xludf.DUMMYFUNCTION("GOOGLETRANSLATE(E196,""en"",""zh-cn"")"),"某些链接可能无法单击。")</f>
        <v>某些链接可能无法单击。</v>
      </c>
      <c r="H196" s="10" t="str">
        <f>IFERROR(__xludf.DUMMYFUNCTION("GOOGLETRANSLATE(E196,""en"",""fr"")"),"Certains liens peuvent ne pas être cliquables.")</f>
        <v>Certains liens peuvent ne pas être cliquables.</v>
      </c>
      <c r="I196" s="10" t="str">
        <f>IFERROR(__xludf.DUMMYFUNCTION("GOOGLETRANSLATE(E196,""en"",""de"")"),"Einige Links sind möglicherweise nicht anklickbar.")</f>
        <v>Einige Links sind möglicherweise nicht anklickbar.</v>
      </c>
    </row>
    <row r="197">
      <c r="A197" s="9" t="s">
        <v>345</v>
      </c>
      <c r="B197" s="9" t="s">
        <v>361</v>
      </c>
      <c r="C197" s="9" t="s">
        <v>106</v>
      </c>
      <c r="D197" s="9" t="s">
        <v>12</v>
      </c>
      <c r="E197" s="10" t="s">
        <v>362</v>
      </c>
      <c r="F197" s="10" t="str">
        <f>IFERROR(__xludf.DUMMYFUNCTION("GOOGLETRANSLATE(E197,""en"", ""ja"")"),"（クリックできない）")</f>
        <v>（クリックできない）</v>
      </c>
      <c r="G197" s="10" t="str">
        <f>IFERROR(__xludf.DUMMYFUNCTION("GOOGLETRANSLATE(E197,""en"",""zh-cn"")"),"（不可算）")</f>
        <v>（不可算）</v>
      </c>
      <c r="H197" s="10" t="str">
        <f>IFERROR(__xludf.DUMMYFUNCTION("GOOGLETRANSLATE(E197,""en"",""fr"")"),"(non cliquable)")</f>
        <v>(non cliquable)</v>
      </c>
      <c r="I197" s="10" t="str">
        <f>IFERROR(__xludf.DUMMYFUNCTION("GOOGLETRANSLATE(E197,""en"",""de"")"),"(nicht klickbar)")</f>
        <v>(nicht klickbar)</v>
      </c>
    </row>
    <row r="198">
      <c r="A198" s="9" t="s">
        <v>345</v>
      </c>
      <c r="B198" s="9" t="s">
        <v>363</v>
      </c>
      <c r="C198" s="9" t="s">
        <v>106</v>
      </c>
      <c r="D198" s="9" t="s">
        <v>12</v>
      </c>
      <c r="E198" s="10" t="s">
        <v>364</v>
      </c>
      <c r="F198" s="10" t="str">
        <f>IFERROR(__xludf.DUMMYFUNCTION("GOOGLETRANSLATE(E198,""en"", ""ja"")"),"サブ")</f>
        <v>サブ</v>
      </c>
      <c r="G198" s="10" t="str">
        <f>IFERROR(__xludf.DUMMYFUNCTION("GOOGLETRANSLATE(E198,""en"",""zh-cn"")"),"子")</f>
        <v>子</v>
      </c>
      <c r="H198" s="10" t="str">
        <f>IFERROR(__xludf.DUMMYFUNCTION("GOOGLETRANSLATE(E198,""en"",""fr"")"),"Sous")</f>
        <v>Sous</v>
      </c>
      <c r="I198" s="10" t="str">
        <f>IFERROR(__xludf.DUMMYFUNCTION("GOOGLETRANSLATE(E198,""en"",""de"")"),"Sub")</f>
        <v>Sub</v>
      </c>
    </row>
    <row r="199">
      <c r="A199" s="9" t="s">
        <v>345</v>
      </c>
      <c r="B199" s="9" t="s">
        <v>365</v>
      </c>
      <c r="C199" s="9" t="s">
        <v>106</v>
      </c>
      <c r="D199" s="9" t="s">
        <v>12</v>
      </c>
      <c r="E199" s="10" t="s">
        <v>366</v>
      </c>
      <c r="F199" s="10" t="str">
        <f>IFERROR(__xludf.DUMMYFUNCTION("GOOGLETRANSLATE(E199,""en"", ""ja"")"),"詳細")</f>
        <v>詳細</v>
      </c>
      <c r="G199" s="10" t="str">
        <f>IFERROR(__xludf.DUMMYFUNCTION("GOOGLETRANSLATE(E199,""en"",""zh-cn"")"),"细节")</f>
        <v>细节</v>
      </c>
      <c r="H199" s="10" t="str">
        <f>IFERROR(__xludf.DUMMYFUNCTION("GOOGLETRANSLATE(E199,""en"",""fr"")"),"Détail")</f>
        <v>Détail</v>
      </c>
      <c r="I199" s="10" t="str">
        <f>IFERROR(__xludf.DUMMYFUNCTION("GOOGLETRANSLATE(E199,""en"",""de"")"),"Detail")</f>
        <v>Detail</v>
      </c>
    </row>
    <row r="200">
      <c r="A200" s="9" t="s">
        <v>345</v>
      </c>
      <c r="B200" s="9" t="s">
        <v>367</v>
      </c>
      <c r="C200" s="9" t="s">
        <v>106</v>
      </c>
      <c r="D200" s="9" t="s">
        <v>12</v>
      </c>
      <c r="E200" s="10" t="s">
        <v>368</v>
      </c>
      <c r="F200" s="10" t="str">
        <f>IFERROR(__xludf.DUMMYFUNCTION("GOOGLETRANSLATE(E200,""en"", ""ja"")"),"応用")</f>
        <v>応用</v>
      </c>
      <c r="G200" s="10" t="str">
        <f>IFERROR(__xludf.DUMMYFUNCTION("GOOGLETRANSLATE(E200,""en"",""zh-cn"")"),"应用")</f>
        <v>应用</v>
      </c>
      <c r="H200" s="10" t="str">
        <f>IFERROR(__xludf.DUMMYFUNCTION("GOOGLETRANSLATE(E200,""en"",""fr"")"),"Application")</f>
        <v>Application</v>
      </c>
      <c r="I200" s="10" t="str">
        <f>IFERROR(__xludf.DUMMYFUNCTION("GOOGLETRANSLATE(E200,""en"",""de"")"),"Anwendung")</f>
        <v>Anwendung</v>
      </c>
    </row>
    <row r="201">
      <c r="A201" s="9" t="s">
        <v>345</v>
      </c>
      <c r="B201" s="9" t="s">
        <v>369</v>
      </c>
      <c r="C201" s="9" t="s">
        <v>106</v>
      </c>
      <c r="D201" s="9" t="s">
        <v>12</v>
      </c>
      <c r="E201" s="10" t="s">
        <v>369</v>
      </c>
      <c r="F201" s="10" t="str">
        <f>IFERROR(__xludf.DUMMYFUNCTION("GOOGLETRANSLATE(E201,""en"", ""ja"")"),"管理")</f>
        <v>管理</v>
      </c>
      <c r="G201" s="10" t="str">
        <f>IFERROR(__xludf.DUMMYFUNCTION("GOOGLETRANSLATE(E201,""en"",""zh-cn"")"),"管理")</f>
        <v>管理</v>
      </c>
      <c r="H201" s="10" t="str">
        <f>IFERROR(__xludf.DUMMYFUNCTION("GOOGLETRANSLATE(E201,""en"",""fr"")"),"gestion")</f>
        <v>gestion</v>
      </c>
      <c r="I201" s="10" t="str">
        <f>IFERROR(__xludf.DUMMYFUNCTION("GOOGLETRANSLATE(E201,""en"",""de"")"),"Management")</f>
        <v>Management</v>
      </c>
    </row>
    <row r="202">
      <c r="A202" s="9" t="s">
        <v>345</v>
      </c>
      <c r="B202" s="9" t="s">
        <v>370</v>
      </c>
      <c r="C202" s="9" t="s">
        <v>106</v>
      </c>
      <c r="D202" s="9" t="s">
        <v>12</v>
      </c>
      <c r="E202" s="10" t="s">
        <v>371</v>
      </c>
      <c r="F202" s="10" t="str">
        <f>IFERROR(__xludf.DUMMYFUNCTION("GOOGLETRANSLATE(E202,""en"", ""ja"")"),"マルチ親ノードの例。これは一般的なスタイルです。")</f>
        <v>マルチ親ノードの例。これは一般的なスタイルです。</v>
      </c>
      <c r="G202" s="10" t="str">
        <f>IFERROR(__xludf.DUMMYFUNCTION("GOOGLETRANSLATE(E202,""en"",""zh-cn"")"),"多父母节点的示例。这是一种常见的风格。")</f>
        <v>多父母节点的示例。这是一种常见的风格。</v>
      </c>
      <c r="H202" s="10" t="str">
        <f>IFERROR(__xludf.DUMMYFUNCTION("GOOGLETRANSLATE(E202,""en"",""fr"")"),"Exemple pour les nœuds multi-parents. C'est un style commun.")</f>
        <v>Exemple pour les nœuds multi-parents. C'est un style commun.</v>
      </c>
      <c r="I202" s="10" t="str">
        <f>IFERROR(__xludf.DUMMYFUNCTION("GOOGLETRANSLATE(E202,""en"",""de"")"),"Beispiel für Multi-Tier-Knoten. Dies ist ein gemeinsamer Stil.")</f>
        <v>Beispiel für Multi-Tier-Knoten. Dies ist ein gemeinsamer Stil.</v>
      </c>
    </row>
    <row r="203">
      <c r="A203" s="9" t="s">
        <v>345</v>
      </c>
      <c r="B203" s="9" t="s">
        <v>372</v>
      </c>
      <c r="C203" s="9" t="s">
        <v>106</v>
      </c>
      <c r="D203" s="9" t="s">
        <v>12</v>
      </c>
      <c r="E203" s="10" t="s">
        <v>373</v>
      </c>
      <c r="F203" s="10" t="str">
        <f>IFERROR(__xludf.DUMMYFUNCTION("GOOGLETRANSLATE(E203,""en"", ""ja"")"),"見せます...パンムの真ん中に、すべてを同時に表示できないノードが非常に多い場合。常に最初のレベルを保ち、最後のレベルを表示します。")</f>
        <v>見せます...パンムの真ん中に、すべてを同時に表示できないノードが非常に多い場合。常に最初のレベルを保ち、最後のレベルを表示します。</v>
      </c>
      <c r="G203" s="10" t="str">
        <f>IFERROR(__xludf.DUMMYFUNCTION("GOOGLETRANSLATE(E203,""en"",""zh-cn"")"),"显示...在面包屑的中间，有这么多节点不能同时显示全部。始终保持第一级和最后一个级别可见。")</f>
        <v>显示...在面包屑的中间，有这么多节点不能同时显示全部。始终保持第一级和最后一个级别可见。</v>
      </c>
      <c r="H203" s="10" t="str">
        <f>IFERROR(__xludf.DUMMYFUNCTION("GOOGLETRANSLATE(E203,""en"",""fr"")"),"Show ... au milieu de la chapelure quand il y a tellement de nœuds qui ne peuvent pas tout montrer en même temps. Gardez toujours le premier niveau et le dernier niveau visible.")</f>
        <v>Show ... au milieu de la chapelure quand il y a tellement de nœuds qui ne peuvent pas tout montrer en même temps. Gardez toujours le premier niveau et le dernier niveau visible.</v>
      </c>
      <c r="I203" s="10" t="str">
        <f>IFERROR(__xludf.DUMMYFUNCTION("GOOGLETRANSLATE(E203,""en"",""de"")"),"Zeigen Sie ... mitten im Breadcrumb, wenn es so viele Knoten gibt, die nicht alle gleichzeitig zeigen können. Halten Sie immer das erste Level und das letzte Level sichtbar.")</f>
        <v>Zeigen Sie ... mitten im Breadcrumb, wenn es so viele Knoten gibt, die nicht alle gleichzeitig zeigen können. Halten Sie immer das erste Level und das letzte Level sichtbar.</v>
      </c>
    </row>
    <row r="204">
      <c r="A204" s="9" t="s">
        <v>345</v>
      </c>
      <c r="B204" s="9" t="s">
        <v>374</v>
      </c>
      <c r="C204" s="9" t="s">
        <v>106</v>
      </c>
      <c r="D204" s="9" t="s">
        <v>12</v>
      </c>
      <c r="E204" s="10" t="s">
        <v>375</v>
      </c>
      <c r="F204" s="10" t="str">
        <f>IFERROR(__xludf.DUMMYFUNCTION("GOOGLETRANSLATE(E204,""en"", ""ja"")"),"見せて...パンムの始まりに、すべてを同時に表示できないノードが非常に多い場合。常に最後のレベルを表示してください。")</f>
        <v>見せて...パンムの始まりに、すべてを同時に表示できないノードが非常に多い場合。常に最後のレベルを表示してください。</v>
      </c>
      <c r="G204" s="10" t="str">
        <f>IFERROR(__xludf.DUMMYFUNCTION("GOOGLETRANSLATE(E204,""en"",""zh-cn"")"),"展示...在面包屑的开头，有这么多节点不能同时显示所有节点。始终保持最新水平。")</f>
        <v>展示...在面包屑的开头，有这么多节点不能同时显示所有节点。始终保持最新水平。</v>
      </c>
      <c r="H204" s="10" t="str">
        <f>IFERROR(__xludf.DUMMYFUNCTION("GOOGLETRANSLATE(E204,""en"",""fr"")"),"Show ... au début de la chapelure quand il y a tellement de nœuds qui ne peuvent pas tout montrer en même temps. Gardez toujours le dernier niveau visible.")</f>
        <v>Show ... au début de la chapelure quand il y a tellement de nœuds qui ne peuvent pas tout montrer en même temps. Gardez toujours le dernier niveau visible.</v>
      </c>
      <c r="I204" s="10" t="str">
        <f>IFERROR(__xludf.DUMMYFUNCTION("GOOGLETRANSLATE(E204,""en"",""de"")"),"Zeigen Sie ... zu Beginn von Breadcrumb, wenn es so viele Knoten gibt, die nicht alle gleichzeitig zeigen können. Halten Sie immer das letzte Level sichtbar.")</f>
        <v>Zeigen Sie ... zu Beginn von Breadcrumb, wenn es so viele Knoten gibt, die nicht alle gleichzeitig zeigen können. Halten Sie immer das letzte Level sichtbar.</v>
      </c>
    </row>
    <row r="205">
      <c r="A205" s="9" t="s">
        <v>345</v>
      </c>
      <c r="B205" s="9" t="s">
        <v>376</v>
      </c>
      <c r="C205" s="9" t="s">
        <v>106</v>
      </c>
      <c r="D205" s="9" t="s">
        <v>12</v>
      </c>
      <c r="E205" s="10" t="s">
        <v>377</v>
      </c>
      <c r="F205" s="10" t="str">
        <f>IFERROR(__xludf.DUMMYFUNCTION("GOOGLETRANSLATE(E205,""en"", ""ja"")"),"セカンドレベル")</f>
        <v>セカンドレベル</v>
      </c>
      <c r="G205" s="10" t="str">
        <f>IFERROR(__xludf.DUMMYFUNCTION("GOOGLETRANSLATE(E205,""en"",""zh-cn"")"),"第二级")</f>
        <v>第二级</v>
      </c>
      <c r="H205" s="10" t="str">
        <f>IFERROR(__xludf.DUMMYFUNCTION("GOOGLETRANSLATE(E205,""en"",""fr"")"),"Deuxième niveau")</f>
        <v>Deuxième niveau</v>
      </c>
      <c r="I205" s="10" t="str">
        <f>IFERROR(__xludf.DUMMYFUNCTION("GOOGLETRANSLATE(E205,""en"",""de"")"),"Zweites Level")</f>
        <v>Zweites Level</v>
      </c>
    </row>
    <row r="206">
      <c r="A206" s="9" t="s">
        <v>345</v>
      </c>
      <c r="B206" s="9" t="s">
        <v>378</v>
      </c>
      <c r="C206" s="9" t="s">
        <v>106</v>
      </c>
      <c r="D206" s="9" t="s">
        <v>12</v>
      </c>
      <c r="E206" s="10" t="s">
        <v>379</v>
      </c>
      <c r="F206" s="10" t="str">
        <f>IFERROR(__xludf.DUMMYFUNCTION("GOOGLETRANSLATE(E206,""en"", ""ja"")"),"第3レベル")</f>
        <v>第3レベル</v>
      </c>
      <c r="G206" s="10" t="str">
        <f>IFERROR(__xludf.DUMMYFUNCTION("GOOGLETRANSLATE(E206,""en"",""zh-cn"")"),"第三级")</f>
        <v>第三级</v>
      </c>
      <c r="H206" s="10" t="str">
        <f>IFERROR(__xludf.DUMMYFUNCTION("GOOGLETRANSLATE(E206,""en"",""fr"")"),"Troisième niveau")</f>
        <v>Troisième niveau</v>
      </c>
      <c r="I206" s="10" t="str">
        <f>IFERROR(__xludf.DUMMYFUNCTION("GOOGLETRANSLATE(E206,""en"",""de"")"),"Drittes Level")</f>
        <v>Drittes Level</v>
      </c>
    </row>
    <row r="207">
      <c r="A207" s="11"/>
      <c r="B207" s="14"/>
      <c r="C207" s="12"/>
      <c r="D207" s="11"/>
      <c r="E207" s="11"/>
      <c r="F207" s="11"/>
      <c r="G207" s="11"/>
      <c r="H207" s="11"/>
      <c r="I207" s="11"/>
    </row>
    <row r="208">
      <c r="A208" s="9" t="s">
        <v>380</v>
      </c>
      <c r="B208" s="9" t="s">
        <v>209</v>
      </c>
      <c r="C208" s="9" t="s">
        <v>108</v>
      </c>
      <c r="D208" s="9" t="s">
        <v>12</v>
      </c>
      <c r="E208" s="10" t="s">
        <v>109</v>
      </c>
      <c r="F208" s="10" t="str">
        <f>IFERROR(__xludf.DUMMYFUNCTION("GOOGLETRANSLATE(E208,""en"", ""ja"")"),"ナビゲーションメニュー")</f>
        <v>ナビゲーションメニュー</v>
      </c>
      <c r="G208" s="10" t="str">
        <f>IFERROR(__xludf.DUMMYFUNCTION("GOOGLETRANSLATE(E208,""en"",""zh-cn"")"),"导航菜单")</f>
        <v>导航菜单</v>
      </c>
      <c r="H208" s="10" t="str">
        <f>IFERROR(__xludf.DUMMYFUNCTION("GOOGLETRANSLATE(E208,""en"",""fr"")"),"le menu de navigation")</f>
        <v>le menu de navigation</v>
      </c>
      <c r="I208" s="10" t="str">
        <f>IFERROR(__xludf.DUMMYFUNCTION("GOOGLETRANSLATE(E208,""en"",""de"")"),"Navigationsmenü")</f>
        <v>Navigationsmenü</v>
      </c>
    </row>
    <row r="209">
      <c r="A209" s="9" t="s">
        <v>380</v>
      </c>
      <c r="B209" s="9" t="s">
        <v>210</v>
      </c>
      <c r="C209" s="9" t="s">
        <v>108</v>
      </c>
      <c r="D209" s="9" t="s">
        <v>12</v>
      </c>
      <c r="E209" s="10" t="s">
        <v>381</v>
      </c>
      <c r="F209" s="10" t="str">
        <f>IFERROR(__xludf.DUMMYFUNCTION("GOOGLETRANSLATE(E209,""en"", ""ja"")"),"ナビゲーションメニューは、ユーザーがいつでもアクセスできるリンクのリストです。")</f>
        <v>ナビゲーションメニューは、ユーザーがいつでもアクセスできるリンクのリストです。</v>
      </c>
      <c r="G209" s="10" t="str">
        <f>IFERROR(__xludf.DUMMYFUNCTION("GOOGLETRANSLATE(E209,""en"",""zh-cn"")"),"导航菜单是用户可以始终访问的链接列表。")</f>
        <v>导航菜单是用户可以始终访问的链接列表。</v>
      </c>
      <c r="H209" s="10" t="str">
        <f>IFERROR(__xludf.DUMMYFUNCTION("GOOGLETRANSLATE(E209,""en"",""fr"")"),"Le menu de navigation est la liste des liens auxquels l'utilisateur peut toujours accéder.")</f>
        <v>Le menu de navigation est la liste des liens auxquels l'utilisateur peut toujours accéder.</v>
      </c>
      <c r="I209" s="10" t="str">
        <f>IFERROR(__xludf.DUMMYFUNCTION("GOOGLETRANSLATE(E209,""en"",""de"")"),"Das Navigationsmenü ist die Liste der Links, auf die der Benutzer immer zugreifen kann.")</f>
        <v>Das Navigationsmenü ist die Liste der Links, auf die der Benutzer immer zugreifen kann.</v>
      </c>
    </row>
    <row r="210">
      <c r="A210" s="9" t="s">
        <v>380</v>
      </c>
      <c r="B210" s="9" t="s">
        <v>382</v>
      </c>
      <c r="C210" s="9" t="s">
        <v>108</v>
      </c>
      <c r="D210" s="9" t="s">
        <v>12</v>
      </c>
      <c r="E210" s="10" t="s">
        <v>383</v>
      </c>
      <c r="F210" s="10" t="str">
        <f>IFERROR(__xludf.DUMMYFUNCTION("GOOGLETRANSLATE(E210,""en"", ""ja"")"),"メイン関数リンクが含まれています。メイン関数ナビゲーションは、階層スタイルを使用してサブナビゲーション項目を持つことができます。")</f>
        <v>メイン関数リンクが含まれています。メイン関数ナビゲーションは、階層スタイルを使用してサブナビゲーション項目を持つことができます。</v>
      </c>
      <c r="G210" s="10" t="str">
        <f>IFERROR(__xludf.DUMMYFUNCTION("GOOGLETRANSLATE(E210,""en"",""zh-cn"")"),"其中包含主要功能链接。主函数导航可以使用层次结构样式具有子游动项目。")</f>
        <v>其中包含主要功能链接。主函数导航可以使用层次结构样式具有子游动项目。</v>
      </c>
      <c r="H210" s="10" t="str">
        <f>IFERROR(__xludf.DUMMYFUNCTION("GOOGLETRANSLATE(E210,""en"",""fr"")"),"Qui contient les liens de fonctions principales. Une navigation de fonction principale peut avoir des éléments de sous-navigation en utilisant un style de hiérarchie.")</f>
        <v>Qui contient les liens de fonctions principales. Une navigation de fonction principale peut avoir des éléments de sous-navigation en utilisant un style de hiérarchie.</v>
      </c>
      <c r="I210" s="10" t="str">
        <f>IFERROR(__xludf.DUMMYFUNCTION("GOOGLETRANSLATE(E210,""en"",""de"")"),"Die die Hauptfunktionsverbindungen enthält. Eine Hauptfunktionsnavigation kann unter Verwendung eines Hierarchiestils Unteranlagen aufweisen.")</f>
        <v>Die die Hauptfunktionsverbindungen enthält. Eine Hauptfunktionsnavigation kann unter Verwendung eines Hierarchiestils Unteranlagen aufweisen.</v>
      </c>
    </row>
    <row r="211">
      <c r="A211" s="9" t="s">
        <v>380</v>
      </c>
      <c r="B211" s="9" t="s">
        <v>384</v>
      </c>
      <c r="C211" s="9" t="s">
        <v>108</v>
      </c>
      <c r="D211" s="9" t="s">
        <v>12</v>
      </c>
      <c r="E211" s="10" t="s">
        <v>385</v>
      </c>
      <c r="F211" s="10" t="str">
        <f>IFERROR(__xludf.DUMMYFUNCTION("GOOGLETRANSLATE(E211,""en"", ""ja"")"),"ナビゲーションバーのアイコンは、アイテムが実用的であることを示す視覚的なアフォーダンスとして機能します。たとえば、ナビゲーションアイテムをホバリングすると、背景として明るい青色の色が表示されます。")</f>
        <v>ナビゲーションバーのアイコンは、アイテムが実用的であることを示す視覚的なアフォーダンスとして機能します。たとえば、ナビゲーションアイテムをホバリングすると、背景として明るい青色の色が表示されます。</v>
      </c>
      <c r="G211" s="10" t="str">
        <f>IFERROR(__xludf.DUMMYFUNCTION("GOOGLETRANSLATE(E211,""en"",""zh-cn"")"),"导航栏中的图标用作视觉负担，表明该项目是可行的。例如，当悬停导航项目时，它将看起来像背景一样较浅。")</f>
        <v>导航栏中的图标用作视觉负担，表明该项目是可行的。例如，当悬停导航项目时，它将看起来像背景一样较浅。</v>
      </c>
      <c r="H211" s="10" t="str">
        <f>IFERROR(__xludf.DUMMYFUNCTION("GOOGLETRANSLATE(E211,""en"",""fr"")"),"Les icônes de la barre de navigation servent d'offre visuelle qui indique que l'article est exploitable. Par exemple, lorsqu'il oscille un élément de navigation, il apparaîtra en couleur bleu plus claire comme arrière-plan.")</f>
        <v>Les icônes de la barre de navigation servent d'offre visuelle qui indique que l'article est exploitable. Par exemple, lorsqu'il oscille un élément de navigation, il apparaîtra en couleur bleu plus claire comme arrière-plan.</v>
      </c>
      <c r="I211" s="10" t="str">
        <f>IFERROR(__xludf.DUMMYFUNCTION("GOOGLETRANSLATE(E211,""en"",""de"")"),"Die Symbole in der Navigationsleiste dienen als visuelles Leistungsverhältnis, der angibt, dass das Element umsetzbar ist. Wenn Sie beispielsweise ein Navigationselement schweben, erscheint es heller blau als Hintergrund.")</f>
        <v>Die Symbole in der Navigationsleiste dienen als visuelles Leistungsverhältnis, der angibt, dass das Element umsetzbar ist. Wenn Sie beispielsweise ein Navigationselement schweben, erscheint es heller blau als Hintergrund.</v>
      </c>
    </row>
    <row r="212">
      <c r="A212" s="9" t="s">
        <v>380</v>
      </c>
      <c r="B212" s="9" t="s">
        <v>386</v>
      </c>
      <c r="C212" s="9" t="s">
        <v>108</v>
      </c>
      <c r="D212" s="9" t="s">
        <v>12</v>
      </c>
      <c r="E212" s="10" t="s">
        <v>387</v>
      </c>
      <c r="F212" s="10" t="str">
        <f>IFERROR(__xludf.DUMMYFUNCTION("GOOGLETRANSLATE(E212,""en"", ""ja"")"),"ナビゲーションアイテムがグループである場合、他のページにアクセスする機能がありません。ナビゲーションアイテムグループを拡張または崩壊させることができます。")</f>
        <v>ナビゲーションアイテムがグループである場合、他のページにアクセスする機能がありません。ナビゲーションアイテムグループを拡張または崩壊させることができます。</v>
      </c>
      <c r="G212" s="10" t="str">
        <f>IFERROR(__xludf.DUMMYFUNCTION("GOOGLETRANSLATE(E212,""en"",""zh-cn"")"),"如果导航项目是组，则它没有访问其他页面的功能。只能扩展或折叠导航项目组。")</f>
        <v>如果导航项目是组，则它没有访问其他页面的功能。只能扩展或折叠导航项目组。</v>
      </c>
      <c r="H212" s="10" t="str">
        <f>IFERROR(__xludf.DUMMYFUNCTION("GOOGLETRANSLATE(E212,""en"",""fr"")"),"Si un élément de navigation est un groupe, il n'a pas la fonction d'accès à d'autres pages. Ne peut que développer ou effondrer le groupe d'articles de navigation.")</f>
        <v>Si un élément de navigation est un groupe, il n'a pas la fonction d'accès à d'autres pages. Ne peut que développer ou effondrer le groupe d'articles de navigation.</v>
      </c>
      <c r="I212" s="10" t="str">
        <f>IFERROR(__xludf.DUMMYFUNCTION("GOOGLETRANSLATE(E212,""en"",""de"")"),"Wenn ein Navigationselement eine Gruppe ist, hat es nicht die Funktion, auf andere Seiten zuzugreifen. Kann die Navigationselementgruppe nur erweitern oder zusammenbrechen.")</f>
        <v>Wenn ein Navigationselement eine Gruppe ist, hat es nicht die Funktion, auf andere Seiten zuzugreifen. Kann die Navigationselementgruppe nur erweitern oder zusammenbrechen.</v>
      </c>
    </row>
    <row r="213">
      <c r="A213" s="9" t="s">
        <v>380</v>
      </c>
      <c r="B213" s="9" t="s">
        <v>388</v>
      </c>
      <c r="C213" s="9" t="s">
        <v>108</v>
      </c>
      <c r="D213" s="9" t="s">
        <v>12</v>
      </c>
      <c r="E213" s="10" t="s">
        <v>389</v>
      </c>
      <c r="F213" s="10" t="str">
        <f>IFERROR(__xludf.DUMMYFUNCTION("GOOGLETRANSLATE(E213,""en"", ""ja"")"),"ダッシュボード")</f>
        <v>ダッシュボード</v>
      </c>
      <c r="G213" s="10" t="str">
        <f>IFERROR(__xludf.DUMMYFUNCTION("GOOGLETRANSLATE(E213,""en"",""zh-cn"")"),"仪表板")</f>
        <v>仪表板</v>
      </c>
      <c r="H213" s="10" t="str">
        <f>IFERROR(__xludf.DUMMYFUNCTION("GOOGLETRANSLATE(E213,""en"",""fr"")"),"Tableau de bord")</f>
        <v>Tableau de bord</v>
      </c>
      <c r="I213" s="10" t="str">
        <f>IFERROR(__xludf.DUMMYFUNCTION("GOOGLETRANSLATE(E213,""en"",""de"")"),"Armaturenbrett")</f>
        <v>Armaturenbrett</v>
      </c>
    </row>
    <row r="214">
      <c r="A214" s="9" t="s">
        <v>380</v>
      </c>
      <c r="B214" s="9" t="s">
        <v>390</v>
      </c>
      <c r="C214" s="9" t="s">
        <v>108</v>
      </c>
      <c r="D214" s="9" t="s">
        <v>12</v>
      </c>
      <c r="E214" s="10" t="s">
        <v>391</v>
      </c>
      <c r="F214" s="10" t="str">
        <f>IFERROR(__xludf.DUMMYFUNCTION("GOOGLETRANSLATE(E214,""en"", ""ja"")"),"ユーザー管理")</f>
        <v>ユーザー管理</v>
      </c>
      <c r="G214" s="10" t="str">
        <f>IFERROR(__xludf.DUMMYFUNCTION("GOOGLETRANSLATE(E214,""en"",""zh-cn"")"),"用户管理")</f>
        <v>用户管理</v>
      </c>
      <c r="H214" s="10" t="str">
        <f>IFERROR(__xludf.DUMMYFUNCTION("GOOGLETRANSLATE(E214,""en"",""fr"")"),"Gestion des utilisateurs")</f>
        <v>Gestion des utilisateurs</v>
      </c>
      <c r="I214" s="10" t="str">
        <f>IFERROR(__xludf.DUMMYFUNCTION("GOOGLETRANSLATE(E214,""en"",""de"")"),"Benutzerverwaltung")</f>
        <v>Benutzerverwaltung</v>
      </c>
    </row>
    <row r="215">
      <c r="A215" s="9" t="s">
        <v>380</v>
      </c>
      <c r="B215" s="9" t="s">
        <v>392</v>
      </c>
      <c r="C215" s="9" t="s">
        <v>108</v>
      </c>
      <c r="D215" s="9" t="s">
        <v>12</v>
      </c>
      <c r="E215" s="10" t="s">
        <v>393</v>
      </c>
      <c r="F215" s="10" t="str">
        <f>IFERROR(__xludf.DUMMYFUNCTION("GOOGLETRANSLATE(E215,""en"", ""ja"")"),"サブNAVアイテム1")</f>
        <v>サブNAVアイテム1</v>
      </c>
      <c r="G215" s="10" t="str">
        <f>IFERROR(__xludf.DUMMYFUNCTION("GOOGLETRANSLATE(E215,""en"",""zh-cn"")"),"Sub Nav Item1")</f>
        <v>Sub Nav Item1</v>
      </c>
      <c r="H215" s="10" t="str">
        <f>IFERROR(__xludf.DUMMYFUNCTION("GOOGLETRANSLATE(E215,""en"",""fr"")"),"Sub Nav Item1")</f>
        <v>Sub Nav Item1</v>
      </c>
      <c r="I215" s="10" t="str">
        <f>IFERROR(__xludf.DUMMYFUNCTION("GOOGLETRANSLATE(E215,""en"",""de"")"),"Sub Navig Item1")</f>
        <v>Sub Navig Item1</v>
      </c>
    </row>
    <row r="216">
      <c r="A216" s="9" t="s">
        <v>380</v>
      </c>
      <c r="B216" s="9" t="s">
        <v>394</v>
      </c>
      <c r="C216" s="9" t="s">
        <v>108</v>
      </c>
      <c r="D216" s="9" t="s">
        <v>12</v>
      </c>
      <c r="E216" s="10" t="s">
        <v>395</v>
      </c>
      <c r="F216" s="10" t="str">
        <f>IFERROR(__xludf.DUMMYFUNCTION("GOOGLETRANSLATE(E216,""en"", ""ja"")"),"サブNAVアイテム2")</f>
        <v>サブNAVアイテム2</v>
      </c>
      <c r="G216" s="10" t="str">
        <f>IFERROR(__xludf.DUMMYFUNCTION("GOOGLETRANSLATE(E216,""en"",""zh-cn"")"),"Sub Nav Item2")</f>
        <v>Sub Nav Item2</v>
      </c>
      <c r="H216" s="10" t="str">
        <f>IFERROR(__xludf.DUMMYFUNCTION("GOOGLETRANSLATE(E216,""en"",""fr"")"),"Sub Nav Item2")</f>
        <v>Sub Nav Item2</v>
      </c>
      <c r="I216" s="10" t="str">
        <f>IFERROR(__xludf.DUMMYFUNCTION("GOOGLETRANSLATE(E216,""en"",""de"")"),"Sub Navig Item2")</f>
        <v>Sub Navig Item2</v>
      </c>
    </row>
    <row r="217">
      <c r="A217" s="9" t="s">
        <v>380</v>
      </c>
      <c r="B217" s="9" t="s">
        <v>396</v>
      </c>
      <c r="C217" s="9" t="s">
        <v>108</v>
      </c>
      <c r="D217" s="9" t="s">
        <v>12</v>
      </c>
      <c r="E217" s="10" t="s">
        <v>397</v>
      </c>
      <c r="F217" s="10" t="str">
        <f>IFERROR(__xludf.DUMMYFUNCTION("GOOGLETRANSLATE(E217,""en"", ""ja"")"),"サブNAVアイテム3")</f>
        <v>サブNAVアイテム3</v>
      </c>
      <c r="G217" s="10" t="str">
        <f>IFERROR(__xludf.DUMMYFUNCTION("GOOGLETRANSLATE(E217,""en"",""zh-cn"")"),"Sub Nav Item3")</f>
        <v>Sub Nav Item3</v>
      </c>
      <c r="H217" s="10" t="str">
        <f>IFERROR(__xludf.DUMMYFUNCTION("GOOGLETRANSLATE(E217,""en"",""fr"")"),"Sub Nav Item3")</f>
        <v>Sub Nav Item3</v>
      </c>
      <c r="I217" s="10" t="str">
        <f>IFERROR(__xludf.DUMMYFUNCTION("GOOGLETRANSLATE(E217,""en"",""de"")"),"SUB NAVE Item3")</f>
        <v>SUB NAVE Item3</v>
      </c>
    </row>
    <row r="218">
      <c r="A218" s="9" t="s">
        <v>380</v>
      </c>
      <c r="B218" s="9" t="s">
        <v>398</v>
      </c>
      <c r="C218" s="9" t="s">
        <v>108</v>
      </c>
      <c r="D218" s="9" t="s">
        <v>12</v>
      </c>
      <c r="E218" s="10" t="s">
        <v>399</v>
      </c>
      <c r="F218" s="10" t="str">
        <f>IFERROR(__xludf.DUMMYFUNCTION("GOOGLETRANSLATE(E218,""en"", ""ja"")"),"長いタイトルのユーザー管理")</f>
        <v>長いタイトルのユーザー管理</v>
      </c>
      <c r="G218" s="10" t="str">
        <f>IFERROR(__xludf.DUMMYFUNCTION("GOOGLETRANSLATE(E218,""en"",""zh-cn"")"),"用户管理长标题")</f>
        <v>用户管理长标题</v>
      </c>
      <c r="H218" s="10" t="str">
        <f>IFERROR(__xludf.DUMMYFUNCTION("GOOGLETRANSLATE(E218,""en"",""fr"")"),"Gestion des utilisateurs avec un long titre")</f>
        <v>Gestion des utilisateurs avec un long titre</v>
      </c>
      <c r="I218" s="10" t="str">
        <f>IFERROR(__xludf.DUMMYFUNCTION("GOOGLETRANSLATE(E218,""en"",""de"")"),"Benutzerverwaltung mit langem Titel")</f>
        <v>Benutzerverwaltung mit langem Titel</v>
      </c>
    </row>
    <row r="219">
      <c r="A219" s="9" t="s">
        <v>380</v>
      </c>
      <c r="B219" s="9" t="s">
        <v>400</v>
      </c>
      <c r="C219" s="9" t="s">
        <v>108</v>
      </c>
      <c r="D219" s="9" t="s">
        <v>12</v>
      </c>
      <c r="E219" s="10" t="s">
        <v>401</v>
      </c>
      <c r="F219" s="10" t="str">
        <f>IFERROR(__xludf.DUMMYFUNCTION("GOOGLETRANSLATE(E219,""en"", ""ja"")"),"長いタイトルの長いタイトルの長い長いタイトル長いタイトル長いタイトル長いタイトル長いタイトルを持つサブナビットアイテム1")</f>
        <v>長いタイトルの長いタイトルの長い長いタイトル長いタイトル長いタイトル長いタイトル長いタイトルを持つサブナビットアイテム1</v>
      </c>
      <c r="G219" s="10" t="str">
        <f>IFERROR(__xludf.DUMMYFUNCTION("GOOGLETRANSLATE(E219,""en"",""zh-cn"")"),"sub nav item1，长长标题长的长标题长标题长标题长标题长标题长标题长标题长标题长长长")</f>
        <v>sub nav item1，长长标题长的长标题长标题长标题长标题长标题长标题长标题长标题长长长</v>
      </c>
      <c r="H219" s="10" t="str">
        <f>IFERROR(__xludf.DUMMYFUNCTION("GOOGLETRANSLATE(E219,""en"",""fr"")"),"Sub Item1 avec long titre long Titre long long Titre long long Titre long long Titre long long titre Titre de long titre long long long long long long")</f>
        <v>Sub Item1 avec long titre long Titre long long Titre long long Titre long long Titre long long titre Titre de long titre long long long long long long</v>
      </c>
      <c r="I219" s="10" t="str">
        <f>IFERROR(__xludf.DUMMYFUNCTION("GOOGLETRANSLATE(E219,""en"",""de"")"),"Sub nav item1 mit lang langem tital lang langer tital lang lang lang lang langer titel lang langer titeltitel lang langer tital lang lang lang lang lang")</f>
        <v>Sub nav item1 mit lang langem tital lang langer tital lang lang lang lang langer titel lang langer titeltitel lang langer tital lang lang lang lang lang</v>
      </c>
    </row>
    <row r="220">
      <c r="A220" s="9" t="s">
        <v>380</v>
      </c>
      <c r="B220" s="9" t="s">
        <v>402</v>
      </c>
      <c r="C220" s="9" t="s">
        <v>108</v>
      </c>
      <c r="D220" s="9" t="s">
        <v>12</v>
      </c>
      <c r="E220" s="10" t="s">
        <v>403</v>
      </c>
      <c r="F220" s="10" t="str">
        <f>IFERROR(__xludf.DUMMYFUNCTION("GOOGLETRANSLATE(E220,""en"", ""ja"")"),"テンプレート")</f>
        <v>テンプレート</v>
      </c>
      <c r="G220" s="10" t="str">
        <f>IFERROR(__xludf.DUMMYFUNCTION("GOOGLETRANSLATE(E220,""en"",""zh-cn"")"),"模板")</f>
        <v>模板</v>
      </c>
      <c r="H220" s="10" t="str">
        <f>IFERROR(__xludf.DUMMYFUNCTION("GOOGLETRANSLATE(E220,""en"",""fr"")"),"Modèles")</f>
        <v>Modèles</v>
      </c>
      <c r="I220" s="10" t="str">
        <f>IFERROR(__xludf.DUMMYFUNCTION("GOOGLETRANSLATE(E220,""en"",""de"")"),"Vorlagen")</f>
        <v>Vorlagen</v>
      </c>
    </row>
    <row r="221">
      <c r="A221" s="9" t="s">
        <v>380</v>
      </c>
      <c r="B221" s="9" t="s">
        <v>404</v>
      </c>
      <c r="C221" s="9" t="s">
        <v>108</v>
      </c>
      <c r="D221" s="9" t="s">
        <v>12</v>
      </c>
      <c r="E221" s="10" t="s">
        <v>405</v>
      </c>
      <c r="F221" s="10" t="str">
        <f>IFERROR(__xludf.DUMMYFUNCTION("GOOGLETRANSLATE(E221,""en"", ""ja"")"),"ヘルプ")</f>
        <v>ヘルプ</v>
      </c>
      <c r="G221" s="10" t="str">
        <f>IFERROR(__xludf.DUMMYFUNCTION("GOOGLETRANSLATE(E221,""en"",""zh-cn"")"),"帮助")</f>
        <v>帮助</v>
      </c>
      <c r="H221" s="10" t="str">
        <f>IFERROR(__xludf.DUMMYFUNCTION("GOOGLETRANSLATE(E221,""en"",""fr"")"),"Aide")</f>
        <v>Aide</v>
      </c>
      <c r="I221" s="10" t="str">
        <f>IFERROR(__xludf.DUMMYFUNCTION("GOOGLETRANSLATE(E221,""en"",""de"")"),"Helfen")</f>
        <v>Helfen</v>
      </c>
    </row>
    <row r="222">
      <c r="A222" s="9" t="s">
        <v>380</v>
      </c>
      <c r="B222" s="9" t="s">
        <v>406</v>
      </c>
      <c r="C222" s="9" t="s">
        <v>108</v>
      </c>
      <c r="D222" s="9" t="s">
        <v>12</v>
      </c>
      <c r="E222" s="10" t="s">
        <v>407</v>
      </c>
      <c r="F222" s="10" t="str">
        <f>IFERROR(__xludf.DUMMYFUNCTION("GOOGLETRANSLATE(E222,""en"", ""ja"")"),"設定")</f>
        <v>設定</v>
      </c>
      <c r="G222" s="10" t="str">
        <f>IFERROR(__xludf.DUMMYFUNCTION("GOOGLETRANSLATE(E222,""en"",""zh-cn"")"),"设置")</f>
        <v>设置</v>
      </c>
      <c r="H222" s="10" t="str">
        <f>IFERROR(__xludf.DUMMYFUNCTION("GOOGLETRANSLATE(E222,""en"",""fr"")"),"Paramètres")</f>
        <v>Paramètres</v>
      </c>
      <c r="I222" s="10" t="str">
        <f>IFERROR(__xludf.DUMMYFUNCTION("GOOGLETRANSLATE(E222,""en"",""de"")"),"Einstellungen")</f>
        <v>Einstellungen</v>
      </c>
    </row>
    <row r="223">
      <c r="A223" s="9" t="s">
        <v>380</v>
      </c>
      <c r="B223" s="9" t="s">
        <v>408</v>
      </c>
      <c r="C223" s="9" t="s">
        <v>108</v>
      </c>
      <c r="D223" s="9" t="s">
        <v>12</v>
      </c>
      <c r="E223" s="10" t="s">
        <v>409</v>
      </c>
      <c r="F223" s="10" t="str">
        <f>IFERROR(__xludf.DUMMYFUNCTION("GOOGLETRANSLATE(E223,""en"", ""ja"")"),"ナビゲーションカラップ")</f>
        <v>ナビゲーションカラップ</v>
      </c>
      <c r="G223" s="10" t="str">
        <f>IFERROR(__xludf.DUMMYFUNCTION("GOOGLETRANSLATE(E223,""en"",""zh-cn"")"),"导航汇编")</f>
        <v>导航汇编</v>
      </c>
      <c r="H223" s="10" t="str">
        <f>IFERROR(__xludf.DUMMYFUNCTION("GOOGLETRANSLATE(E223,""en"",""fr"")"),"À la navigation")</f>
        <v>À la navigation</v>
      </c>
      <c r="I223" s="10" t="str">
        <f>IFERROR(__xludf.DUMMYFUNCTION("GOOGLETRANSLATE(E223,""en"",""de"")"),"Navigationskollaps")</f>
        <v>Navigationskollaps</v>
      </c>
    </row>
    <row r="224">
      <c r="A224" s="9" t="s">
        <v>380</v>
      </c>
      <c r="B224" s="9" t="s">
        <v>410</v>
      </c>
      <c r="C224" s="9" t="s">
        <v>108</v>
      </c>
      <c r="D224" s="9" t="s">
        <v>12</v>
      </c>
      <c r="E224" s="10" t="s">
        <v>411</v>
      </c>
      <c r="F224" s="10" t="str">
        <f>IFERROR(__xludf.DUMMYFUNCTION("GOOGLETRANSLATE(E224,""en"", ""ja"")"),"ナビゲーションメニューは常に崩壊します。")</f>
        <v>ナビゲーションメニューは常に崩壊します。</v>
      </c>
      <c r="G224" s="10" t="str">
        <f>IFERROR(__xludf.DUMMYFUNCTION("GOOGLETRANSLATE(E224,""en"",""zh-cn"")"),"导航菜单始终崩溃。")</f>
        <v>导航菜单始终崩溃。</v>
      </c>
      <c r="H224" s="10" t="str">
        <f>IFERROR(__xludf.DUMMYFUNCTION("GOOGLETRANSLATE(E224,""en"",""fr"")"),"Le menu de navigation est toujours effondré.")</f>
        <v>Le menu de navigation est toujours effondré.</v>
      </c>
      <c r="I224" s="10" t="str">
        <f>IFERROR(__xludf.DUMMYFUNCTION("GOOGLETRANSLATE(E224,""en"",""de"")"),"Das Navigationsmenü ist immer zusammengebrochen.")</f>
        <v>Das Navigationsmenü ist immer zusammengebrochen.</v>
      </c>
    </row>
    <row r="225">
      <c r="A225" s="9" t="s">
        <v>380</v>
      </c>
      <c r="B225" s="9" t="s">
        <v>412</v>
      </c>
      <c r="C225" s="9" t="s">
        <v>108</v>
      </c>
      <c r="D225" s="9" t="s">
        <v>12</v>
      </c>
      <c r="E225" s="10" t="s">
        <v>413</v>
      </c>
      <c r="F225" s="10" t="str">
        <f>IFERROR(__xludf.DUMMYFUNCTION("GOOGLETRANSLATE(E225,""en"", ""ja"")"),"ライト")</f>
        <v>ライト</v>
      </c>
      <c r="G225" s="10" t="str">
        <f>IFERROR(__xludf.DUMMYFUNCTION("GOOGLETRANSLATE(E225,""en"",""zh-cn"")"),"光")</f>
        <v>光</v>
      </c>
      <c r="H225" s="10" t="str">
        <f>IFERROR(__xludf.DUMMYFUNCTION("GOOGLETRANSLATE(E225,""en"",""fr"")"),"Lumière")</f>
        <v>Lumière</v>
      </c>
      <c r="I225" s="10" t="str">
        <f>IFERROR(__xludf.DUMMYFUNCTION("GOOGLETRANSLATE(E225,""en"",""de"")"),"Licht")</f>
        <v>Licht</v>
      </c>
    </row>
    <row r="226">
      <c r="A226" s="11"/>
      <c r="B226" s="11"/>
      <c r="C226" s="11"/>
      <c r="D226" s="11"/>
      <c r="E226" s="11"/>
      <c r="F226" s="11"/>
      <c r="G226" s="11"/>
      <c r="H226" s="11"/>
      <c r="I226" s="11"/>
    </row>
    <row r="227">
      <c r="A227" s="9" t="s">
        <v>414</v>
      </c>
      <c r="B227" s="9" t="s">
        <v>209</v>
      </c>
      <c r="C227" s="9" t="s">
        <v>112</v>
      </c>
      <c r="D227" s="9" t="s">
        <v>12</v>
      </c>
      <c r="E227" s="10" t="s">
        <v>415</v>
      </c>
      <c r="F227" s="10" t="str">
        <f>IFERROR(__xludf.DUMMYFUNCTION("GOOGLETRANSLATE(E227,""en"", ""ja"")"),"タブ{{index}}")</f>
        <v>タブ{{index}}</v>
      </c>
      <c r="G227" s="10" t="s">
        <v>416</v>
      </c>
      <c r="H227" s="10" t="s">
        <v>417</v>
      </c>
      <c r="I227" s="10" t="str">
        <f>IFERROR(__xludf.DUMMYFUNCTION("GOOGLETRANSLATE(E227,""en"",""de"")"),"Tab {{index}}")</f>
        <v>Tab {{index}}</v>
      </c>
    </row>
    <row r="228">
      <c r="A228" s="9" t="s">
        <v>414</v>
      </c>
      <c r="B228" s="9" t="s">
        <v>210</v>
      </c>
      <c r="C228" s="9" t="s">
        <v>112</v>
      </c>
      <c r="D228" s="9" t="s">
        <v>12</v>
      </c>
      <c r="E228" s="10" t="s">
        <v>418</v>
      </c>
      <c r="F228" s="10" t="str">
        <f>IFERROR(__xludf.DUMMYFUNCTION("GOOGLETRANSLATE(E228,""en"", ""ja"")"),"タブは、ナビゲーションを通じて表示および非表示の単一のコンテナに関連コンテンツを保持します。")</f>
        <v>タブは、ナビゲーションを通じて表示および非表示の単一のコンテナに関連コンテンツを保持します。</v>
      </c>
      <c r="G228" s="10" t="str">
        <f>IFERROR(__xludf.DUMMYFUNCTION("GOOGLETRANSLATE(E228,""en"",""zh-cn"")"),"标签将相关内容保留在单个容器中，该内容通过导航显示并隐藏。")</f>
        <v>标签将相关内容保留在单个容器中，该内容通过导航显示并隐藏。</v>
      </c>
      <c r="H228" s="10" t="str">
        <f>IFERROR(__xludf.DUMMYFUNCTION("GOOGLETRANSLATE(E228,""en"",""fr"")"),"Les onglets conservent le contenu connexe dans un seul conteneur qui est affiché et caché par la navigation.")</f>
        <v>Les onglets conservent le contenu connexe dans un seul conteneur qui est affiché et caché par la navigation.</v>
      </c>
      <c r="I228" s="10" t="str">
        <f>IFERROR(__xludf.DUMMYFUNCTION("GOOGLETRANSLATE(E228,""en"",""de"")"),"Registerkarten halten den verwandten Inhalt in einem einzelnen Container, der durch Navigation gezeigt und versteckt wird.")</f>
        <v>Registerkarten halten den verwandten Inhalt in einem einzelnen Container, der durch Navigation gezeigt und versteckt wird.</v>
      </c>
    </row>
    <row r="229">
      <c r="A229" s="9" t="s">
        <v>414</v>
      </c>
      <c r="B229" s="9" t="s">
        <v>355</v>
      </c>
      <c r="C229" s="9" t="s">
        <v>112</v>
      </c>
      <c r="D229" s="9" t="s">
        <v>12</v>
      </c>
      <c r="E229" s="10" t="s">
        <v>419</v>
      </c>
      <c r="F229" s="10" t="str">
        <f>IFERROR(__xludf.DUMMYFUNCTION("GOOGLETRANSLATE(E229,""en"", ""ja"")"),"一度にあまりにも多くのタブを表示しないでください。ユーザーは7〜9以上の名前を思い出せません。残りのタブを「...」より多くのアクションに崩壊させます。")</f>
        <v>一度にあまりにも多くのタブを表示しないでください。ユーザーは7〜9以上の名前を思い出せません。残りのタブを「...」より多くのアクションに崩壊させます。</v>
      </c>
      <c r="G229" s="10" t="str">
        <f>IFERROR(__xludf.DUMMYFUNCTION("GOOGLETRANSLATE(E229,""en"",""zh-cn"")"),"一次不要显示太多选项卡，用户不记得超过7-9个名称。将其余的标签倒入“ ...”更多动作中。")</f>
        <v>一次不要显示太多选项卡，用户不记得超过7-9个名称。将其余的标签倒入“ ...”更多动作中。</v>
      </c>
      <c r="H229" s="10" t="str">
        <f>IFERROR(__xludf.DUMMYFUNCTION("GOOGLETRANSLATE(E229,""en"",""fr"")"),"N'affichez pas trop d'onglets à la fois, l'utilisateur ne se souvient pas de plus de 7 à 9 noms. Effondrer le reste des onglets sur ""..."" Plus d'action.")</f>
        <v>N'affichez pas trop d'onglets à la fois, l'utilisateur ne se souvient pas de plus de 7 à 9 noms. Effondrer le reste des onglets sur "..." Plus d'action.</v>
      </c>
      <c r="I229" s="10" t="str">
        <f>IFERROR(__xludf.DUMMYFUNCTION("GOOGLETRANSLATE(E229,""en"",""de"")"),"Zeigen Sie nicht zu viele Registerkarten gleichzeitig an, der Benutzer kann sich nicht mehr als 7-9 Namen erinnern. Zusammenfassen Sie den Rest der Registerkarten in ""..."" mehr Aktion.")</f>
        <v>Zeigen Sie nicht zu viele Registerkarten gleichzeitig an, der Benutzer kann sich nicht mehr als 7-9 Namen erinnern. Zusammenfassen Sie den Rest der Registerkarten in "..." mehr Aktion.</v>
      </c>
    </row>
    <row r="230">
      <c r="A230" s="9" t="s">
        <v>414</v>
      </c>
      <c r="B230" s="9" t="s">
        <v>420</v>
      </c>
      <c r="C230" s="9" t="s">
        <v>112</v>
      </c>
      <c r="D230" s="9" t="s">
        <v>12</v>
      </c>
      <c r="E230" s="10" t="s">
        <v>421</v>
      </c>
      <c r="F230" s="10" t="str">
        <f>IFERROR(__xludf.DUMMYFUNCTION("GOOGLETRANSLATE(E230,""en"", ""ja"")"),"カードスタイル")</f>
        <v>カードスタイル</v>
      </c>
      <c r="G230" s="10" t="str">
        <f>IFERROR(__xludf.DUMMYFUNCTION("GOOGLETRANSLATE(E230,""en"",""zh-cn"")"),"卡样式")</f>
        <v>卡样式</v>
      </c>
      <c r="H230" s="10" t="str">
        <f>IFERROR(__xludf.DUMMYFUNCTION("GOOGLETRANSLATE(E230,""en"",""fr"")"),"Style de carte")</f>
        <v>Style de carte</v>
      </c>
      <c r="I230" s="10" t="str">
        <f>IFERROR(__xludf.DUMMYFUNCTION("GOOGLETRANSLATE(E230,""en"",""de"")"),"Kartenstil")</f>
        <v>Kartenstil</v>
      </c>
    </row>
    <row r="231">
      <c r="A231" s="9" t="s">
        <v>414</v>
      </c>
      <c r="B231" s="9" t="s">
        <v>422</v>
      </c>
      <c r="C231" s="9" t="s">
        <v>112</v>
      </c>
      <c r="D231" s="9" t="s">
        <v>12</v>
      </c>
      <c r="E231" s="10" t="s">
        <v>423</v>
      </c>
      <c r="F231" s="10" t="str">
        <f>IFERROR(__xludf.DUMMYFUNCTION("GOOGLETRANSLATE(E231,""en"", ""ja"")"),"タブはカードとしてスタイルされています。ページレイアウトに従って、カードスタイルのタブを選択します。")</f>
        <v>タブはカードとしてスタイルされています。ページレイアウトに従って、カードスタイルのタブを選択します。</v>
      </c>
      <c r="G231" s="10" t="str">
        <f>IFERROR(__xludf.DUMMYFUNCTION("GOOGLETRANSLATE(E231,""en"",""zh-cn"")"),"标签被视为卡片。根据您的页面布局选择卡式选项卡。")</f>
        <v>标签被视为卡片。根据您的页面布局选择卡式选项卡。</v>
      </c>
      <c r="H231" s="10" t="str">
        <f>IFERROR(__xludf.DUMMYFUNCTION("GOOGLETRANSLATE(E231,""en"",""fr"")"),"Les onglets sont appelés cartes. Choisissez un onglet de style carte en fonction de la mise en page de votre page.")</f>
        <v>Les onglets sont appelés cartes. Choisissez un onglet de style carte en fonction de la mise en page de votre page.</v>
      </c>
      <c r="I231" s="10" t="str">
        <f>IFERROR(__xludf.DUMMYFUNCTION("GOOGLETRANSLATE(E231,""en"",""de"")"),"Registerkarten werden als Karten bezeichnet. Wählen Sie eine Registerkarte im Kartenstil gemäß Ihrem Seitenlayout.")</f>
        <v>Registerkarten werden als Karten bezeichnet. Wählen Sie eine Registerkarte im Kartenstil gemäß Ihrem Seitenlayout.</v>
      </c>
    </row>
    <row r="232">
      <c r="A232" s="9" t="s">
        <v>414</v>
      </c>
      <c r="B232" s="9" t="s">
        <v>424</v>
      </c>
      <c r="C232" s="9" t="s">
        <v>112</v>
      </c>
      <c r="D232" s="9" t="s">
        <v>12</v>
      </c>
      <c r="E232" s="10" t="s">
        <v>425</v>
      </c>
      <c r="F232" s="10" t="str">
        <f>IFERROR(__xludf.DUMMYFUNCTION("GOOGLETRANSLATE(E232,""en"", ""ja"")"),"垂直タブ")</f>
        <v>垂直タブ</v>
      </c>
      <c r="G232" s="10" t="str">
        <f>IFERROR(__xludf.DUMMYFUNCTION("GOOGLETRANSLATE(E232,""en"",""zh-cn"")"),"垂直选项卡")</f>
        <v>垂直选项卡</v>
      </c>
      <c r="H232" s="10" t="str">
        <f>IFERROR(__xludf.DUMMYFUNCTION("GOOGLETRANSLATE(E232,""en"",""fr"")"),"Tabs verticaux")</f>
        <v>Tabs verticaux</v>
      </c>
      <c r="I232" s="10" t="str">
        <f>IFERROR(__xludf.DUMMYFUNCTION("GOOGLETRANSLATE(E232,""en"",""de"")"),"Vertikale Registerkarten")</f>
        <v>Vertikale Registerkarten</v>
      </c>
    </row>
    <row r="233">
      <c r="A233" s="9" t="s">
        <v>414</v>
      </c>
      <c r="B233" s="9" t="s">
        <v>426</v>
      </c>
      <c r="C233" s="9" t="s">
        <v>112</v>
      </c>
      <c r="D233" s="9" t="s">
        <v>12</v>
      </c>
      <c r="E233" s="10" t="s">
        <v>427</v>
      </c>
      <c r="F233" s="10" t="str">
        <f>IFERROR(__xludf.DUMMYFUNCTION("GOOGLETRANSLATE(E233,""en"", ""ja"")"),"垂直タブは、水平スペースの上部ではなく、垂直スペースの左側に配置されたタブです。")</f>
        <v>垂直タブは、水平スペースの上部ではなく、垂直スペースの左側に配置されたタブです。</v>
      </c>
      <c r="G233" s="10" t="str">
        <f>IFERROR(__xludf.DUMMYFUNCTION("GOOGLETRANSLATE(E233,""en"",""zh-cn"")"),"垂直选项卡是在垂直空间中左侧排列的选项卡，而不是在水平空间中的顶部。")</f>
        <v>垂直选项卡是在垂直空间中左侧排列的选项卡，而不是在水平空间中的顶部。</v>
      </c>
      <c r="H233" s="10" t="str">
        <f>IFERROR(__xludf.DUMMYFUNCTION("GOOGLETRANSLATE(E233,""en"",""fr"")"),"Les onglets verticaux sont les onglets disposés à gauche dans un espace vertical, au lieu de haut dans un espace horizontal.")</f>
        <v>Les onglets verticaux sont les onglets disposés à gauche dans un espace vertical, au lieu de haut dans un espace horizontal.</v>
      </c>
      <c r="I233" s="10" t="str">
        <f>IFERROR(__xludf.DUMMYFUNCTION("GOOGLETRANSLATE(E233,""en"",""de"")"),"Vertikale Registerkarten sind die Registerkarten, die links in einem vertikalen Raum angeordnet sind, anstatt oben in einem horizontalen Raum.")</f>
        <v>Vertikale Registerkarten sind die Registerkarten, die links in einem vertikalen Raum angeordnet sind, anstatt oben in einem horizontalen Raum.</v>
      </c>
    </row>
    <row r="234">
      <c r="A234" s="11"/>
      <c r="B234" s="11"/>
      <c r="C234" s="11"/>
      <c r="D234" s="11"/>
      <c r="E234" s="11"/>
      <c r="F234" s="11"/>
      <c r="G234" s="11"/>
      <c r="H234" s="11"/>
      <c r="I234" s="11"/>
    </row>
    <row r="235">
      <c r="A235" s="9" t="s">
        <v>428</v>
      </c>
      <c r="B235" s="9" t="s">
        <v>209</v>
      </c>
      <c r="C235" s="9" t="s">
        <v>114</v>
      </c>
      <c r="D235" s="9" t="s">
        <v>12</v>
      </c>
      <c r="E235" s="10" t="s">
        <v>115</v>
      </c>
      <c r="F235" s="10" t="str">
        <f>IFERROR(__xludf.DUMMYFUNCTION("GOOGLETRANSLATE(E235,""en"", ""ja"")"),"木")</f>
        <v>木</v>
      </c>
      <c r="G235" s="10" t="str">
        <f>IFERROR(__xludf.DUMMYFUNCTION("GOOGLETRANSLATE(E235,""en"",""zh-cn"")"),"树")</f>
        <v>树</v>
      </c>
      <c r="H235" s="10" t="str">
        <f>IFERROR(__xludf.DUMMYFUNCTION("GOOGLETRANSLATE(E235,""en"",""fr"")"),"Arbre")</f>
        <v>Arbre</v>
      </c>
      <c r="I235" s="10" t="str">
        <f>IFERROR(__xludf.DUMMYFUNCTION("GOOGLETRANSLATE(E235,""en"",""de"")"),"Baum")</f>
        <v>Baum</v>
      </c>
    </row>
    <row r="236">
      <c r="A236" s="9" t="s">
        <v>428</v>
      </c>
      <c r="B236" s="9" t="s">
        <v>210</v>
      </c>
      <c r="C236" s="9" t="s">
        <v>114</v>
      </c>
      <c r="D236" s="9" t="s">
        <v>12</v>
      </c>
      <c r="E236" s="10" t="s">
        <v>429</v>
      </c>
      <c r="F236" s="10" t="str">
        <f>IFERROR(__xludf.DUMMYFUNCTION("GOOGLETRANSLATE(E236,""en"", ""ja"")"),"構造全体を強調するために、複雑な階層で使用できます。")</f>
        <v>構造全体を強調するために、複雑な階層で使用できます。</v>
      </c>
      <c r="G236" s="10" t="str">
        <f>IFERROR(__xludf.DUMMYFUNCTION("GOOGLETRANSLATE(E236,""en"",""zh-cn"")"),"可以在复杂的层次结构中用于强调整个结构。")</f>
        <v>可以在复杂的层次结构中用于强调整个结构。</v>
      </c>
      <c r="H236" s="10" t="str">
        <f>IFERROR(__xludf.DUMMYFUNCTION("GOOGLETRANSLATE(E236,""en"",""fr"")"),"Qui peut être utilisé dans une hiérarchie complexe pour souligner toute la structure.")</f>
        <v>Qui peut être utilisé dans une hiérarchie complexe pour souligner toute la structure.</v>
      </c>
      <c r="I236" s="10" t="str">
        <f>IFERROR(__xludf.DUMMYFUNCTION("GOOGLETRANSLATE(E236,""en"",""de"")"),"Dies kann in einer komplexen Hierarchie verwendet werden, um die gesamte Struktur hervorzuheben.")</f>
        <v>Dies kann in einer komplexen Hierarchie verwendet werden, um die gesamte Struktur hervorzuheben.</v>
      </c>
    </row>
    <row r="237">
      <c r="A237" s="9" t="s">
        <v>428</v>
      </c>
      <c r="B237" s="9" t="s">
        <v>430</v>
      </c>
      <c r="C237" s="9" t="s">
        <v>114</v>
      </c>
      <c r="D237" s="9" t="s">
        <v>12</v>
      </c>
      <c r="E237" s="10" t="s">
        <v>431</v>
      </c>
      <c r="F237" s="10" t="str">
        <f>IFERROR(__xludf.DUMMYFUNCTION("GOOGLETRANSLATE(E237,""en"", ""ja"")"),"栄養")</f>
        <v>栄養</v>
      </c>
      <c r="G237" s="10" t="str">
        <f>IFERROR(__xludf.DUMMYFUNCTION("GOOGLETRANSLATE(E237,""en"",""zh-cn"")"),"营养")</f>
        <v>营养</v>
      </c>
      <c r="H237" s="10" t="str">
        <f>IFERROR(__xludf.DUMMYFUNCTION("GOOGLETRANSLATE(E237,""en"",""fr"")"),"Nutrition")</f>
        <v>Nutrition</v>
      </c>
      <c r="I237" s="10" t="str">
        <f>IFERROR(__xludf.DUMMYFUNCTION("GOOGLETRANSLATE(E237,""en"",""de"")"),"Ernährung")</f>
        <v>Ernährung</v>
      </c>
    </row>
    <row r="238">
      <c r="A238" s="9" t="s">
        <v>428</v>
      </c>
      <c r="B238" s="9" t="s">
        <v>432</v>
      </c>
      <c r="C238" s="9" t="s">
        <v>114</v>
      </c>
      <c r="D238" s="9" t="s">
        <v>12</v>
      </c>
      <c r="E238" s="10" t="s">
        <v>433</v>
      </c>
      <c r="F238" s="10" t="str">
        <f>IFERROR(__xludf.DUMMYFUNCTION("GOOGLETRANSLATE(E238,""en"", ""ja"")"),"野菜")</f>
        <v>野菜</v>
      </c>
      <c r="G238" s="10" t="str">
        <f>IFERROR(__xludf.DUMMYFUNCTION("GOOGLETRANSLATE(E238,""en"",""zh-cn"")"),"蔬菜")</f>
        <v>蔬菜</v>
      </c>
      <c r="H238" s="10" t="str">
        <f>IFERROR(__xludf.DUMMYFUNCTION("GOOGLETRANSLATE(E238,""en"",""fr"")"),"Légumes")</f>
        <v>Légumes</v>
      </c>
      <c r="I238" s="10" t="str">
        <f>IFERROR(__xludf.DUMMYFUNCTION("GOOGLETRANSLATE(E238,""en"",""de"")"),"Gemüse")</f>
        <v>Gemüse</v>
      </c>
    </row>
    <row r="239">
      <c r="A239" s="9" t="s">
        <v>428</v>
      </c>
      <c r="B239" s="9" t="s">
        <v>434</v>
      </c>
      <c r="C239" s="9" t="s">
        <v>114</v>
      </c>
      <c r="D239" s="9" t="s">
        <v>12</v>
      </c>
      <c r="E239" s="10" t="s">
        <v>435</v>
      </c>
      <c r="F239" s="10" t="str">
        <f>IFERROR(__xludf.DUMMYFUNCTION("GOOGLETRANSLATE(E239,""en"", ""ja"")"),"にんじん")</f>
        <v>にんじん</v>
      </c>
      <c r="G239" s="10" t="str">
        <f>IFERROR(__xludf.DUMMYFUNCTION("GOOGLETRANSLATE(E239,""en"",""zh-cn"")"),"胡萝卜")</f>
        <v>胡萝卜</v>
      </c>
      <c r="H239" s="10" t="str">
        <f>IFERROR(__xludf.DUMMYFUNCTION("GOOGLETRANSLATE(E239,""en"",""fr"")"),"Carotte")</f>
        <v>Carotte</v>
      </c>
      <c r="I239" s="10" t="str">
        <f>IFERROR(__xludf.DUMMYFUNCTION("GOOGLETRANSLATE(E239,""en"",""de"")"),"Karotte")</f>
        <v>Karotte</v>
      </c>
    </row>
    <row r="240">
      <c r="A240" s="9" t="s">
        <v>428</v>
      </c>
      <c r="B240" s="9" t="s">
        <v>436</v>
      </c>
      <c r="C240" s="9" t="s">
        <v>114</v>
      </c>
      <c r="D240" s="9" t="s">
        <v>12</v>
      </c>
      <c r="E240" s="10" t="s">
        <v>437</v>
      </c>
      <c r="F240" s="10" t="str">
        <f>IFERROR(__xludf.DUMMYFUNCTION("GOOGLETRANSLATE(E240,""en"", ""ja"")"),"じゃがいも")</f>
        <v>じゃがいも</v>
      </c>
      <c r="G240" s="10" t="str">
        <f>IFERROR(__xludf.DUMMYFUNCTION("GOOGLETRANSLATE(E240,""en"",""zh-cn"")"),"土豆")</f>
        <v>土豆</v>
      </c>
      <c r="H240" s="10" t="str">
        <f>IFERROR(__xludf.DUMMYFUNCTION("GOOGLETRANSLATE(E240,""en"",""fr"")"),"Pomme de terre")</f>
        <v>Pomme de terre</v>
      </c>
      <c r="I240" s="10" t="str">
        <f>IFERROR(__xludf.DUMMYFUNCTION("GOOGLETRANSLATE(E240,""en"",""de"")"),"Kartoffel")</f>
        <v>Kartoffel</v>
      </c>
    </row>
    <row r="241">
      <c r="A241" s="9" t="s">
        <v>428</v>
      </c>
      <c r="B241" s="9" t="s">
        <v>438</v>
      </c>
      <c r="C241" s="9" t="s">
        <v>114</v>
      </c>
      <c r="D241" s="9" t="s">
        <v>12</v>
      </c>
      <c r="E241" s="10" t="s">
        <v>439</v>
      </c>
      <c r="F241" s="10" t="str">
        <f>IFERROR(__xludf.DUMMYFUNCTION("GOOGLETRANSLATE(E241,""en"", ""ja"")"),"キャベツ")</f>
        <v>キャベツ</v>
      </c>
      <c r="G241" s="10" t="str">
        <f>IFERROR(__xludf.DUMMYFUNCTION("GOOGLETRANSLATE(E241,""en"",""zh-cn"")"),"卷心菜")</f>
        <v>卷心菜</v>
      </c>
      <c r="H241" s="10" t="str">
        <f>IFERROR(__xludf.DUMMYFUNCTION("GOOGLETRANSLATE(E241,""en"",""fr"")"),"Chou")</f>
        <v>Chou</v>
      </c>
      <c r="I241" s="10" t="str">
        <f>IFERROR(__xludf.DUMMYFUNCTION("GOOGLETRANSLATE(E241,""en"",""de"")"),"Kohl")</f>
        <v>Kohl</v>
      </c>
    </row>
    <row r="242">
      <c r="A242" s="9" t="s">
        <v>428</v>
      </c>
      <c r="B242" s="9" t="s">
        <v>440</v>
      </c>
      <c r="C242" s="9" t="s">
        <v>114</v>
      </c>
      <c r="D242" s="9" t="s">
        <v>12</v>
      </c>
      <c r="E242" s="10" t="s">
        <v>441</v>
      </c>
      <c r="F242" s="10" t="str">
        <f>IFERROR(__xludf.DUMMYFUNCTION("GOOGLETRANSLATE(E242,""en"", ""ja"")"),"脂肪")</f>
        <v>脂肪</v>
      </c>
      <c r="G242" s="10" t="str">
        <f>IFERROR(__xludf.DUMMYFUNCTION("GOOGLETRANSLATE(E242,""en"",""zh-cn"")"),"脂肪")</f>
        <v>脂肪</v>
      </c>
      <c r="H242" s="10" t="str">
        <f>IFERROR(__xludf.DUMMYFUNCTION("GOOGLETRANSLATE(E242,""en"",""fr"")"),"Graisses")</f>
        <v>Graisses</v>
      </c>
      <c r="I242" s="10" t="str">
        <f>IFERROR(__xludf.DUMMYFUNCTION("GOOGLETRANSLATE(E242,""en"",""de"")"),"Fette")</f>
        <v>Fette</v>
      </c>
    </row>
    <row r="243">
      <c r="A243" s="9" t="s">
        <v>428</v>
      </c>
      <c r="B243" s="9" t="s">
        <v>442</v>
      </c>
      <c r="C243" s="9" t="s">
        <v>114</v>
      </c>
      <c r="D243" s="9" t="s">
        <v>12</v>
      </c>
      <c r="E243" s="10" t="s">
        <v>443</v>
      </c>
      <c r="F243" s="10" t="str">
        <f>IFERROR(__xludf.DUMMYFUNCTION("GOOGLETRANSLATE(E243,""en"", ""ja"")"),"油")</f>
        <v>油</v>
      </c>
      <c r="G243" s="10" t="str">
        <f>IFERROR(__xludf.DUMMYFUNCTION("GOOGLETRANSLATE(E243,""en"",""zh-cn"")"),"油")</f>
        <v>油</v>
      </c>
      <c r="H243" s="10" t="str">
        <f>IFERROR(__xludf.DUMMYFUNCTION("GOOGLETRANSLATE(E243,""en"",""fr"")"),"Huile")</f>
        <v>Huile</v>
      </c>
      <c r="I243" s="10" t="str">
        <f>IFERROR(__xludf.DUMMYFUNCTION("GOOGLETRANSLATE(E243,""en"",""de"")"),"Öl")</f>
        <v>Öl</v>
      </c>
    </row>
    <row r="244">
      <c r="A244" s="9" t="s">
        <v>428</v>
      </c>
      <c r="B244" s="9" t="s">
        <v>444</v>
      </c>
      <c r="C244" s="9" t="s">
        <v>114</v>
      </c>
      <c r="D244" s="9" t="s">
        <v>12</v>
      </c>
      <c r="E244" s="10" t="s">
        <v>445</v>
      </c>
      <c r="F244" s="10" t="str">
        <f>IFERROR(__xludf.DUMMYFUNCTION("GOOGLETRANSLATE(E244,""en"", ""ja"")"),"ナッツ")</f>
        <v>ナッツ</v>
      </c>
      <c r="G244" s="10" t="str">
        <f>IFERROR(__xludf.DUMMYFUNCTION("GOOGLETRANSLATE(E244,""en"",""zh-cn"")"),"坚果")</f>
        <v>坚果</v>
      </c>
      <c r="H244" s="10" t="str">
        <f>IFERROR(__xludf.DUMMYFUNCTION("GOOGLETRANSLATE(E244,""en"",""fr"")"),"Des noisettes")</f>
        <v>Des noisettes</v>
      </c>
      <c r="I244" s="10" t="str">
        <f>IFERROR(__xludf.DUMMYFUNCTION("GOOGLETRANSLATE(E244,""en"",""de"")"),"Nüsse")</f>
        <v>Nüsse</v>
      </c>
    </row>
    <row r="245">
      <c r="A245" s="9" t="s">
        <v>428</v>
      </c>
      <c r="B245" s="9" t="s">
        <v>446</v>
      </c>
      <c r="C245" s="9" t="s">
        <v>114</v>
      </c>
      <c r="D245" s="9" t="s">
        <v>12</v>
      </c>
      <c r="E245" s="10" t="s">
        <v>447</v>
      </c>
      <c r="F245" s="10" t="str">
        <f>IFERROR(__xludf.DUMMYFUNCTION("GOOGLETRANSLATE(E245,""en"", ""ja"")"),"タンパク質")</f>
        <v>タンパク質</v>
      </c>
      <c r="G245" s="10" t="str">
        <f>IFERROR(__xludf.DUMMYFUNCTION("GOOGLETRANSLATE(E245,""en"",""zh-cn"")"),"蛋白质")</f>
        <v>蛋白质</v>
      </c>
      <c r="H245" s="10" t="str">
        <f>IFERROR(__xludf.DUMMYFUNCTION("GOOGLETRANSLATE(E245,""en"",""fr"")"),"Protéines")</f>
        <v>Protéines</v>
      </c>
      <c r="I245" s="10" t="str">
        <f>IFERROR(__xludf.DUMMYFUNCTION("GOOGLETRANSLATE(E245,""en"",""de"")"),"Proteine")</f>
        <v>Proteine</v>
      </c>
    </row>
    <row r="246">
      <c r="A246" s="9" t="s">
        <v>428</v>
      </c>
      <c r="B246" s="9" t="s">
        <v>448</v>
      </c>
      <c r="C246" s="9" t="s">
        <v>114</v>
      </c>
      <c r="D246" s="9" t="s">
        <v>12</v>
      </c>
      <c r="E246" s="10" t="s">
        <v>449</v>
      </c>
      <c r="F246" s="10" t="str">
        <f>IFERROR(__xludf.DUMMYFUNCTION("GOOGLETRANSLATE(E246,""en"", ""ja"")"),"卵")</f>
        <v>卵</v>
      </c>
      <c r="G246" s="10" t="str">
        <f>IFERROR(__xludf.DUMMYFUNCTION("GOOGLETRANSLATE(E246,""en"",""zh-cn"")"),"蛋")</f>
        <v>蛋</v>
      </c>
      <c r="H246" s="10" t="str">
        <f>IFERROR(__xludf.DUMMYFUNCTION("GOOGLETRANSLATE(E246,""en"",""fr"")"),"Œuf")</f>
        <v>Œuf</v>
      </c>
      <c r="I246" s="10" t="str">
        <f>IFERROR(__xludf.DUMMYFUNCTION("GOOGLETRANSLATE(E246,""en"",""de"")"),"Ei")</f>
        <v>Ei</v>
      </c>
    </row>
    <row r="247">
      <c r="A247" s="9" t="s">
        <v>428</v>
      </c>
      <c r="B247" s="9" t="s">
        <v>450</v>
      </c>
      <c r="C247" s="9" t="s">
        <v>114</v>
      </c>
      <c r="D247" s="9" t="s">
        <v>12</v>
      </c>
      <c r="E247" s="10" t="s">
        <v>451</v>
      </c>
      <c r="F247" s="10" t="str">
        <f>IFERROR(__xludf.DUMMYFUNCTION("GOOGLETRANSLATE(E247,""en"", ""ja"")"),"魚")</f>
        <v>魚</v>
      </c>
      <c r="G247" s="10" t="str">
        <f>IFERROR(__xludf.DUMMYFUNCTION("GOOGLETRANSLATE(E247,""en"",""zh-cn"")"),"鱼")</f>
        <v>鱼</v>
      </c>
      <c r="H247" s="10" t="str">
        <f>IFERROR(__xludf.DUMMYFUNCTION("GOOGLETRANSLATE(E247,""en"",""fr"")"),"Poisson")</f>
        <v>Poisson</v>
      </c>
      <c r="I247" s="10" t="str">
        <f>IFERROR(__xludf.DUMMYFUNCTION("GOOGLETRANSLATE(E247,""en"",""de"")"),"Fisch")</f>
        <v>Fisch</v>
      </c>
    </row>
    <row r="248">
      <c r="A248" s="9" t="s">
        <v>428</v>
      </c>
      <c r="B248" s="9" t="s">
        <v>452</v>
      </c>
      <c r="C248" s="9" t="s">
        <v>114</v>
      </c>
      <c r="D248" s="9" t="s">
        <v>12</v>
      </c>
      <c r="E248" s="10" t="s">
        <v>453</v>
      </c>
      <c r="F248" s="10" t="str">
        <f>IFERROR(__xludf.DUMMYFUNCTION("GOOGLETRANSLATE(E248,""en"", ""ja"")"),"牛乳")</f>
        <v>牛乳</v>
      </c>
      <c r="G248" s="10" t="str">
        <f>IFERROR(__xludf.DUMMYFUNCTION("GOOGLETRANSLATE(E248,""en"",""zh-cn"")"),"牛奶")</f>
        <v>牛奶</v>
      </c>
      <c r="H248" s="10" t="str">
        <f>IFERROR(__xludf.DUMMYFUNCTION("GOOGLETRANSLATE(E248,""en"",""fr"")"),"Lait")</f>
        <v>Lait</v>
      </c>
      <c r="I248" s="10" t="str">
        <f>IFERROR(__xludf.DUMMYFUNCTION("GOOGLETRANSLATE(E248,""en"",""de"")"),"Milch")</f>
        <v>Milch</v>
      </c>
    </row>
    <row r="249">
      <c r="A249" s="9" t="s">
        <v>428</v>
      </c>
      <c r="B249" s="9" t="s">
        <v>63</v>
      </c>
      <c r="C249" s="9" t="s">
        <v>114</v>
      </c>
      <c r="D249" s="9" t="s">
        <v>12</v>
      </c>
      <c r="E249" s="10" t="s">
        <v>454</v>
      </c>
      <c r="F249" s="10" t="str">
        <f>IFERROR(__xludf.DUMMYFUNCTION("GOOGLETRANSLATE(E249,""en"", ""ja"")"),"カスタムアイコン")</f>
        <v>カスタムアイコン</v>
      </c>
      <c r="G249" s="10" t="str">
        <f>IFERROR(__xludf.DUMMYFUNCTION("GOOGLETRANSLATE(E249,""en"",""zh-cn"")"),"自定义图标")</f>
        <v>自定义图标</v>
      </c>
      <c r="H249" s="10" t="str">
        <f>IFERROR(__xludf.DUMMYFUNCTION("GOOGLETRANSLATE(E249,""en"",""fr"")"),"Icône personnalisée")</f>
        <v>Icône personnalisée</v>
      </c>
      <c r="I249" s="10" t="str">
        <f>IFERROR(__xludf.DUMMYFUNCTION("GOOGLETRANSLATE(E249,""en"",""de"")"),"Benutzerdefinierte Symbol")</f>
        <v>Benutzerdefinierte Symbol</v>
      </c>
    </row>
    <row r="250">
      <c r="A250" s="9" t="s">
        <v>428</v>
      </c>
      <c r="B250" s="9" t="s">
        <v>455</v>
      </c>
      <c r="C250" s="9" t="s">
        <v>114</v>
      </c>
      <c r="D250" s="9" t="s">
        <v>12</v>
      </c>
      <c r="E250" s="10" t="s">
        <v>456</v>
      </c>
      <c r="F250" s="10" t="str">
        <f>IFERROR(__xludf.DUMMYFUNCTION("GOOGLETRANSLATE(E250,""en"", ""ja"")"),"ドラッグドロップ")</f>
        <v>ドラッグドロップ</v>
      </c>
      <c r="G250" s="10" t="str">
        <f>IFERROR(__xludf.DUMMYFUNCTION("GOOGLETRANSLATE(E250,""en"",""zh-cn"")"),"拖放")</f>
        <v>拖放</v>
      </c>
      <c r="H250" s="10" t="str">
        <f>IFERROR(__xludf.DUMMYFUNCTION("GOOGLETRANSLATE(E250,""en"",""fr"")"),"Glisser-déposer")</f>
        <v>Glisser-déposer</v>
      </c>
      <c r="I250" s="10" t="str">
        <f>IFERROR(__xludf.DUMMYFUNCTION("GOOGLETRANSLATE(E250,""en"",""de"")"),"Ziehen und loslassen")</f>
        <v>Ziehen und loslassen</v>
      </c>
    </row>
    <row r="251">
      <c r="A251" s="9" t="s">
        <v>428</v>
      </c>
      <c r="B251" s="9" t="s">
        <v>457</v>
      </c>
      <c r="C251" s="9" t="s">
        <v>114</v>
      </c>
      <c r="D251" s="9" t="s">
        <v>12</v>
      </c>
      <c r="E251" s="10" t="s">
        <v>458</v>
      </c>
      <c r="F251" s="10" t="str">
        <f>IFERROR(__xludf.DUMMYFUNCTION("GOOGLETRANSLATE(E251,""en"", ""ja"")"),"選択可能")</f>
        <v>選択可能</v>
      </c>
      <c r="G251" s="10" t="str">
        <f>IFERROR(__xludf.DUMMYFUNCTION("GOOGLETRANSLATE(E251,""en"",""zh-cn"")"),"可选")</f>
        <v>可选</v>
      </c>
      <c r="H251" s="10" t="str">
        <f>IFERROR(__xludf.DUMMYFUNCTION("GOOGLETRANSLATE(E251,""en"",""fr"")"),"Sélectionnable")</f>
        <v>Sélectionnable</v>
      </c>
      <c r="I251" s="10" t="str">
        <f>IFERROR(__xludf.DUMMYFUNCTION("GOOGLETRANSLATE(E251,""en"",""de"")"),"Wählbar")</f>
        <v>Wählbar</v>
      </c>
    </row>
    <row r="252">
      <c r="A252" s="9" t="s">
        <v>428</v>
      </c>
      <c r="B252" s="9" t="s">
        <v>459</v>
      </c>
      <c r="C252" s="9" t="s">
        <v>114</v>
      </c>
      <c r="D252" s="9" t="s">
        <v>12</v>
      </c>
      <c r="E252" s="10" t="s">
        <v>460</v>
      </c>
      <c r="F252" s="10" t="str">
        <f>IFERROR(__xludf.DUMMYFUNCTION("GOOGLETRANSLATE(E252,""en"", ""ja"")"),"フィルター")</f>
        <v>フィルター</v>
      </c>
      <c r="G252" s="10" t="str">
        <f>IFERROR(__xludf.DUMMYFUNCTION("GOOGLETRANSLATE(E252,""en"",""zh-cn"")"),"筛选")</f>
        <v>筛选</v>
      </c>
      <c r="H252" s="10" t="str">
        <f>IFERROR(__xludf.DUMMYFUNCTION("GOOGLETRANSLATE(E252,""en"",""fr"")"),"Filtre")</f>
        <v>Filtre</v>
      </c>
      <c r="I252" s="10" t="str">
        <f>IFERROR(__xludf.DUMMYFUNCTION("GOOGLETRANSLATE(E252,""en"",""de"")"),"Filter")</f>
        <v>Filter</v>
      </c>
    </row>
    <row r="253">
      <c r="A253" s="9" t="s">
        <v>428</v>
      </c>
      <c r="B253" s="9" t="s">
        <v>461</v>
      </c>
      <c r="C253" s="9" t="s">
        <v>114</v>
      </c>
      <c r="D253" s="9" t="s">
        <v>12</v>
      </c>
      <c r="E253" s="10" t="s">
        <v>462</v>
      </c>
      <c r="F253" s="10" t="str">
        <f>IFERROR(__xludf.DUMMYFUNCTION("GOOGLETRANSLATE(E253,""en"", ""ja"")"),"ディレクトリツリー")</f>
        <v>ディレクトリツリー</v>
      </c>
      <c r="G253" s="10" t="str">
        <f>IFERROR(__xludf.DUMMYFUNCTION("GOOGLETRANSLATE(E253,""en"",""zh-cn"")"),"目录树")</f>
        <v>目录树</v>
      </c>
      <c r="H253" s="10" t="str">
        <f>IFERROR(__xludf.DUMMYFUNCTION("GOOGLETRANSLATE(E253,""en"",""fr"")"),"Arbre d'annuaire")</f>
        <v>Arbre d'annuaire</v>
      </c>
      <c r="I253" s="10" t="str">
        <f>IFERROR(__xludf.DUMMYFUNCTION("GOOGLETRANSLATE(E253,""en"",""de"")"),"Verzeichnisbaum")</f>
        <v>Verzeichnisbaum</v>
      </c>
    </row>
    <row r="254">
      <c r="A254" s="9" t="s">
        <v>428</v>
      </c>
      <c r="B254" s="9" t="s">
        <v>44</v>
      </c>
      <c r="C254" s="9" t="s">
        <v>114</v>
      </c>
      <c r="D254" s="9" t="s">
        <v>12</v>
      </c>
      <c r="E254" s="10" t="s">
        <v>45</v>
      </c>
      <c r="F254" s="10" t="str">
        <f>IFERROR(__xludf.DUMMYFUNCTION("GOOGLETRANSLATE(E254,""en"", ""ja"")"),"読み込み")</f>
        <v>読み込み</v>
      </c>
      <c r="G254" s="10" t="str">
        <f>IFERROR(__xludf.DUMMYFUNCTION("GOOGLETRANSLATE(E254,""en"",""zh-cn"")"),"加载中")</f>
        <v>加载中</v>
      </c>
      <c r="H254" s="10" t="str">
        <f>IFERROR(__xludf.DUMMYFUNCTION("GOOGLETRANSLATE(E254,""en"",""fr"")"),"Chargement")</f>
        <v>Chargement</v>
      </c>
      <c r="I254" s="10" t="str">
        <f>IFERROR(__xludf.DUMMYFUNCTION("GOOGLETRANSLATE(E254,""en"",""de"")"),"Wird geladen")</f>
        <v>Wird geladen</v>
      </c>
    </row>
    <row r="255">
      <c r="A255" s="9" t="s">
        <v>428</v>
      </c>
      <c r="B255" s="9" t="s">
        <v>457</v>
      </c>
      <c r="C255" s="9" t="s">
        <v>114</v>
      </c>
      <c r="D255" s="9" t="s">
        <v>12</v>
      </c>
      <c r="E255" s="10" t="s">
        <v>458</v>
      </c>
      <c r="F255" s="10" t="str">
        <f>IFERROR(__xludf.DUMMYFUNCTION("GOOGLETRANSLATE(E255,""en"", ""ja"")"),"選択可能")</f>
        <v>選択可能</v>
      </c>
      <c r="G255" s="10" t="str">
        <f>IFERROR(__xludf.DUMMYFUNCTION("GOOGLETRANSLATE(E255,""en"",""zh-cn"")"),"可选")</f>
        <v>可选</v>
      </c>
      <c r="H255" s="10" t="str">
        <f>IFERROR(__xludf.DUMMYFUNCTION("GOOGLETRANSLATE(E255,""en"",""fr"")"),"Sélectionnable")</f>
        <v>Sélectionnable</v>
      </c>
      <c r="I255" s="10" t="str">
        <f>IFERROR(__xludf.DUMMYFUNCTION("GOOGLETRANSLATE(E255,""en"",""de"")"),"Wählbar")</f>
        <v>Wählbar</v>
      </c>
    </row>
    <row r="256">
      <c r="A256" s="9" t="s">
        <v>428</v>
      </c>
      <c r="B256" s="9" t="s">
        <v>463</v>
      </c>
      <c r="C256" s="9" t="s">
        <v>114</v>
      </c>
      <c r="D256" s="9" t="s">
        <v>12</v>
      </c>
      <c r="E256" s="10" t="s">
        <v>464</v>
      </c>
      <c r="F256" s="10" t="str">
        <f>IFERROR(__xludf.DUMMYFUNCTION("GOOGLETRANSLATE(E256,""en"", ""ja"")"),"選択したアイテムを更新します")</f>
        <v>選択したアイテムを更新します</v>
      </c>
      <c r="G256" s="10" t="str">
        <f>IFERROR(__xludf.DUMMYFUNCTION("GOOGLETRANSLATE(E256,""en"",""zh-cn"")"),"刷新选定的项目")</f>
        <v>刷新选定的项目</v>
      </c>
      <c r="H256" s="10" t="str">
        <f>IFERROR(__xludf.DUMMYFUNCTION("GOOGLETRANSLATE(E256,""en"",""fr"")"),"Actualiser l'article sélectionné")</f>
        <v>Actualiser l'article sélectionné</v>
      </c>
      <c r="I256" s="10" t="str">
        <f>IFERROR(__xludf.DUMMYFUNCTION("GOOGLETRANSLATE(E256,""en"",""de"")"),"Aktualisieren Sie das ausgewählte Element")</f>
        <v>Aktualisieren Sie das ausgewählte Element</v>
      </c>
    </row>
    <row r="257">
      <c r="A257" s="9" t="s">
        <v>428</v>
      </c>
      <c r="B257" s="9" t="s">
        <v>465</v>
      </c>
      <c r="C257" s="9" t="s">
        <v>114</v>
      </c>
      <c r="D257" s="9" t="s">
        <v>12</v>
      </c>
      <c r="E257" s="10" t="s">
        <v>466</v>
      </c>
      <c r="F257" s="10" t="str">
        <f>IFERROR(__xludf.DUMMYFUNCTION("GOOGLETRANSLATE(E257,""en"", ""ja"")"),"家具")</f>
        <v>家具</v>
      </c>
      <c r="G257" s="10" t="str">
        <f>IFERROR(__xludf.DUMMYFUNCTION("GOOGLETRANSLATE(E257,""en"",""zh-cn"")"),"家具")</f>
        <v>家具</v>
      </c>
      <c r="H257" s="10" t="str">
        <f>IFERROR(__xludf.DUMMYFUNCTION("GOOGLETRANSLATE(E257,""en"",""fr"")"),"Meubles")</f>
        <v>Meubles</v>
      </c>
      <c r="I257" s="10" t="str">
        <f>IFERROR(__xludf.DUMMYFUNCTION("GOOGLETRANSLATE(E257,""en"",""de"")"),"Möbel")</f>
        <v>Möbel</v>
      </c>
    </row>
    <row r="258">
      <c r="A258" s="9" t="s">
        <v>428</v>
      </c>
      <c r="B258" s="9" t="s">
        <v>467</v>
      </c>
      <c r="C258" s="9" t="s">
        <v>114</v>
      </c>
      <c r="D258" s="9" t="s">
        <v>12</v>
      </c>
      <c r="E258" s="10" t="s">
        <v>468</v>
      </c>
      <c r="F258" s="10" t="str">
        <f>IFERROR(__xludf.DUMMYFUNCTION("GOOGLETRANSLATE(E258,""en"", ""ja"")"),"テーブルと椅子")</f>
        <v>テーブルと椅子</v>
      </c>
      <c r="G258" s="10" t="str">
        <f>IFERROR(__xludf.DUMMYFUNCTION("GOOGLETRANSLATE(E258,""en"",""zh-cn"")"),"桌子和椅子")</f>
        <v>桌子和椅子</v>
      </c>
      <c r="H258" s="10" t="str">
        <f>IFERROR(__xludf.DUMMYFUNCTION("GOOGLETRANSLATE(E258,""en"",""fr"")"),"Tables et chaises")</f>
        <v>Tables et chaises</v>
      </c>
      <c r="I258" s="10" t="str">
        <f>IFERROR(__xludf.DUMMYFUNCTION("GOOGLETRANSLATE(E258,""en"",""de"")"),"Tische &amp; Stühle")</f>
        <v>Tische &amp; Stühle</v>
      </c>
    </row>
    <row r="259">
      <c r="A259" s="9" t="s">
        <v>428</v>
      </c>
      <c r="B259" s="9" t="s">
        <v>469</v>
      </c>
      <c r="C259" s="9" t="s">
        <v>114</v>
      </c>
      <c r="D259" s="9" t="s">
        <v>12</v>
      </c>
      <c r="E259" s="10" t="s">
        <v>470</v>
      </c>
      <c r="F259" s="10" t="str">
        <f>IFERROR(__xludf.DUMMYFUNCTION("GOOGLETRANSLATE(E259,""en"", ""ja"")"),"ソファ")</f>
        <v>ソファ</v>
      </c>
      <c r="G259" s="10" t="str">
        <f>IFERROR(__xludf.DUMMYFUNCTION("GOOGLETRANSLATE(E259,""en"",""zh-cn"")"),"沙发")</f>
        <v>沙发</v>
      </c>
      <c r="H259" s="10" t="str">
        <f>IFERROR(__xludf.DUMMYFUNCTION("GOOGLETRANSLATE(E259,""en"",""fr"")"),"Canapés")</f>
        <v>Canapés</v>
      </c>
      <c r="I259" s="10" t="str">
        <f>IFERROR(__xludf.DUMMYFUNCTION("GOOGLETRANSLATE(E259,""en"",""de"")"),"Sofas")</f>
        <v>Sofas</v>
      </c>
    </row>
    <row r="260">
      <c r="A260" s="9" t="s">
        <v>428</v>
      </c>
      <c r="B260" s="9" t="s">
        <v>471</v>
      </c>
      <c r="C260" s="9" t="s">
        <v>114</v>
      </c>
      <c r="D260" s="9" t="s">
        <v>12</v>
      </c>
      <c r="E260" s="10" t="s">
        <v>472</v>
      </c>
      <c r="F260" s="10" t="str">
        <f>IFERROR(__xludf.DUMMYFUNCTION("GOOGLETRANSLATE(E260,""en"", ""ja"")"),"時折家具")</f>
        <v>時折家具</v>
      </c>
      <c r="G260" s="10" t="str">
        <f>IFERROR(__xludf.DUMMYFUNCTION("GOOGLETRANSLATE(E260,""en"",""zh-cn"")"),"偶尔的家具")</f>
        <v>偶尔的家具</v>
      </c>
      <c r="H260" s="10" t="str">
        <f>IFERROR(__xludf.DUMMYFUNCTION("GOOGLETRANSLATE(E260,""en"",""fr"")"),"Meubles occasionnels")</f>
        <v>Meubles occasionnels</v>
      </c>
      <c r="I260" s="10" t="str">
        <f>IFERROR(__xludf.DUMMYFUNCTION("GOOGLETRANSLATE(E260,""en"",""de"")"),"Gelegentliche Möbel")</f>
        <v>Gelegentliche Möbel</v>
      </c>
    </row>
    <row r="261">
      <c r="A261" s="9" t="s">
        <v>428</v>
      </c>
      <c r="B261" s="9" t="s">
        <v>473</v>
      </c>
      <c r="C261" s="9" t="s">
        <v>114</v>
      </c>
      <c r="D261" s="9" t="s">
        <v>12</v>
      </c>
      <c r="E261" s="10" t="s">
        <v>474</v>
      </c>
      <c r="F261" s="10" t="str">
        <f>IFERROR(__xludf.DUMMYFUNCTION("GOOGLETRANSLATE(E261,""en"", ""ja"")"),"装飾")</f>
        <v>装飾</v>
      </c>
      <c r="G261" s="10" t="str">
        <f>IFERROR(__xludf.DUMMYFUNCTION("GOOGLETRANSLATE(E261,""en"",""zh-cn"")"),"装饰风格")</f>
        <v>装饰风格</v>
      </c>
      <c r="H261" s="10" t="str">
        <f>IFERROR(__xludf.DUMMYFUNCTION("GOOGLETRANSLATE(E261,""en"",""fr"")"),"Décor")</f>
        <v>Décor</v>
      </c>
      <c r="I261" s="10" t="str">
        <f>IFERROR(__xludf.DUMMYFUNCTION("GOOGLETRANSLATE(E261,""en"",""de"")"),"Dekor")</f>
        <v>Dekor</v>
      </c>
    </row>
    <row r="262">
      <c r="A262" s="9" t="s">
        <v>428</v>
      </c>
      <c r="B262" s="9" t="s">
        <v>475</v>
      </c>
      <c r="C262" s="9" t="s">
        <v>114</v>
      </c>
      <c r="D262" s="9" t="s">
        <v>12</v>
      </c>
      <c r="E262" s="10" t="s">
        <v>476</v>
      </c>
      <c r="F262" s="10" t="str">
        <f>IFERROR(__xludf.DUMMYFUNCTION("GOOGLETRANSLATE(E262,""en"", ""ja"")"),"ベッドリネン")</f>
        <v>ベッドリネン</v>
      </c>
      <c r="G262" s="10" t="str">
        <f>IFERROR(__xludf.DUMMYFUNCTION("GOOGLETRANSLATE(E262,""en"",""zh-cn"")"),"床单")</f>
        <v>床单</v>
      </c>
      <c r="H262" s="10" t="str">
        <f>IFERROR(__xludf.DUMMYFUNCTION("GOOGLETRANSLATE(E262,""en"",""fr"")"),"Draps de lit")</f>
        <v>Draps de lit</v>
      </c>
      <c r="I262" s="10" t="str">
        <f>IFERROR(__xludf.DUMMYFUNCTION("GOOGLETRANSLATE(E262,""en"",""de"")"),"Bettwäsche")</f>
        <v>Bettwäsche</v>
      </c>
    </row>
    <row r="263">
      <c r="A263" s="9" t="s">
        <v>428</v>
      </c>
      <c r="B263" s="9" t="s">
        <v>477</v>
      </c>
      <c r="C263" s="9" t="s">
        <v>114</v>
      </c>
      <c r="D263" s="9" t="s">
        <v>12</v>
      </c>
      <c r="E263" s="10" t="s">
        <v>478</v>
      </c>
      <c r="F263" s="10" t="str">
        <f>IFERROR(__xludf.DUMMYFUNCTION("GOOGLETRANSLATE(E263,""en"", ""ja"")"),"カーテンとブラインド")</f>
        <v>カーテンとブラインド</v>
      </c>
      <c r="G263" s="10" t="str">
        <f>IFERROR(__xludf.DUMMYFUNCTION("GOOGLETRANSLATE(E263,""en"",""zh-cn"")"),"窗帘和百叶窗")</f>
        <v>窗帘和百叶窗</v>
      </c>
      <c r="H263" s="10" t="str">
        <f>IFERROR(__xludf.DUMMYFUNCTION("GOOGLETRANSLATE(E263,""en"",""fr"")"),"Rideaux et stores")</f>
        <v>Rideaux et stores</v>
      </c>
      <c r="I263" s="10" t="str">
        <f>IFERROR(__xludf.DUMMYFUNCTION("GOOGLETRANSLATE(E263,""en"",""de"")"),"Vorhänge &amp; Jalousien")</f>
        <v>Vorhänge &amp; Jalousien</v>
      </c>
    </row>
    <row r="264">
      <c r="A264" s="9" t="s">
        <v>428</v>
      </c>
      <c r="B264" s="9" t="s">
        <v>479</v>
      </c>
      <c r="C264" s="9" t="s">
        <v>114</v>
      </c>
      <c r="D264" s="9" t="s">
        <v>12</v>
      </c>
      <c r="E264" s="10" t="s">
        <v>480</v>
      </c>
      <c r="F264" s="10" t="str">
        <f>IFERROR(__xludf.DUMMYFUNCTION("GOOGLETRANSLATE(E264,""en"", ""ja"")"),"カーペット")</f>
        <v>カーペット</v>
      </c>
      <c r="G264" s="10" t="str">
        <f>IFERROR(__xludf.DUMMYFUNCTION("GOOGLETRANSLATE(E264,""en"",""zh-cn"")"),"地毯")</f>
        <v>地毯</v>
      </c>
      <c r="H264" s="10" t="str">
        <f>IFERROR(__xludf.DUMMYFUNCTION("GOOGLETRANSLATE(E264,""en"",""fr"")"),"Les tapis")</f>
        <v>Les tapis</v>
      </c>
      <c r="I264" s="10" t="str">
        <f>IFERROR(__xludf.DUMMYFUNCTION("GOOGLETRANSLATE(E264,""en"",""de"")"),"Teppiche")</f>
        <v>Teppiche</v>
      </c>
    </row>
    <row r="265">
      <c r="A265" s="9" t="s">
        <v>428</v>
      </c>
      <c r="B265" s="9" t="s">
        <v>481</v>
      </c>
      <c r="C265" s="9" t="s">
        <v>114</v>
      </c>
      <c r="D265" s="9" t="s">
        <v>12</v>
      </c>
      <c r="E265" s="10" t="s">
        <v>296</v>
      </c>
      <c r="F265" s="10" t="str">
        <f>IFERROR(__xludf.DUMMYFUNCTION("GOOGLETRANSLATE(E265,""en"", ""ja"")"),"メールメッセージ")</f>
        <v>メールメッセージ</v>
      </c>
      <c r="G265" s="10" t="str">
        <f>IFERROR(__xludf.DUMMYFUNCTION("GOOGLETRANSLATE(E265,""en"",""zh-cn"")"),"电子邮件")</f>
        <v>电子邮件</v>
      </c>
      <c r="H265" s="10" t="str">
        <f>IFERROR(__xludf.DUMMYFUNCTION("GOOGLETRANSLATE(E265,""en"",""fr"")"),"Message électronique")</f>
        <v>Message électronique</v>
      </c>
      <c r="I265" s="10" t="str">
        <f>IFERROR(__xludf.DUMMYFUNCTION("GOOGLETRANSLATE(E265,""en"",""de"")"),"E-Mail Nachricht")</f>
        <v>E-Mail Nachricht</v>
      </c>
    </row>
    <row r="266">
      <c r="A266" s="9" t="s">
        <v>428</v>
      </c>
      <c r="B266" s="9" t="s">
        <v>482</v>
      </c>
      <c r="C266" s="9" t="s">
        <v>114</v>
      </c>
      <c r="D266" s="9" t="s">
        <v>12</v>
      </c>
      <c r="E266" s="10" t="s">
        <v>297</v>
      </c>
      <c r="F266" s="10" t="str">
        <f>IFERROR(__xludf.DUMMYFUNCTION("GOOGLETRANSLATE(E266,""en"", ""ja"")"),"カレンダーイベント")</f>
        <v>カレンダーイベント</v>
      </c>
      <c r="G266" s="10" t="str">
        <f>IFERROR(__xludf.DUMMYFUNCTION("GOOGLETRANSLATE(E266,""en"",""zh-cn"")"),"日历事件")</f>
        <v>日历事件</v>
      </c>
      <c r="H266" s="10" t="str">
        <f>IFERROR(__xludf.DUMMYFUNCTION("GOOGLETRANSLATE(E266,""en"",""fr"")"),"Événement de calendrier")</f>
        <v>Événement de calendrier</v>
      </c>
      <c r="I266" s="10" t="str">
        <f>IFERROR(__xludf.DUMMYFUNCTION("GOOGLETRANSLATE(E266,""en"",""de"")"),"Kalenderereignis")</f>
        <v>Kalenderereignis</v>
      </c>
    </row>
    <row r="267">
      <c r="A267" s="11"/>
      <c r="B267" s="11"/>
      <c r="C267" s="11"/>
      <c r="D267" s="11"/>
      <c r="E267" s="11"/>
      <c r="F267" s="11"/>
      <c r="G267" s="11"/>
      <c r="H267" s="11"/>
      <c r="I267" s="11"/>
    </row>
    <row r="268">
      <c r="A268" s="9" t="s">
        <v>483</v>
      </c>
      <c r="B268" s="9" t="s">
        <v>209</v>
      </c>
      <c r="C268" s="9" t="s">
        <v>116</v>
      </c>
      <c r="D268" s="9" t="s">
        <v>12</v>
      </c>
      <c r="E268" s="10" t="s">
        <v>117</v>
      </c>
      <c r="F268" s="10" t="str">
        <f>IFERROR(__xludf.DUMMYFUNCTION("GOOGLETRANSLATE(E268,""en"", ""ja"")"),"ウィザード")</f>
        <v>ウィザード</v>
      </c>
      <c r="G268" s="10" t="str">
        <f>IFERROR(__xludf.DUMMYFUNCTION("GOOGLETRANSLATE(E268,""en"",""zh-cn"")"),"向导")</f>
        <v>向导</v>
      </c>
      <c r="H268" s="10" t="str">
        <f>IFERROR(__xludf.DUMMYFUNCTION("GOOGLETRANSLATE(E268,""en"",""fr"")"),"Magicien")</f>
        <v>Magicien</v>
      </c>
      <c r="I268" s="10" t="str">
        <f>IFERROR(__xludf.DUMMYFUNCTION("GOOGLETRANSLATE(E268,""en"",""de"")"),"Magier")</f>
        <v>Magier</v>
      </c>
    </row>
    <row r="269">
      <c r="A269" s="9" t="s">
        <v>483</v>
      </c>
      <c r="B269" s="9" t="s">
        <v>210</v>
      </c>
      <c r="C269" s="9" t="s">
        <v>116</v>
      </c>
      <c r="D269" s="9" t="s">
        <v>12</v>
      </c>
      <c r="E269" s="10" t="s">
        <v>484</v>
      </c>
      <c r="F269" s="10" t="str">
        <f>IFERROR(__xludf.DUMMYFUNCTION("GOOGLETRANSLATE(E269,""en"", ""ja"")"),"ウィザードは、特定のプロセスの進捗状況をユーザーに通信する進捗指標です。")</f>
        <v>ウィザードは、特定のプロセスの進捗状況をユーザーに通信する進捗指標です。</v>
      </c>
      <c r="G269" s="10" t="str">
        <f>IFERROR(__xludf.DUMMYFUNCTION("GOOGLETRANSLATE(E269,""en"",""zh-cn"")"),"向导是一个进度指标，可以与用户传达特定过程的进度。")</f>
        <v>向导是一个进度指标，可以与用户传达特定过程的进度。</v>
      </c>
      <c r="H269" s="10" t="str">
        <f>IFERROR(__xludf.DUMMYFUNCTION("GOOGLETRANSLATE(E269,""en"",""fr"")"),"L'assistant est un indicateur de progrès qui communique à l'utilisateur la progression d'un processus particulier.")</f>
        <v>L'assistant est un indicateur de progrès qui communique à l'utilisateur la progression d'un processus particulier.</v>
      </c>
      <c r="I269" s="10" t="str">
        <f>IFERROR(__xludf.DUMMYFUNCTION("GOOGLETRANSLATE(E269,""en"",""de"")"),"Assistent ist ein Fortschrittsindikator, der dem Benutzer den Fortschritt eines bestimmten Prozesses mitteilt.")</f>
        <v>Assistent ist ein Fortschrittsindikator, der dem Benutzer den Fortschritt eines bestimmten Prozesses mitteilt.</v>
      </c>
    </row>
    <row r="270">
      <c r="A270" s="9" t="s">
        <v>483</v>
      </c>
      <c r="B270" s="9" t="s">
        <v>485</v>
      </c>
      <c r="C270" s="9" t="s">
        <v>116</v>
      </c>
      <c r="D270" s="9" t="s">
        <v>12</v>
      </c>
      <c r="E270" s="10" t="s">
        <v>486</v>
      </c>
      <c r="F270" s="10" t="str">
        <f>IFERROR(__xludf.DUMMYFUNCTION("GOOGLETRANSLATE(E270,""en"", ""ja"")"),"ユーザーが多くのコンテンツを入力または操作する必要がある場合、特にこのコンテンツに階層関係がある場合は、ウィザードを使用します。")</f>
        <v>ユーザーが多くのコンテンツを入力または操作する必要がある場合、特にこのコンテンツに階層関係がある場合は、ウィザードを使用します。</v>
      </c>
      <c r="G270" s="10" t="str">
        <f>IFERROR(__xludf.DUMMYFUNCTION("GOOGLETRANSLATE(E270,""en"",""zh-cn"")"),"当用户需要填充或操作大量内容时，请使用向导，尤其是当此内容具有层次结构关系时。")</f>
        <v>当用户需要填充或操作大量内容时，请使用向导，尤其是当此内容具有层次结构关系时。</v>
      </c>
      <c r="H270" s="10" t="str">
        <f>IFERROR(__xludf.DUMMYFUNCTION("GOOGLETRANSLATE(E270,""en"",""fr"")"),"Utilisez un assistant lorsqu'un utilisateur doit remplir ou utiliser beaucoup de contenu, en particulier lorsque ce contenu a des relations de hiérarchie.")</f>
        <v>Utilisez un assistant lorsqu'un utilisateur doit remplir ou utiliser beaucoup de contenu, en particulier lorsque ce contenu a des relations de hiérarchie.</v>
      </c>
      <c r="I270" s="10" t="str">
        <f>IFERROR(__xludf.DUMMYFUNCTION("GOOGLETRANSLATE(E270,""en"",""de"")"),"Verwenden Sie einen Assistenten, wenn ein Benutzer viel Inhalt füllen oder bedienen muss, insbesondere wenn dieser Inhalt hierarchie -Beziehungen hat.")</f>
        <v>Verwenden Sie einen Assistenten, wenn ein Benutzer viel Inhalt füllen oder bedienen muss, insbesondere wenn dieser Inhalt hierarchie -Beziehungen hat.</v>
      </c>
    </row>
    <row r="271">
      <c r="A271" s="9" t="s">
        <v>483</v>
      </c>
      <c r="B271" s="9" t="s">
        <v>487</v>
      </c>
      <c r="C271" s="9" t="s">
        <v>116</v>
      </c>
      <c r="D271" s="9" t="s">
        <v>12</v>
      </c>
      <c r="E271" s="10" t="s">
        <v>488</v>
      </c>
      <c r="F271" s="10" t="str">
        <f>IFERROR(__xludf.DUMMYFUNCTION("GOOGLETRANSLATE(E271,""en"", ""ja"")"),"水平ウィザード")</f>
        <v>水平ウィザード</v>
      </c>
      <c r="G271" s="10" t="str">
        <f>IFERROR(__xludf.DUMMYFUNCTION("GOOGLETRANSLATE(E271,""en"",""zh-cn"")"),"水平向导")</f>
        <v>水平向导</v>
      </c>
      <c r="H271" s="10" t="str">
        <f>IFERROR(__xludf.DUMMYFUNCTION("GOOGLETRANSLATE(E271,""en"",""fr"")"),"Sorcier horizontal")</f>
        <v>Sorcier horizontal</v>
      </c>
      <c r="I271" s="10" t="str">
        <f>IFERROR(__xludf.DUMMYFUNCTION("GOOGLETRANSLATE(E271,""en"",""de"")"),"Horizontaler Zauberer")</f>
        <v>Horizontaler Zauberer</v>
      </c>
    </row>
    <row r="272">
      <c r="A272" s="9" t="s">
        <v>483</v>
      </c>
      <c r="B272" s="9" t="s">
        <v>489</v>
      </c>
      <c r="C272" s="9" t="s">
        <v>116</v>
      </c>
      <c r="D272" s="9" t="s">
        <v>12</v>
      </c>
      <c r="E272" s="10" t="s">
        <v>490</v>
      </c>
      <c r="F272" s="10" t="str">
        <f>IFERROR(__xludf.DUMMYFUNCTION("GOOGLETRANSLATE(E272,""en"", ""ja"")"),"水平ウィザードは、1つのステップの内容が以前のステップに依存する場合に理想的です。水平ウィザードで長いステップ名を使用しないでください。")</f>
        <v>水平ウィザードは、1つのステップの内容が以前のステップに依存する場合に理想的です。水平ウィザードで長いステップ名を使用しないでください。</v>
      </c>
      <c r="G272" s="10" t="str">
        <f>IFERROR(__xludf.DUMMYFUNCTION("GOOGLETRANSLATE(E272,""en"",""zh-cn"")"),"当一个步骤的内容取决于早期步骤时，水平向导是理想的选择。避免在水平向导中使用长期名称。")</f>
        <v>当一个步骤的内容取决于早期步骤时，水平向导是理想的选择。避免在水平向导中使用长期名称。</v>
      </c>
      <c r="H272" s="10" t="str">
        <f>IFERROR(__xludf.DUMMYFUNCTION("GOOGLETRANSLATE(E272,""en"",""fr"")"),"Les sorciers horizontaux sont idéaux lorsque le contenu d'une étape dépend d'une étape antérieure. Évitez d'utiliser des noms de longue durée dans les sorciers horizontaux.")</f>
        <v>Les sorciers horizontaux sont idéaux lorsque le contenu d'une étape dépend d'une étape antérieure. Évitez d'utiliser des noms de longue durée dans les sorciers horizontaux.</v>
      </c>
      <c r="I272" s="10" t="str">
        <f>IFERROR(__xludf.DUMMYFUNCTION("GOOGLETRANSLATE(E272,""en"",""de"")"),"Horizontale Zauberer sind ideal, wenn der Inhalt eines Schritts von einem früheren Schritt abhängt. Vermeiden Sie die Verwendung langer Stufennamen in horizontalen Assistenten.")</f>
        <v>Horizontale Zauberer sind ideal, wenn der Inhalt eines Schritts von einem früheren Schritt abhängt. Vermeiden Sie die Verwendung langer Stufennamen in horizontalen Assistenten.</v>
      </c>
    </row>
    <row r="273">
      <c r="A273" s="9" t="s">
        <v>483</v>
      </c>
      <c r="B273" s="9" t="s">
        <v>491</v>
      </c>
      <c r="C273" s="9" t="s">
        <v>116</v>
      </c>
      <c r="D273" s="9" t="s">
        <v>12</v>
      </c>
      <c r="E273" s="10" t="s">
        <v>492</v>
      </c>
      <c r="F273" s="10" t="str">
        <f>IFERROR(__xludf.DUMMYFUNCTION("GOOGLETRANSLATE(E273,""en"", ""ja"")"),"一般的な")</f>
        <v>一般的な</v>
      </c>
      <c r="G273" s="10" t="str">
        <f>IFERROR(__xludf.DUMMYFUNCTION("GOOGLETRANSLATE(E273,""en"",""zh-cn"")"),"一般的")</f>
        <v>一般的</v>
      </c>
      <c r="H273" s="10" t="str">
        <f>IFERROR(__xludf.DUMMYFUNCTION("GOOGLETRANSLATE(E273,""en"",""fr"")"),"Général")</f>
        <v>Général</v>
      </c>
      <c r="I273" s="10" t="str">
        <f>IFERROR(__xludf.DUMMYFUNCTION("GOOGLETRANSLATE(E273,""en"",""de"")"),"Allgemein")</f>
        <v>Allgemein</v>
      </c>
    </row>
    <row r="274">
      <c r="A274" s="9" t="s">
        <v>483</v>
      </c>
      <c r="B274" s="9" t="s">
        <v>493</v>
      </c>
      <c r="C274" s="9" t="s">
        <v>116</v>
      </c>
      <c r="D274" s="9" t="s">
        <v>12</v>
      </c>
      <c r="E274" s="10" t="s">
        <v>494</v>
      </c>
      <c r="F274" s="10" t="str">
        <f>IFERROR(__xludf.DUMMYFUNCTION("GOOGLETRANSLATE(E274,""en"", ""ja"")"),"テンプレート")</f>
        <v>テンプレート</v>
      </c>
      <c r="G274" s="10" t="str">
        <f>IFERROR(__xludf.DUMMYFUNCTION("GOOGLETRANSLATE(E274,""en"",""zh-cn"")"),"模板")</f>
        <v>模板</v>
      </c>
      <c r="H274" s="10" t="str">
        <f>IFERROR(__xludf.DUMMYFUNCTION("GOOGLETRANSLATE(E274,""en"",""fr"")"),"Modèle")</f>
        <v>Modèle</v>
      </c>
      <c r="I274" s="10" t="str">
        <f>IFERROR(__xludf.DUMMYFUNCTION("GOOGLETRANSLATE(E274,""en"",""de"")"),"Vorlage")</f>
        <v>Vorlage</v>
      </c>
    </row>
    <row r="275">
      <c r="A275" s="9" t="s">
        <v>483</v>
      </c>
      <c r="B275" s="9" t="s">
        <v>495</v>
      </c>
      <c r="C275" s="9" t="s">
        <v>116</v>
      </c>
      <c r="D275" s="9" t="s">
        <v>12</v>
      </c>
      <c r="E275" s="10" t="s">
        <v>496</v>
      </c>
      <c r="F275" s="10" t="str">
        <f>IFERROR(__xludf.DUMMYFUNCTION("GOOGLETRANSLATE(E275,""en"", ""ja"")"),"認証")</f>
        <v>認証</v>
      </c>
      <c r="G275" s="10" t="str">
        <f>IFERROR(__xludf.DUMMYFUNCTION("GOOGLETRANSLATE(E275,""en"",""zh-cn"")"),"验证")</f>
        <v>验证</v>
      </c>
      <c r="H275" s="10" t="str">
        <f>IFERROR(__xludf.DUMMYFUNCTION("GOOGLETRANSLATE(E275,""en"",""fr"")"),"Authentification")</f>
        <v>Authentification</v>
      </c>
      <c r="I275" s="10" t="str">
        <f>IFERROR(__xludf.DUMMYFUNCTION("GOOGLETRANSLATE(E275,""en"",""de"")"),"Authentifizierung")</f>
        <v>Authentifizierung</v>
      </c>
    </row>
    <row r="276">
      <c r="A276" s="9" t="s">
        <v>483</v>
      </c>
      <c r="B276" s="9" t="s">
        <v>497</v>
      </c>
      <c r="C276" s="9" t="s">
        <v>116</v>
      </c>
      <c r="D276" s="9" t="s">
        <v>12</v>
      </c>
      <c r="E276" s="10" t="s">
        <v>498</v>
      </c>
      <c r="F276" s="10" t="str">
        <f>IFERROR(__xludf.DUMMYFUNCTION("GOOGLETRANSLATE(E276,""en"", ""ja"")"),"オプション")</f>
        <v>オプション</v>
      </c>
      <c r="G276" s="10" t="str">
        <f>IFERROR(__xludf.DUMMYFUNCTION("GOOGLETRANSLATE(E276,""en"",""zh-cn"")"),"选修的")</f>
        <v>选修的</v>
      </c>
      <c r="H276" s="10" t="str">
        <f>IFERROR(__xludf.DUMMYFUNCTION("GOOGLETRANSLATE(E276,""en"",""fr"")"),"Facultatif")</f>
        <v>Facultatif</v>
      </c>
      <c r="I276" s="10" t="str">
        <f>IFERROR(__xludf.DUMMYFUNCTION("GOOGLETRANSLATE(E276,""en"",""de"")"),"Optional")</f>
        <v>Optional</v>
      </c>
    </row>
    <row r="277">
      <c r="A277" s="9" t="s">
        <v>483</v>
      </c>
      <c r="B277" s="9" t="s">
        <v>499</v>
      </c>
      <c r="C277" s="9" t="s">
        <v>116</v>
      </c>
      <c r="D277" s="9" t="s">
        <v>12</v>
      </c>
      <c r="E277" s="10" t="s">
        <v>500</v>
      </c>
      <c r="F277" s="10" t="str">
        <f>IFERROR(__xludf.DUMMYFUNCTION("GOOGLETRANSLATE(E277,""en"", ""ja"")"),"レビュー")</f>
        <v>レビュー</v>
      </c>
      <c r="G277" s="10" t="str">
        <f>IFERROR(__xludf.DUMMYFUNCTION("GOOGLETRANSLATE(E277,""en"",""zh-cn"")"),"审查")</f>
        <v>审查</v>
      </c>
      <c r="H277" s="10" t="str">
        <f>IFERROR(__xludf.DUMMYFUNCTION("GOOGLETRANSLATE(E277,""en"",""fr"")"),"Revoir")</f>
        <v>Revoir</v>
      </c>
      <c r="I277" s="10" t="str">
        <f>IFERROR(__xludf.DUMMYFUNCTION("GOOGLETRANSLATE(E277,""en"",""de"")"),"Rezension")</f>
        <v>Rezension</v>
      </c>
    </row>
    <row r="278">
      <c r="A278" s="9" t="s">
        <v>483</v>
      </c>
      <c r="B278" s="9" t="s">
        <v>293</v>
      </c>
      <c r="C278" s="9" t="s">
        <v>116</v>
      </c>
      <c r="D278" s="9" t="s">
        <v>12</v>
      </c>
      <c r="E278" s="10" t="s">
        <v>501</v>
      </c>
      <c r="F278" s="10" t="str">
        <f>IFERROR(__xludf.DUMMYFUNCTION("GOOGLETRANSLATE(E278,""en"", ""ja"")"),"コンテンツ")</f>
        <v>コンテンツ</v>
      </c>
      <c r="G278" s="10" t="str">
        <f>IFERROR(__xludf.DUMMYFUNCTION("GOOGLETRANSLATE(E278,""en"",""zh-cn"")"),"内容")</f>
        <v>内容</v>
      </c>
      <c r="H278" s="10" t="str">
        <f>IFERROR(__xludf.DUMMYFUNCTION("GOOGLETRANSLATE(E278,""en"",""fr"")"),"Contenu")</f>
        <v>Contenu</v>
      </c>
      <c r="I278" s="10" t="str">
        <f>IFERROR(__xludf.DUMMYFUNCTION("GOOGLETRANSLATE(E278,""en"",""de"")"),"Inhalt")</f>
        <v>Inhalt</v>
      </c>
    </row>
    <row r="279">
      <c r="A279" s="9" t="s">
        <v>483</v>
      </c>
      <c r="B279" s="9" t="s">
        <v>502</v>
      </c>
      <c r="C279" s="9" t="s">
        <v>116</v>
      </c>
      <c r="D279" s="9" t="s">
        <v>12</v>
      </c>
      <c r="E279" s="10" t="s">
        <v>503</v>
      </c>
      <c r="F279" s="10" t="str">
        <f>IFERROR(__xludf.DUMMYFUNCTION("GOOGLETRANSLATE(E279,""en"", ""ja"")"),"次")</f>
        <v>次</v>
      </c>
      <c r="G279" s="10" t="str">
        <f>IFERROR(__xludf.DUMMYFUNCTION("GOOGLETRANSLATE(E279,""en"",""zh-cn"")"),"下一个")</f>
        <v>下一个</v>
      </c>
      <c r="H279" s="10" t="str">
        <f>IFERROR(__xludf.DUMMYFUNCTION("GOOGLETRANSLATE(E279,""en"",""fr"")"),"Suivant")</f>
        <v>Suivant</v>
      </c>
      <c r="I279" s="10" t="str">
        <f>IFERROR(__xludf.DUMMYFUNCTION("GOOGLETRANSLATE(E279,""en"",""de"")"),"Nächste")</f>
        <v>Nächste</v>
      </c>
    </row>
    <row r="280">
      <c r="A280" s="9" t="s">
        <v>483</v>
      </c>
      <c r="B280" s="9" t="s">
        <v>424</v>
      </c>
      <c r="C280" s="9" t="s">
        <v>116</v>
      </c>
      <c r="D280" s="9" t="s">
        <v>12</v>
      </c>
      <c r="E280" s="10" t="s">
        <v>504</v>
      </c>
      <c r="F280" s="10" t="str">
        <f>IFERROR(__xludf.DUMMYFUNCTION("GOOGLETRANSLATE(E280,""en"", ""ja"")"),"垂直")</f>
        <v>垂直</v>
      </c>
      <c r="G280" s="10" t="str">
        <f>IFERROR(__xludf.DUMMYFUNCTION("GOOGLETRANSLATE(E280,""en"",""zh-cn"")"),"垂直的")</f>
        <v>垂直的</v>
      </c>
      <c r="H280" s="10" t="str">
        <f>IFERROR(__xludf.DUMMYFUNCTION("GOOGLETRANSLATE(E280,""en"",""fr"")"),"Verticale")</f>
        <v>Verticale</v>
      </c>
      <c r="I280" s="10" t="str">
        <f>IFERROR(__xludf.DUMMYFUNCTION("GOOGLETRANSLATE(E280,""en"",""de"")"),"Vertikal")</f>
        <v>Vertikal</v>
      </c>
    </row>
    <row r="281">
      <c r="A281" s="9" t="s">
        <v>483</v>
      </c>
      <c r="B281" s="9" t="s">
        <v>426</v>
      </c>
      <c r="C281" s="9" t="s">
        <v>116</v>
      </c>
      <c r="D281" s="9" t="s">
        <v>12</v>
      </c>
      <c r="E281" s="10" t="s">
        <v>505</v>
      </c>
      <c r="F281" s="10" t="str">
        <f>IFERROR(__xludf.DUMMYFUNCTION("GOOGLETRANSLATE(E281,""en"", ""ja"")"),"垂直ウィザードは成長の余地を提供します。 1つのステップにサブステップが含まれている場合、またはステップ数が増加すると、拡張できます。")</f>
        <v>垂直ウィザードは成長の余地を提供します。 1つのステップにサブステップが含まれている場合、またはステップ数が増加すると、拡張できます。</v>
      </c>
      <c r="G281" s="10" t="str">
        <f>IFERROR(__xludf.DUMMYFUNCTION("GOOGLETRANSLATE(E281,""en"",""zh-cn"")"),"垂直向导为增长提供了空间。如果一个步骤包含子步骤或步骤数增加，则可以扩展。")</f>
        <v>垂直向导为增长提供了空间。如果一个步骤包含子步骤或步骤数增加，则可以扩展。</v>
      </c>
      <c r="H281" s="10" t="str">
        <f>IFERROR(__xludf.DUMMYFUNCTION("GOOGLETRANSLATE(E281,""en"",""fr"")"),"L'assistant vertical offre de la place à la croissance. Il peut être étendu si une étape contient des sous-étapes ou si le nombre d'étapes augmente.")</f>
        <v>L'assistant vertical offre de la place à la croissance. Il peut être étendu si une étape contient des sous-étapes ou si le nombre d'étapes augmente.</v>
      </c>
      <c r="I281" s="10" t="str">
        <f>IFERROR(__xludf.DUMMYFUNCTION("GOOGLETRANSLATE(E281,""en"",""de"")"),"Der vertikale Assistent bietet Raum für Wachstum. Es kann erweitert werden, wenn ein Schritt Unterschritte enthält oder die Anzahl der Schritte zunimmt.")</f>
        <v>Der vertikale Assistent bietet Raum für Wachstum. Es kann erweitert werden, wenn ein Schritt Unterschritte enthält oder die Anzahl der Schritte zunimmt.</v>
      </c>
    </row>
    <row r="282">
      <c r="A282" s="9" t="s">
        <v>483</v>
      </c>
      <c r="B282" s="9" t="s">
        <v>164</v>
      </c>
      <c r="C282" s="9" t="s">
        <v>116</v>
      </c>
      <c r="D282" s="9" t="s">
        <v>12</v>
      </c>
      <c r="E282" s="10" t="s">
        <v>506</v>
      </c>
      <c r="F282" s="10" t="str">
        <f>IFERROR(__xludf.DUMMYFUNCTION("GOOGLETRANSLATE(E282,""en"", ""ja"")"),"あなたの進歩")</f>
        <v>あなたの進歩</v>
      </c>
      <c r="G282" s="10" t="str">
        <f>IFERROR(__xludf.DUMMYFUNCTION("GOOGLETRANSLATE(E282,""en"",""zh-cn"")"),"你的进步")</f>
        <v>你的进步</v>
      </c>
      <c r="H282" s="10" t="str">
        <f>IFERROR(__xludf.DUMMYFUNCTION("GOOGLETRANSLATE(E282,""en"",""fr"")"),"Vos progrès")</f>
        <v>Vos progrès</v>
      </c>
      <c r="I282" s="10" t="str">
        <f>IFERROR(__xludf.DUMMYFUNCTION("GOOGLETRANSLATE(E282,""en"",""de"")"),"Dein Fortschritt")</f>
        <v>Dein Fortschritt</v>
      </c>
    </row>
    <row r="283">
      <c r="A283" s="9" t="s">
        <v>483</v>
      </c>
      <c r="B283" s="9" t="s">
        <v>507</v>
      </c>
      <c r="C283" s="9" t="s">
        <v>116</v>
      </c>
      <c r="D283" s="9" t="s">
        <v>12</v>
      </c>
      <c r="E283" s="10" t="s">
        <v>508</v>
      </c>
      <c r="F283" s="10" t="str">
        <f>IFERROR(__xludf.DUMMYFUNCTION("GOOGLETRANSLATE(E283,""en"", ""ja"")"),"ステップがアクティブな場合、このステップが何を伴うかについて簡単な説明を表示できます。")</f>
        <v>ステップがアクティブな場合、このステップが何を伴うかについて簡単な説明を表示できます。</v>
      </c>
      <c r="G283" s="10" t="str">
        <f>IFERROR(__xludf.DUMMYFUNCTION("GOOGLETRANSLATE(E283,""en"",""zh-cn"")"),"当步骤处于活动状态时，我们可以在此处显示此步骤所需的简短描述。")</f>
        <v>当步骤处于活动状态时，我们可以在此处显示此步骤所需的简短描述。</v>
      </c>
      <c r="H283" s="10" t="str">
        <f>IFERROR(__xludf.DUMMYFUNCTION("GOOGLETRANSLATE(E283,""en"",""fr"")"),"Lorsque l'étape est active, nous pouvons afficher une brève description ici sur ce que cette étape implique.")</f>
        <v>Lorsque l'étape est active, nous pouvons afficher une brève description ici sur ce que cette étape implique.</v>
      </c>
      <c r="I283" s="10" t="str">
        <f>IFERROR(__xludf.DUMMYFUNCTION("GOOGLETRANSLATE(E283,""en"",""de"")"),"Wenn der Schritt aktiv ist, können wir hier eine kurze Beschreibung darüber zeigen, was dieser Schritt beinhaltet.")</f>
        <v>Wenn der Schritt aktiv ist, können wir hier eine kurze Beschreibung darüber zeigen, was dieser Schritt beinhaltet.</v>
      </c>
    </row>
    <row r="284">
      <c r="A284" s="9" t="s">
        <v>483</v>
      </c>
      <c r="B284" s="9" t="s">
        <v>509</v>
      </c>
      <c r="C284" s="9" t="s">
        <v>116</v>
      </c>
      <c r="D284" s="9" t="s">
        <v>12</v>
      </c>
      <c r="E284" s="10" t="s">
        <v>510</v>
      </c>
      <c r="F284" s="10" t="str">
        <f>IFERROR(__xludf.DUMMYFUNCTION("GOOGLETRANSLATE(E284,""en"", ""ja"")"),"セキュリティ設定")</f>
        <v>セキュリティ設定</v>
      </c>
      <c r="G284" s="10" t="str">
        <f>IFERROR(__xludf.DUMMYFUNCTION("GOOGLETRANSLATE(E284,""en"",""zh-cn"")"),"安全设定")</f>
        <v>安全设定</v>
      </c>
      <c r="H284" s="10" t="str">
        <f>IFERROR(__xludf.DUMMYFUNCTION("GOOGLETRANSLATE(E284,""en"",""fr"")"),"Les paramètres de sécurité")</f>
        <v>Les paramètres de sécurité</v>
      </c>
      <c r="I284" s="10" t="str">
        <f>IFERROR(__xludf.DUMMYFUNCTION("GOOGLETRANSLATE(E284,""en"",""de"")"),"Sicherheitseinstellungen")</f>
        <v>Sicherheitseinstellungen</v>
      </c>
    </row>
    <row r="285">
      <c r="A285" s="9" t="s">
        <v>483</v>
      </c>
      <c r="B285" s="9" t="s">
        <v>511</v>
      </c>
      <c r="C285" s="9" t="s">
        <v>116</v>
      </c>
      <c r="D285" s="9" t="s">
        <v>12</v>
      </c>
      <c r="E285" s="10" t="s">
        <v>512</v>
      </c>
      <c r="F285" s="10" t="str">
        <f>IFERROR(__xludf.DUMMYFUNCTION("GOOGLETRANSLATE(E285,""en"", ""ja"")"),"まとめ")</f>
        <v>まとめ</v>
      </c>
      <c r="G285" s="10" t="str">
        <f>IFERROR(__xludf.DUMMYFUNCTION("GOOGLETRANSLATE(E285,""en"",""zh-cn"")"),"概括")</f>
        <v>概括</v>
      </c>
      <c r="H285" s="10" t="str">
        <f>IFERROR(__xludf.DUMMYFUNCTION("GOOGLETRANSLATE(E285,""en"",""fr"")"),"Résumé")</f>
        <v>Résumé</v>
      </c>
      <c r="I285" s="10" t="str">
        <f>IFERROR(__xludf.DUMMYFUNCTION("GOOGLETRANSLATE(E285,""en"",""de"")"),"Zusammenfassung")</f>
        <v>Zusammenfassung</v>
      </c>
    </row>
    <row r="286">
      <c r="A286" s="9" t="s">
        <v>483</v>
      </c>
      <c r="B286" s="9" t="s">
        <v>513</v>
      </c>
      <c r="C286" s="9" t="s">
        <v>116</v>
      </c>
      <c r="D286" s="9" t="s">
        <v>12</v>
      </c>
      <c r="E286" s="10" t="s">
        <v>514</v>
      </c>
      <c r="F286" s="10" t="str">
        <f>IFERROR(__xludf.DUMMYFUNCTION("GOOGLETRANSLATE(E286,""en"", ""ja"")"),"仕上げる")</f>
        <v>仕上げる</v>
      </c>
      <c r="G286" s="10" t="str">
        <f>IFERROR(__xludf.DUMMYFUNCTION("GOOGLETRANSLATE(E286,""en"",""zh-cn"")"),"结束")</f>
        <v>结束</v>
      </c>
      <c r="H286" s="10" t="str">
        <f>IFERROR(__xludf.DUMMYFUNCTION("GOOGLETRANSLATE(E286,""en"",""fr"")"),"Finition")</f>
        <v>Finition</v>
      </c>
      <c r="I286" s="10" t="str">
        <f>IFERROR(__xludf.DUMMYFUNCTION("GOOGLETRANSLATE(E286,""en"",""de"")"),"Beenden")</f>
        <v>Beenden</v>
      </c>
    </row>
    <row r="287">
      <c r="A287" s="9" t="s">
        <v>483</v>
      </c>
      <c r="B287" s="9" t="s">
        <v>515</v>
      </c>
      <c r="C287" s="9" t="s">
        <v>116</v>
      </c>
      <c r="D287" s="9" t="s">
        <v>12</v>
      </c>
      <c r="E287" s="10" t="s">
        <v>516</v>
      </c>
      <c r="F287" s="10" t="str">
        <f>IFERROR(__xludf.DUMMYFUNCTION("GOOGLETRANSLATE(E287,""en"", ""ja"")"),"戻る")</f>
        <v>戻る</v>
      </c>
      <c r="G287" s="10" t="str">
        <f>IFERROR(__xludf.DUMMYFUNCTION("GOOGLETRANSLATE(E287,""en"",""zh-cn"")"),"后退")</f>
        <v>后退</v>
      </c>
      <c r="H287" s="10" t="str">
        <f>IFERROR(__xludf.DUMMYFUNCTION("GOOGLETRANSLATE(E287,""en"",""fr"")"),"Dos")</f>
        <v>Dos</v>
      </c>
      <c r="I287" s="10" t="str">
        <f>IFERROR(__xludf.DUMMYFUNCTION("GOOGLETRANSLATE(E287,""en"",""de"")"),"Zurück")</f>
        <v>Zurück</v>
      </c>
    </row>
    <row r="288">
      <c r="A288" s="11"/>
      <c r="B288" s="11"/>
      <c r="C288" s="11"/>
      <c r="D288" s="11"/>
      <c r="E288" s="11"/>
      <c r="F288" s="11"/>
      <c r="G288" s="11"/>
      <c r="H288" s="11"/>
      <c r="I288" s="11"/>
    </row>
    <row r="289">
      <c r="A289" s="9" t="s">
        <v>517</v>
      </c>
      <c r="B289" s="9" t="s">
        <v>209</v>
      </c>
      <c r="C289" s="9" t="s">
        <v>518</v>
      </c>
      <c r="D289" s="9" t="s">
        <v>12</v>
      </c>
      <c r="E289" s="10" t="s">
        <v>119</v>
      </c>
      <c r="F289" s="10" t="str">
        <f>IFERROR(__xludf.DUMMYFUNCTION("GOOGLETRANSLATE(E289,""en"", ""ja"")"),"オートコンプリート")</f>
        <v>オートコンプリート</v>
      </c>
      <c r="G289" s="10" t="str">
        <f>IFERROR(__xludf.DUMMYFUNCTION("GOOGLETRANSLATE(E289,""en"",""zh-cn"")"),"自动完成")</f>
        <v>自动完成</v>
      </c>
      <c r="H289" s="10" t="str">
        <f>IFERROR(__xludf.DUMMYFUNCTION("GOOGLETRANSLATE(E289,""en"",""fr"")"),"Saisie automatique")</f>
        <v>Saisie automatique</v>
      </c>
      <c r="I289" s="10" t="str">
        <f>IFERROR(__xludf.DUMMYFUNCTION("GOOGLETRANSLATE(E289,""en"",""de"")"),"Automatisch vervollständigt")</f>
        <v>Automatisch vervollständigt</v>
      </c>
    </row>
    <row r="290">
      <c r="A290" s="9" t="s">
        <v>517</v>
      </c>
      <c r="B290" s="9" t="s">
        <v>210</v>
      </c>
      <c r="C290" s="9" t="s">
        <v>518</v>
      </c>
      <c r="D290" s="9" t="s">
        <v>12</v>
      </c>
      <c r="E290" s="10" t="s">
        <v>519</v>
      </c>
      <c r="F290" s="10" t="str">
        <f>IFERROR(__xludf.DUMMYFUNCTION("GOOGLETRANSLATE(E290,""en"", ""ja"")"),"日付フィールドは自動的に入力したり、ユーザーの名前やアドレスなどの以前の情報を保存したオプションリストをユーザーに表示できます。ユーザーが値を入力すると、選択制御が一致した結果を自動ロードできます。")</f>
        <v>日付フィールドは自動的に入力したり、ユーザーの名前やアドレスなどの以前の情報を保存したオプションリストをユーザーに表示できます。ユーザーが値を入力すると、選択制御が一致した結果を自動ロードできます。</v>
      </c>
      <c r="G290" s="10" t="str">
        <f>IFERROR(__xludf.DUMMYFUNCTION("GOOGLETRANSLATE(E290,""en"",""zh-cn"")"),"可以自动填充日期字段，也可以向用户显示存储以前信息的选项列表，例如用户的名称或地址。当用户输入值时，选择控件可以自动加载匹配的结果。")</f>
        <v>可以自动填充日期字段，也可以向用户显示存储以前信息的选项列表，例如用户的名称或地址。当用户输入值时，选择控件可以自动加载匹配的结果。</v>
      </c>
      <c r="H290" s="10" t="str">
        <f>IFERROR(__xludf.DUMMYFUNCTION("GOOGLETRANSLATE(E290,""en"",""fr"")"),"Le champ Date peut être rempli automatiquement ou afficher les utilisateurs une liste d'options qui stockait des informations précédentes, telles que le nom ou l'adresse d'un utilisateur. Lorsqu'un utilisateur entre dans une valeur, le contrôle de sélecti"&amp;"on peut télécharger automatiquement les résultats correspondants.")</f>
        <v>Le champ Date peut être rempli automatiquement ou afficher les utilisateurs une liste d'options qui stockait des informations précédentes, telles que le nom ou l'adresse d'un utilisateur. Lorsqu'un utilisateur entre dans une valeur, le contrôle de sélection peut télécharger automatiquement les résultats correspondants.</v>
      </c>
      <c r="I290" s="10" t="str">
        <f>IFERROR(__xludf.DUMMYFUNCTION("GOOGLETRANSLATE(E290,""en"",""de"")"),"Das Datumsfeld kann automatisch ausgefüllt werden oder den Benutzern eine Optionsliste zeigen, die frühere Informationen gespeichert hat, z. B. den Namen oder die Adresse eines Benutzers. Wenn ein Benutzer einen Wert eingibt, kann die Auswahlsteuerung die"&amp;" übereinstimmenden Ergebnisse automatisch laden.")</f>
        <v>Das Datumsfeld kann automatisch ausgefüllt werden oder den Benutzern eine Optionsliste zeigen, die frühere Informationen gespeichert hat, z. B. den Namen oder die Adresse eines Benutzers. Wenn ein Benutzer einen Wert eingibt, kann die Auswahlsteuerung die übereinstimmenden Ergebnisse automatisch laden.</v>
      </c>
    </row>
    <row r="291">
      <c r="A291" s="9" t="s">
        <v>517</v>
      </c>
      <c r="B291" s="9" t="s">
        <v>520</v>
      </c>
      <c r="C291" s="9" t="s">
        <v>518</v>
      </c>
      <c r="D291" s="9" t="s">
        <v>12</v>
      </c>
      <c r="E291" s="10" t="s">
        <v>521</v>
      </c>
      <c r="F291" s="10" t="str">
        <f>IFERROR(__xludf.DUMMYFUNCTION("GOOGLETRANSLATE(E291,""en"", ""ja"")"),"ユーザーが以前に入力したデータを使用する傾向がある場合は、自動コンプリートフィールドを使用します。")</f>
        <v>ユーザーが以前に入力したデータを使用する傾向がある場合は、自動コンプリートフィールドを使用します。</v>
      </c>
      <c r="G291" s="10" t="str">
        <f>IFERROR(__xludf.DUMMYFUNCTION("GOOGLETRANSLATE(E291,""en"",""zh-cn"")"),"当用户倾向于使用他/她以前已输入的数据时，请使用自动完成字段。")</f>
        <v>当用户倾向于使用他/她以前已输入的数据时，请使用自动完成字段。</v>
      </c>
      <c r="H291" s="10" t="str">
        <f>IFERROR(__xludf.DUMMYFUNCTION("GOOGLETRANSLATE(E291,""en"",""fr"")"),"Utilisez un champ automatique à complet lorsque l'utilisateur a tendance à utiliser les données qu'il a déjà saisies auparavant.")</f>
        <v>Utilisez un champ automatique à complet lorsque l'utilisateur a tendance à utiliser les données qu'il a déjà saisies auparavant.</v>
      </c>
      <c r="I291" s="10" t="str">
        <f>IFERROR(__xludf.DUMMYFUNCTION("GOOGLETRANSLATE(E291,""en"",""de"")"),"Verwenden Sie das automatische Feld, wenn der Benutzer dazu neigt, die bereits eingegebenen Daten zu verwenden.")</f>
        <v>Verwenden Sie das automatische Feld, wenn der Benutzer dazu neigt, die bereits eingegebenen Daten zu verwenden.</v>
      </c>
    </row>
    <row r="292">
      <c r="A292" s="9" t="s">
        <v>517</v>
      </c>
      <c r="B292" s="9" t="s">
        <v>522</v>
      </c>
      <c r="C292" s="9" t="s">
        <v>518</v>
      </c>
      <c r="D292" s="9" t="s">
        <v>12</v>
      </c>
      <c r="E292" s="10" t="s">
        <v>523</v>
      </c>
      <c r="F292" s="10" t="str">
        <f>IFERROR(__xludf.DUMMYFUNCTION("GOOGLETRANSLATE(E292,""en"", ""ja"")"),"リストから一致した値を検索します")</f>
        <v>リストから一致した値を検索します</v>
      </c>
      <c r="G292" s="10" t="str">
        <f>IFERROR(__xludf.DUMMYFUNCTION("GOOGLETRANSLATE(E292,""en"",""zh-cn"")"),"从列表中搜索匹配的值")</f>
        <v>从列表中搜索匹配的值</v>
      </c>
      <c r="H292" s="10" t="str">
        <f>IFERROR(__xludf.DUMMYFUNCTION("GOOGLETRANSLATE(E292,""en"",""fr"")"),"Rechercher des valeurs correspondantes à partir de la liste")</f>
        <v>Rechercher des valeurs correspondantes à partir de la liste</v>
      </c>
      <c r="I292" s="10" t="str">
        <f>IFERROR(__xludf.DUMMYFUNCTION("GOOGLETRANSLATE(E292,""en"",""de"")"),"Suche nach übereinstimmenden Werten aus der Liste")</f>
        <v>Suche nach übereinstimmenden Werten aus der Liste</v>
      </c>
    </row>
    <row r="293">
      <c r="A293" s="9" t="s">
        <v>517</v>
      </c>
      <c r="B293" s="9" t="s">
        <v>524</v>
      </c>
      <c r="C293" s="9" t="s">
        <v>518</v>
      </c>
      <c r="D293" s="9" t="s">
        <v>12</v>
      </c>
      <c r="E293" s="10" t="s">
        <v>525</v>
      </c>
      <c r="F293" s="10" t="str">
        <f>IFERROR(__xludf.DUMMYFUNCTION("GOOGLETRANSLATE(E293,""en"", ""ja"")"),"グローバル検索、キーワードに一致するものはすべて表示されます")</f>
        <v>グローバル検索、キーワードに一致するものはすべて表示されます</v>
      </c>
      <c r="G293" s="10" t="str">
        <f>IFERROR(__xludf.DUMMYFUNCTION("GOOGLETRANSLATE(E293,""en"",""zh-cn"")"),"全局搜索，将显示与关键字匹配的任何内容")</f>
        <v>全局搜索，将显示与关键字匹配的任何内容</v>
      </c>
      <c r="H293" s="10" t="str">
        <f>IFERROR(__xludf.DUMMYFUNCTION("GOOGLETRANSLATE(E293,""en"",""fr"")"),"Recherche globale, tout ce qui correspond aux mots clés sera affiché")</f>
        <v>Recherche globale, tout ce qui correspond aux mots clés sera affiché</v>
      </c>
      <c r="I293" s="10" t="str">
        <f>IFERROR(__xludf.DUMMYFUNCTION("GOOGLETRANSLATE(E293,""en"",""de"")"),"Globale Suche, alles, was mit den Schlüsselwörtern übereinstimmte, wird angezeigt")</f>
        <v>Globale Suche, alles, was mit den Schlüsselwörtern übereinstimmte, wird angezeigt</v>
      </c>
    </row>
    <row r="294">
      <c r="A294" s="9" t="s">
        <v>517</v>
      </c>
      <c r="B294" s="9" t="s">
        <v>274</v>
      </c>
      <c r="C294" s="9" t="s">
        <v>518</v>
      </c>
      <c r="D294" s="9" t="s">
        <v>12</v>
      </c>
      <c r="E294" s="10" t="s">
        <v>526</v>
      </c>
      <c r="F294" s="10" t="str">
        <f>IFERROR(__xludf.DUMMYFUNCTION("GOOGLETRANSLATE(E294,""en"", ""ja"")"),"名前、メールアドレス、郵便番号などのキーワードを入力します。")</f>
        <v>名前、メールアドレス、郵便番号などのキーワードを入力します。</v>
      </c>
      <c r="G294" s="10" t="str">
        <f>IFERROR(__xludf.DUMMYFUNCTION("GOOGLETRANSLATE(E294,""en"",""zh-cn"")"),"输入名称，电子邮件地址，邮政编码等的关键字。")</f>
        <v>输入名称，电子邮件地址，邮政编码等的关键字。</v>
      </c>
      <c r="H294" s="10" t="str">
        <f>IFERROR(__xludf.DUMMYFUNCTION("GOOGLETRANSLATE(E294,""en"",""fr"")"),"Entrez un mot-clé pour le nom, l'adresse e-mail, le code postal, etc.")</f>
        <v>Entrez un mot-clé pour le nom, l'adresse e-mail, le code postal, etc.</v>
      </c>
      <c r="I294" s="10" t="str">
        <f>IFERROR(__xludf.DUMMYFUNCTION("GOOGLETRANSLATE(E294,""en"",""de"")"),"Geben Sie ein Schlüsselwort für Name, E -Mail -Adresse, Postleitzahl usw. ein.")</f>
        <v>Geben Sie ein Schlüsselwort für Name, E -Mail -Adresse, Postleitzahl usw. ein.</v>
      </c>
    </row>
    <row r="295">
      <c r="A295" s="9" t="s">
        <v>517</v>
      </c>
      <c r="B295" s="9" t="s">
        <v>24</v>
      </c>
      <c r="C295" s="9" t="s">
        <v>518</v>
      </c>
      <c r="D295" s="9" t="s">
        <v>12</v>
      </c>
      <c r="E295" s="10" t="s">
        <v>527</v>
      </c>
      <c r="F295" s="10" t="str">
        <f>IFERROR(__xludf.DUMMYFUNCTION("GOOGLETRANSLATE(E295,""en"", ""ja"")"),"検索")</f>
        <v>検索</v>
      </c>
      <c r="G295" s="10" t="str">
        <f>IFERROR(__xludf.DUMMYFUNCTION("GOOGLETRANSLATE(E295,""en"",""zh-cn"")"),"搜索")</f>
        <v>搜索</v>
      </c>
      <c r="H295" s="10" t="str">
        <f>IFERROR(__xludf.DUMMYFUNCTION("GOOGLETRANSLATE(E295,""en"",""fr"")"),"Recherche")</f>
        <v>Recherche</v>
      </c>
      <c r="I295" s="10" t="str">
        <f>IFERROR(__xludf.DUMMYFUNCTION("GOOGLETRANSLATE(E295,""en"",""de"")"),"Suchen")</f>
        <v>Suchen</v>
      </c>
    </row>
    <row r="296">
      <c r="A296" s="9" t="s">
        <v>517</v>
      </c>
      <c r="B296" s="9" t="s">
        <v>528</v>
      </c>
      <c r="C296" s="9" t="s">
        <v>518</v>
      </c>
      <c r="D296" s="9" t="s">
        <v>12</v>
      </c>
      <c r="E296" s="10" t="s">
        <v>529</v>
      </c>
      <c r="F296" s="10" t="str">
        <f>IFERROR(__xludf.DUMMYFUNCTION("GOOGLETRANSLATE(E296,""en"", ""ja"")"),"検索アイコンでキーワードを入力します。")</f>
        <v>検索アイコンでキーワードを入力します。</v>
      </c>
      <c r="G296" s="10" t="str">
        <f>IFERROR(__xludf.DUMMYFUNCTION("GOOGLETRANSLATE(E296,""en"",""zh-cn"")"),"使用搜索图标输入关键字。")</f>
        <v>使用搜索图标输入关键字。</v>
      </c>
      <c r="H296" s="10" t="str">
        <f>IFERROR(__xludf.DUMMYFUNCTION("GOOGLETRANSLATE(E296,""en"",""fr"")"),"Entrez les mots clés avec une icône de recherche.")</f>
        <v>Entrez les mots clés avec une icône de recherche.</v>
      </c>
      <c r="I296" s="10" t="str">
        <f>IFERROR(__xludf.DUMMYFUNCTION("GOOGLETRANSLATE(E296,""en"",""de"")"),"Geben Sie Schlüsselwörter mit einem Suchsymbol ein.")</f>
        <v>Geben Sie Schlüsselwörter mit einem Suchsymbol ein.</v>
      </c>
    </row>
    <row r="297">
      <c r="A297" s="11"/>
      <c r="B297" s="11"/>
      <c r="C297" s="11"/>
      <c r="D297" s="11"/>
      <c r="E297" s="11"/>
      <c r="F297" s="11"/>
      <c r="G297" s="11"/>
      <c r="H297" s="11"/>
      <c r="I297" s="11"/>
    </row>
    <row r="298">
      <c r="A298" s="9" t="s">
        <v>530</v>
      </c>
      <c r="B298" s="9" t="s">
        <v>209</v>
      </c>
      <c r="C298" s="9" t="s">
        <v>120</v>
      </c>
      <c r="D298" s="9" t="s">
        <v>12</v>
      </c>
      <c r="E298" s="10" t="s">
        <v>121</v>
      </c>
      <c r="F298" s="10" t="str">
        <f>IFERROR(__xludf.DUMMYFUNCTION("GOOGLETRANSLATE(E298,""en"", ""ja"")"),"アバター")</f>
        <v>アバター</v>
      </c>
      <c r="G298" s="10" t="str">
        <f>IFERROR(__xludf.DUMMYFUNCTION("GOOGLETRANSLATE(E298,""en"",""zh-cn"")"),"头像")</f>
        <v>头像</v>
      </c>
      <c r="H298" s="10" t="str">
        <f>IFERROR(__xludf.DUMMYFUNCTION("GOOGLETRANSLATE(E298,""en"",""fr"")"),"Avatar")</f>
        <v>Avatar</v>
      </c>
      <c r="I298" s="10" t="str">
        <f>IFERROR(__xludf.DUMMYFUNCTION("GOOGLETRANSLATE(E298,""en"",""de"")"),"Benutzerbild")</f>
        <v>Benutzerbild</v>
      </c>
    </row>
    <row r="299">
      <c r="A299" s="9" t="s">
        <v>530</v>
      </c>
      <c r="B299" s="9" t="s">
        <v>210</v>
      </c>
      <c r="C299" s="9" t="s">
        <v>120</v>
      </c>
      <c r="D299" s="9" t="s">
        <v>12</v>
      </c>
      <c r="E299" s="10" t="s">
        <v>531</v>
      </c>
      <c r="F299" s="10" t="str">
        <f>IFERROR(__xludf.DUMMYFUNCTION("GOOGLETRANSLATE(E299,""en"", ""ja"")"),"アバターコンポーネントは、ユーザー、オブジェクト、またはエンティティを表します。")</f>
        <v>アバターコンポーネントは、ユーザー、オブジェクト、またはエンティティを表します。</v>
      </c>
      <c r="G299" s="10" t="str">
        <f>IFERROR(__xludf.DUMMYFUNCTION("GOOGLETRANSLATE(E299,""en"",""zh-cn"")"),"AVATAR组件代表用户，对象或实体。")</f>
        <v>AVATAR组件代表用户，对象或实体。</v>
      </c>
      <c r="H299" s="10" t="str">
        <f>IFERROR(__xludf.DUMMYFUNCTION("GOOGLETRANSLATE(E299,""en"",""fr"")"),"Un composant Avatar représente un utilisateur, un objet ou une entité.")</f>
        <v>Un composant Avatar représente un utilisateur, un objet ou une entité.</v>
      </c>
      <c r="I299" s="10" t="str">
        <f>IFERROR(__xludf.DUMMYFUNCTION("GOOGLETRANSLATE(E299,""en"",""de"")"),"Eine Avatar -Komponente repräsentiert einen Benutzer, ein Objekt oder eine Entität.")</f>
        <v>Eine Avatar -Komponente repräsentiert einen Benutzer, ein Objekt oder eine Entität.</v>
      </c>
    </row>
    <row r="300">
      <c r="A300" s="9" t="s">
        <v>530</v>
      </c>
      <c r="B300" s="9" t="s">
        <v>485</v>
      </c>
      <c r="C300" s="9" t="s">
        <v>120</v>
      </c>
      <c r="D300" s="9" t="s">
        <v>12</v>
      </c>
      <c r="E300" s="10" t="s">
        <v>532</v>
      </c>
      <c r="F300" s="10" t="str">
        <f>IFERROR(__xludf.DUMMYFUNCTION("GOOGLETRANSLATE(E300,""en"", ""ja"")"),"ペルソナのリストを表示します。各円は人を表し、イメージまたはイニシャルを含みます。多くの場合、このコントロールは、特定のビューまたはファイルにアクセスできる人を共有するとき、またはワークフロー内で誰かにタスクを割り当てるときに使用されます。")</f>
        <v>ペルソナのリストを表示します。各円は人を表し、イメージまたはイニシャルを含みます。多くの場合、このコントロールは、特定のビューまたはファイルにアクセスできる人を共有するとき、またはワークフロー内で誰かにタスクを割り当てるときに使用されます。</v>
      </c>
      <c r="G300" s="10" t="str">
        <f>IFERROR(__xludf.DUMMYFUNCTION("GOOGLETRANSLATE(E300,""en"",""zh-cn"")"),"显示一个角色列表。每个圆圈代表一个人并包含其图像或缩写。通常，当共享可以访问特定视图或文件的人或在工作流程中分配某人的任务时，通常会使用此控件。")</f>
        <v>显示一个角色列表。每个圆圈代表一个人并包含其图像或缩写。通常，当共享可以访问特定视图或文件的人或在工作流程中分配某人的任务时，通常会使用此控件。</v>
      </c>
      <c r="H300" s="10" t="str">
        <f>IFERROR(__xludf.DUMMYFUNCTION("GOOGLETRANSLATE(E300,""en"",""fr"")"),"Affiche une liste de personnages. Chaque cercle représente une personne et contient son image ou ses initiales. Souvent, ce contrôle est utilisé lors du partage qui a accès à une vue ou un fichier spécifique, ou lorsqu'il attribue à quelqu'un une tâche da"&amp;"ns un workflow.")</f>
        <v>Affiche une liste de personnages. Chaque cercle représente une personne et contient son image ou ses initiales. Souvent, ce contrôle est utilisé lors du partage qui a accès à une vue ou un fichier spécifique, ou lorsqu'il attribue à quelqu'un une tâche dans un workflow.</v>
      </c>
      <c r="I300" s="10" t="str">
        <f>IFERROR(__xludf.DUMMYFUNCTION("GOOGLETRANSLATE(E300,""en"",""de"")"),"Zeigt eine Liste von Personas an. Jeder Kreis repräsentiert eine Person und enthält ihr Bild oder ihre Initialen. Oft wird diese Steuerung verwendet, um zu teilen, wer Zugriff auf eine bestimmte Ansicht oder Datei hat, oder wenn Sie jemandem eine Aufgabe "&amp;"innerhalb eines Workflows zuweisen.")</f>
        <v>Zeigt eine Liste von Personas an. Jeder Kreis repräsentiert eine Person und enthält ihr Bild oder ihre Initialen. Oft wird diese Steuerung verwendet, um zu teilen, wer Zugriff auf eine bestimmte Ansicht oder Datei hat, oder wenn Sie jemandem eine Aufgabe innerhalb eines Workflows zuweisen.</v>
      </c>
    </row>
    <row r="301">
      <c r="A301" s="9" t="s">
        <v>530</v>
      </c>
      <c r="B301" s="9" t="s">
        <v>533</v>
      </c>
      <c r="C301" s="9" t="s">
        <v>120</v>
      </c>
      <c r="D301" s="9" t="s">
        <v>12</v>
      </c>
      <c r="E301" s="10" t="s">
        <v>534</v>
      </c>
      <c r="F301" s="10" t="str">
        <f>IFERROR(__xludf.DUMMYFUNCTION("GOOGLETRANSLATE(E301,""en"", ""ja"")"),"次のときに使用しないでください")</f>
        <v>次のときに使用しないでください</v>
      </c>
      <c r="G301" s="10" t="str">
        <f>IFERROR(__xludf.DUMMYFUNCTION("GOOGLETRANSLATE(E301,""en"",""zh-cn"")"),"请勿在以下情况下使用它。")</f>
        <v>请勿在以下情况下使用它。</v>
      </c>
      <c r="H301" s="10" t="str">
        <f>IFERROR(__xludf.DUMMYFUNCTION("GOOGLETRANSLATE(E301,""en"",""fr"")"),"Ne l'utilisez pas lorsque:")</f>
        <v>Ne l'utilisez pas lorsque:</v>
      </c>
      <c r="I301" s="10" t="str">
        <f>IFERROR(__xludf.DUMMYFUNCTION("GOOGLETRANSLATE(E301,""en"",""de"")"),"Verwenden Sie es nicht, wenn:")</f>
        <v>Verwenden Sie es nicht, wenn:</v>
      </c>
    </row>
    <row r="302">
      <c r="A302" s="9" t="s">
        <v>530</v>
      </c>
      <c r="B302" s="9" t="s">
        <v>535</v>
      </c>
      <c r="C302" s="9" t="s">
        <v>120</v>
      </c>
      <c r="D302" s="9" t="s">
        <v>12</v>
      </c>
      <c r="E302" s="10" t="s">
        <v>536</v>
      </c>
      <c r="F302" s="10" t="str">
        <f>IFERROR(__xludf.DUMMYFUNCTION("GOOGLETRANSLATE(E302,""en"", ""ja"")"),"ユーザーまたはグループは、テーブルまたはリストに表示する主要な情報ではありません。")</f>
        <v>ユーザーまたはグループは、テーブルまたはリストに表示する主要な情報ではありません。</v>
      </c>
      <c r="G302" s="10" t="str">
        <f>IFERROR(__xludf.DUMMYFUNCTION("GOOGLETRANSLATE(E302,""en"",""zh-cn"")"),"用户或组不是要在表或列表中显示的主要信息。")</f>
        <v>用户或组不是要在表或列表中显示的主要信息。</v>
      </c>
      <c r="H302" s="10" t="str">
        <f>IFERROR(__xludf.DUMMYFUNCTION("GOOGLETRANSLATE(E302,""en"",""fr"")"),"L'utilisateur ou le groupe n'est pas les informations principales que vous souhaitez afficher dans une table ou une liste.")</f>
        <v>L'utilisateur ou le groupe n'est pas les informations principales que vous souhaitez afficher dans une table ou une liste.</v>
      </c>
      <c r="I302" s="10" t="str">
        <f>IFERROR(__xludf.DUMMYFUNCTION("GOOGLETRANSLATE(E302,""en"",""de"")"),"Benutzer oder Gruppe ist nicht die primären Informationen, die Sie in einer Tabelle oder Liste anzeigen möchten.")</f>
        <v>Benutzer oder Gruppe ist nicht die primären Informationen, die Sie in einer Tabelle oder Liste anzeigen möchten.</v>
      </c>
    </row>
    <row r="303">
      <c r="A303" s="9" t="s">
        <v>530</v>
      </c>
      <c r="B303" s="9" t="s">
        <v>537</v>
      </c>
      <c r="C303" s="9" t="s">
        <v>120</v>
      </c>
      <c r="D303" s="9" t="s">
        <v>12</v>
      </c>
      <c r="E303" s="10" t="s">
        <v>538</v>
      </c>
      <c r="F303" s="10" t="str">
        <f>IFERROR(__xludf.DUMMYFUNCTION("GOOGLETRANSLATE(E303,""en"", ""ja"")"),"それを表示するのに十分なスペースがありません。")</f>
        <v>それを表示するのに十分なスペースがありません。</v>
      </c>
      <c r="G303" s="10" t="str">
        <f>IFERROR(__xludf.DUMMYFUNCTION("GOOGLETRANSLATE(E303,""en"",""zh-cn"")"),"没有足够的空间显示它。")</f>
        <v>没有足够的空间显示它。</v>
      </c>
      <c r="H303" s="10" t="str">
        <f>IFERROR(__xludf.DUMMYFUNCTION("GOOGLETRANSLATE(E303,""en"",""fr"")"),"Il n'y a pas assez d'espace pour l'afficher.")</f>
        <v>Il n'y a pas assez d'espace pour l'afficher.</v>
      </c>
      <c r="I303" s="10" t="str">
        <f>IFERROR(__xludf.DUMMYFUNCTION("GOOGLETRANSLATE(E303,""en"",""de"")"),"Es gibt nicht genügend Platz, um es anzuzeigen.")</f>
        <v>Es gibt nicht genügend Platz, um es anzuzeigen.</v>
      </c>
    </row>
    <row r="304">
      <c r="A304" s="9" t="s">
        <v>530</v>
      </c>
      <c r="B304" s="9" t="s">
        <v>274</v>
      </c>
      <c r="C304" s="9" t="s">
        <v>120</v>
      </c>
      <c r="D304" s="9" t="s">
        <v>12</v>
      </c>
      <c r="E304" s="10" t="s">
        <v>539</v>
      </c>
      <c r="F304" s="10" t="str">
        <f>IFERROR(__xludf.DUMMYFUNCTION("GOOGLETRANSLATE(E304,""en"", ""ja"")"),"人の画像がない場合、または画像が不要な場合、その人のイニシャルの構成を背景色に置くことができます。")</f>
        <v>人の画像がない場合、または画像が不要な場合、その人のイニシャルの構成を背景色に置くことができます。</v>
      </c>
      <c r="G304" s="10" t="str">
        <f>IFERROR(__xludf.DUMMYFUNCTION("GOOGLETRANSLATE(E304,""en"",""zh-cn"")"),"当没有人形象或不需要图像时，可以将人的姓名缩写的组成放在背景颜色上。")</f>
        <v>当没有人形象或不需要图像时，可以将人的姓名缩写的组成放在背景颜色上。</v>
      </c>
      <c r="H304" s="10" t="str">
        <f>IFERROR(__xludf.DUMMYFUNCTION("GOOGLETRANSLATE(E304,""en"",""fr"")"),"Peut mettre une composition des initiales de la personne sur une couleur d'arrière-plan lorsqu'il n'y a pas d'image de personne, ou aucune image nécessaire.")</f>
        <v>Peut mettre une composition des initiales de la personne sur une couleur d'arrière-plan lorsqu'il n'y a pas d'image de personne, ou aucune image nécessaire.</v>
      </c>
      <c r="I304" s="10" t="str">
        <f>IFERROR(__xludf.DUMMYFUNCTION("GOOGLETRANSLATE(E304,""en"",""de"")"),"Kann eine Komposition der Initialen der Person in eine Hintergrundfarbe bringen, wenn kein Personbild oder kein Bild erforderlich ist.")</f>
        <v>Kann eine Komposition der Initialen der Person in eine Hintergrundfarbe bringen, wenn kein Personbild oder kein Bild erforderlich ist.</v>
      </c>
    </row>
    <row r="305">
      <c r="A305" s="9" t="s">
        <v>530</v>
      </c>
      <c r="B305" s="9" t="s">
        <v>540</v>
      </c>
      <c r="C305" s="9" t="s">
        <v>120</v>
      </c>
      <c r="D305" s="9" t="s">
        <v>12</v>
      </c>
      <c r="E305" s="10" t="s">
        <v>541</v>
      </c>
      <c r="F305" s="10" t="str">
        <f>IFERROR(__xludf.DUMMYFUNCTION("GOOGLETRANSLATE(E305,""en"", ""ja"")"),"画像")</f>
        <v>画像</v>
      </c>
      <c r="G305" s="10" t="str">
        <f>IFERROR(__xludf.DUMMYFUNCTION("GOOGLETRANSLATE(E305,""en"",""zh-cn"")"),"图像")</f>
        <v>图像</v>
      </c>
      <c r="H305" s="10" t="str">
        <f>IFERROR(__xludf.DUMMYFUNCTION("GOOGLETRANSLATE(E305,""en"",""fr"")"),"Image")</f>
        <v>Image</v>
      </c>
      <c r="I305" s="10" t="str">
        <f>IFERROR(__xludf.DUMMYFUNCTION("GOOGLETRANSLATE(E305,""en"",""de"")"),"Bild")</f>
        <v>Bild</v>
      </c>
    </row>
    <row r="306">
      <c r="A306" s="9" t="s">
        <v>530</v>
      </c>
      <c r="B306" s="9" t="s">
        <v>542</v>
      </c>
      <c r="C306" s="9" t="s">
        <v>120</v>
      </c>
      <c r="D306" s="9" t="s">
        <v>12</v>
      </c>
      <c r="E306" s="10" t="s">
        <v>543</v>
      </c>
      <c r="F306" s="10" t="str">
        <f>IFERROR(__xludf.DUMMYFUNCTION("GOOGLETRANSLATE(E306,""en"", ""ja"")"),"画像が表示されている場合は、この鮮やかなスタイルを使用してください。")</f>
        <v>画像が表示されている場合は、この鮮やかなスタイルを使用してください。</v>
      </c>
      <c r="G306" s="10" t="str">
        <f>IFERROR(__xludf.DUMMYFUNCTION("GOOGLETRANSLATE(E306,""en"",""zh-cn"")"),"当有图像可以显示时，请使用这种生动的样式​​。")</f>
        <v>当有图像可以显示时，请使用这种生动的样式​​。</v>
      </c>
      <c r="H306" s="10" t="str">
        <f>IFERROR(__xludf.DUMMYFUNCTION("GOOGLETRANSLATE(E306,""en"",""fr"")"),"Utilisez ce style vif lorsqu'une image peut s'afficher.")</f>
        <v>Utilisez ce style vif lorsqu'une image peut s'afficher.</v>
      </c>
      <c r="I306" s="10" t="str">
        <f>IFERROR(__xludf.DUMMYFUNCTION("GOOGLETRANSLATE(E306,""en"",""de"")"),"Verwenden Sie diesen lebendigen Stil, wenn ein Bild angezeigt wird.")</f>
        <v>Verwenden Sie diesen lebendigen Stil, wenn ein Bild angezeigt wird.</v>
      </c>
    </row>
    <row r="307">
      <c r="A307" s="9" t="s">
        <v>530</v>
      </c>
      <c r="B307" s="9" t="s">
        <v>544</v>
      </c>
      <c r="C307" s="9" t="s">
        <v>120</v>
      </c>
      <c r="D307" s="9" t="s">
        <v>12</v>
      </c>
      <c r="E307" s="10" t="s">
        <v>545</v>
      </c>
      <c r="F307" s="10" t="str">
        <f>IFERROR(__xludf.DUMMYFUNCTION("GOOGLETRANSLATE(E307,""en"", ""ja"")"),"四角")</f>
        <v>四角</v>
      </c>
      <c r="G307" s="10" t="str">
        <f>IFERROR(__xludf.DUMMYFUNCTION("GOOGLETRANSLATE(E307,""en"",""zh-cn"")"),"正方形")</f>
        <v>正方形</v>
      </c>
      <c r="H307" s="10" t="str">
        <f>IFERROR(__xludf.DUMMYFUNCTION("GOOGLETRANSLATE(E307,""en"",""fr"")"),"Carré")</f>
        <v>Carré</v>
      </c>
      <c r="I307" s="10" t="str">
        <f>IFERROR(__xludf.DUMMYFUNCTION("GOOGLETRANSLATE(E307,""en"",""de"")"),"Quadrat")</f>
        <v>Quadrat</v>
      </c>
    </row>
    <row r="308">
      <c r="A308" s="9" t="s">
        <v>530</v>
      </c>
      <c r="B308" s="9" t="s">
        <v>546</v>
      </c>
      <c r="C308" s="9" t="s">
        <v>120</v>
      </c>
      <c r="D308" s="9" t="s">
        <v>12</v>
      </c>
      <c r="E308" s="10" t="s">
        <v>547</v>
      </c>
      <c r="F308" s="10" t="str">
        <f>IFERROR(__xludf.DUMMYFUNCTION("GOOGLETRANSLATE(E308,""en"", ""ja"")"),"ヘッダーゾーンの右上ログインユーザーにのみ使用します。")</f>
        <v>ヘッダーゾーンの右上ログインユーザーにのみ使用します。</v>
      </c>
      <c r="G308" s="10" t="str">
        <f>IFERROR(__xludf.DUMMYFUNCTION("GOOGLETRANSLATE(E308,""en"",""zh-cn"")"),"仅适用于标题区域中的右TOP登录用户。")</f>
        <v>仅适用于标题区域中的右TOP登录用户。</v>
      </c>
      <c r="H308" s="10" t="str">
        <f>IFERROR(__xludf.DUMMYFUNCTION("GOOGLETRANSLATE(E308,""en"",""fr"")"),"Utiliser uniquement pour l'utilisateur de connexion à droite dans la zone d'en-tête.")</f>
        <v>Utiliser uniquement pour l'utilisateur de connexion à droite dans la zone d'en-tête.</v>
      </c>
      <c r="I308" s="10" t="str">
        <f>IFERROR(__xludf.DUMMYFUNCTION("GOOGLETRANSLATE(E308,""en"",""de"")"),"Verwenden Sie nur für den Right-Top-Anbieterbenutzer in der Header-Zone.")</f>
        <v>Verwenden Sie nur für den Right-Top-Anbieterbenutzer in der Header-Zone.</v>
      </c>
    </row>
    <row r="309">
      <c r="A309" s="11"/>
      <c r="B309" s="11"/>
      <c r="C309" s="11"/>
      <c r="D309" s="11"/>
      <c r="E309" s="11"/>
      <c r="F309" s="11"/>
      <c r="G309" s="11"/>
      <c r="H309" s="11"/>
      <c r="I309" s="11"/>
    </row>
    <row r="310">
      <c r="A310" s="15" t="s">
        <v>548</v>
      </c>
      <c r="B310" s="15" t="s">
        <v>209</v>
      </c>
      <c r="C310" s="15" t="s">
        <v>92</v>
      </c>
      <c r="D310" s="15" t="s">
        <v>12</v>
      </c>
      <c r="E310" s="15" t="s">
        <v>549</v>
      </c>
      <c r="F310" s="15" t="str">
        <f>IFERROR(__xludf.DUMMYFUNCTION("GOOGLETRANSLATE(E310,""en"", ""ja"")"),"ログを変更します")</f>
        <v>ログを変更します</v>
      </c>
      <c r="G310" s="15" t="str">
        <f>IFERROR(__xludf.DUMMYFUNCTION("GOOGLETRANSLATE(E310,""en"",""zh-cn"")"),"更改日志")</f>
        <v>更改日志</v>
      </c>
      <c r="H310" s="15" t="str">
        <f>IFERROR(__xludf.DUMMYFUNCTION("GOOGLETRANSLATE(E310,""en"",""fr"")"),"Modifier le journal")</f>
        <v>Modifier le journal</v>
      </c>
      <c r="I310" s="15" t="str">
        <f>IFERROR(__xludf.DUMMYFUNCTION("GOOGLETRANSLATE(E310,""en"",""de"")"),"Änderungsprotokoll")</f>
        <v>Änderungsprotokoll</v>
      </c>
    </row>
    <row r="311">
      <c r="A311" s="15" t="s">
        <v>548</v>
      </c>
      <c r="B311" s="15" t="s">
        <v>550</v>
      </c>
      <c r="C311" s="15" t="s">
        <v>92</v>
      </c>
      <c r="D311" s="15" t="s">
        <v>12</v>
      </c>
      <c r="E311" s="15" t="s">
        <v>551</v>
      </c>
      <c r="F311" s="15" t="str">
        <f>IFERROR(__xludf.DUMMYFUNCTION("GOOGLETRANSLATE(E311,""en"", ""ja"")"),"バグ")</f>
        <v>バグ</v>
      </c>
      <c r="G311" s="15" t="str">
        <f>IFERROR(__xludf.DUMMYFUNCTION("GOOGLETRANSLATE(E311,""en"",""zh-cn"")"),"漏洞")</f>
        <v>漏洞</v>
      </c>
      <c r="H311" s="15" t="str">
        <f>IFERROR(__xludf.DUMMYFUNCTION("GOOGLETRANSLATE(E311,""en"",""fr"")"),"Bogue")</f>
        <v>Bogue</v>
      </c>
      <c r="I311" s="15" t="str">
        <f>IFERROR(__xludf.DUMMYFUNCTION("GOOGLETRANSLATE(E311,""en"",""de"")"),"Insekt")</f>
        <v>Insekt</v>
      </c>
    </row>
    <row r="312">
      <c r="A312" s="15" t="s">
        <v>548</v>
      </c>
      <c r="B312" s="15" t="s">
        <v>552</v>
      </c>
      <c r="C312" s="15" t="s">
        <v>92</v>
      </c>
      <c r="D312" s="15" t="s">
        <v>12</v>
      </c>
      <c r="E312" s="15" t="s">
        <v>553</v>
      </c>
      <c r="F312" s="15" t="str">
        <f>IFERROR(__xludf.DUMMYFUNCTION("GOOGLETRANSLATE(E312,""en"", ""ja"")"),"改善")</f>
        <v>改善</v>
      </c>
      <c r="G312" s="15" t="str">
        <f>IFERROR(__xludf.DUMMYFUNCTION("GOOGLETRANSLATE(E312,""en"",""zh-cn"")"),"改进")</f>
        <v>改进</v>
      </c>
      <c r="H312" s="15" t="str">
        <f>IFERROR(__xludf.DUMMYFUNCTION("GOOGLETRANSLATE(E312,""en"",""fr"")"),"Amélioration")</f>
        <v>Amélioration</v>
      </c>
      <c r="I312" s="15" t="str">
        <f>IFERROR(__xludf.DUMMYFUNCTION("GOOGLETRANSLATE(E312,""en"",""de"")"),"Verbesserung")</f>
        <v>Verbesserung</v>
      </c>
    </row>
    <row r="313">
      <c r="A313" s="15" t="s">
        <v>548</v>
      </c>
      <c r="B313" s="15" t="s">
        <v>554</v>
      </c>
      <c r="C313" s="15" t="s">
        <v>92</v>
      </c>
      <c r="D313" s="15" t="s">
        <v>12</v>
      </c>
      <c r="E313" s="15" t="s">
        <v>555</v>
      </c>
      <c r="F313" s="15" t="str">
        <f>IFERROR(__xludf.DUMMYFUNCTION("GOOGLETRANSLATE(E313,""en"", ""ja"")"),"タスク")</f>
        <v>タスク</v>
      </c>
      <c r="G313" s="15" t="str">
        <f>IFERROR(__xludf.DUMMYFUNCTION("GOOGLETRANSLATE(E313,""en"",""zh-cn"")"),"任务")</f>
        <v>任务</v>
      </c>
      <c r="H313" s="15" t="str">
        <f>IFERROR(__xludf.DUMMYFUNCTION("GOOGLETRANSLATE(E313,""en"",""fr"")"),"Tâche")</f>
        <v>Tâche</v>
      </c>
      <c r="I313" s="15" t="str">
        <f>IFERROR(__xludf.DUMMYFUNCTION("GOOGLETRANSLATE(E313,""en"",""de"")"),"Aufgabe")</f>
        <v>Aufgabe</v>
      </c>
    </row>
    <row r="314">
      <c r="A314" s="15" t="s">
        <v>548</v>
      </c>
      <c r="B314" s="15" t="s">
        <v>556</v>
      </c>
      <c r="C314" s="15" t="s">
        <v>92</v>
      </c>
      <c r="D314" s="15" t="s">
        <v>12</v>
      </c>
      <c r="E314" s="15" t="s">
        <v>557</v>
      </c>
      <c r="F314" s="15" t="str">
        <f>IFERROR(__xludf.DUMMYFUNCTION("GOOGLETRANSLATE(E314,""en"", ""ja"")"),"[Range Picker]：選択したすべての日付をクリアする必要があります")</f>
        <v>[Range Picker]：選択したすべての日付をクリアする必要があります</v>
      </c>
      <c r="G314" s="15" t="str">
        <f>IFERROR(__xludf.DUMMYFUNCTION("GOOGLETRANSLATE(E314,""en"",""zh-cn"")"),"[范围选择器]：清除应清除所有选定的日期")</f>
        <v>[范围选择器]：清除应清除所有选定的日期</v>
      </c>
      <c r="H314" s="15" t="str">
        <f>IFERROR(__xludf.DUMMYFUNCTION("GOOGLETRANSLATE(E314,""en"",""fr"")"),"[Picker de gamme]: Clear devrait effacer toutes les dates sélectionnées")</f>
        <v>[Picker de gamme]: Clear devrait effacer toutes les dates sélectionnées</v>
      </c>
      <c r="I314" s="15" t="str">
        <f>IFERROR(__xludf.DUMMYFUNCTION("GOOGLETRANSLATE(E314,""en"",""de"")"),"[Range Picker]: Clear sollte alle ausgewählten Daten löschen")</f>
        <v>[Range Picker]: Clear sollte alle ausgewählten Daten löschen</v>
      </c>
    </row>
    <row r="315">
      <c r="A315" s="15" t="s">
        <v>548</v>
      </c>
      <c r="B315" s="15" t="s">
        <v>558</v>
      </c>
      <c r="C315" s="15" t="s">
        <v>92</v>
      </c>
      <c r="D315" s="15" t="s">
        <v>12</v>
      </c>
      <c r="E315" s="15" t="s">
        <v>559</v>
      </c>
      <c r="F315" s="15" t="str">
        <f>IFERROR(__xludf.DUMMYFUNCTION("GOOGLETRANSLATE(E315,""en"", ""ja"")"),"タイムピッカーバグ")</f>
        <v>タイムピッカーバグ</v>
      </c>
      <c r="G315" s="15" t="str">
        <f>IFERROR(__xludf.DUMMYFUNCTION("GOOGLETRANSLATE(E315,""en"",""zh-cn"")"),"时间选择器错误")</f>
        <v>时间选择器错误</v>
      </c>
      <c r="H315" s="15" t="str">
        <f>IFERROR(__xludf.DUMMYFUNCTION("GOOGLETRANSLATE(E315,""en"",""fr"")"),"Bug de sélecteur de temps")</f>
        <v>Bug de sélecteur de temps</v>
      </c>
      <c r="I315" s="15" t="str">
        <f>IFERROR(__xludf.DUMMYFUNCTION("GOOGLETRANSLATE(E315,""en"",""de"")"),"Zeitpicker -Fehler")</f>
        <v>Zeitpicker -Fehler</v>
      </c>
    </row>
    <row r="316">
      <c r="A316" s="15" t="s">
        <v>548</v>
      </c>
      <c r="B316" s="15" t="s">
        <v>560</v>
      </c>
      <c r="C316" s="15" t="s">
        <v>92</v>
      </c>
      <c r="D316" s="15" t="s">
        <v>12</v>
      </c>
      <c r="E316" s="15" t="s">
        <v>561</v>
      </c>
      <c r="F316" s="15" t="str">
        <f>IFERROR(__xludf.DUMMYFUNCTION("GOOGLETRANSLATE(E316,""en"", ""ja"")"),"ナビゲーションは、ナビゲーションアイテムの統一アイコンスコープを設定する必要があります")</f>
        <v>ナビゲーションは、ナビゲーションアイテムの統一アイコンスコープを設定する必要があります</v>
      </c>
      <c r="G316" s="15" t="str">
        <f>IFERROR(__xludf.DUMMYFUNCTION("GOOGLETRANSLATE(E316,""en"",""zh-cn"")"),"导航应设置导航项目的统一图标范围")</f>
        <v>导航应设置导航项目的统一图标范围</v>
      </c>
      <c r="H316" s="15" t="str">
        <f>IFERROR(__xludf.DUMMYFUNCTION("GOOGLETRANSLATE(E316,""en"",""fr"")"),"La navigation doit définir une portée d'icône unifiée pour l'élément de navigation")</f>
        <v>La navigation doit définir une portée d'icône unifiée pour l'élément de navigation</v>
      </c>
      <c r="I316" s="15" t="str">
        <f>IFERROR(__xludf.DUMMYFUNCTION("GOOGLETRANSLATE(E316,""en"",""de"")"),"Die Navigation sollte einen einheitlichen Symbolbereich für Navigationselement festlegen")</f>
        <v>Die Navigation sollte einen einheitlichen Symbolbereich für Navigationselement festlegen</v>
      </c>
    </row>
    <row r="317">
      <c r="A317" s="15" t="s">
        <v>548</v>
      </c>
      <c r="B317" s="15" t="s">
        <v>562</v>
      </c>
      <c r="C317" s="15" t="s">
        <v>92</v>
      </c>
      <c r="D317" s="15" t="s">
        <v>12</v>
      </c>
      <c r="E317" s="15" t="s">
        <v>563</v>
      </c>
      <c r="F317" s="15" t="str">
        <f>IFERROR(__xludf.DUMMYFUNCTION("GOOGLETRANSLATE(E317,""en"", ""ja"")"),"[日付範囲（推奨）]フォーカスを失うことはできません")</f>
        <v>[日付範囲（推奨）]フォーカスを失うことはできません</v>
      </c>
      <c r="G317" s="15" t="str">
        <f>IFERROR(__xludf.DUMMYFUNCTION("GOOGLETRANSLATE(E317,""en"",""zh-cn"")"),"[日期范围（推荐）]不能失去焦点")</f>
        <v>[日期范围（推荐）]不能失去焦点</v>
      </c>
      <c r="H317" s="15" t="str">
        <f>IFERROR(__xludf.DUMMYFUNCTION("GOOGLETRANSLATE(E317,""en"",""fr"")"),"[Plage de dates (recommandée)] ne peut pas perdre focus")</f>
        <v>[Plage de dates (recommandée)] ne peut pas perdre focus</v>
      </c>
      <c r="I317" s="15" t="str">
        <f>IFERROR(__xludf.DUMMYFUNCTION("GOOGLETRANSLATE(E317,""en"",""de"")"),"[Datumsbereich (empfohlen)] kann den Fokus nicht verlieren")</f>
        <v>[Datumsbereich (empfohlen)] kann den Fokus nicht verlieren</v>
      </c>
    </row>
    <row r="318">
      <c r="A318" s="15" t="s">
        <v>548</v>
      </c>
      <c r="B318" s="15" t="s">
        <v>564</v>
      </c>
      <c r="C318" s="15" t="s">
        <v>92</v>
      </c>
      <c r="D318" s="15" t="s">
        <v>12</v>
      </c>
      <c r="E318" s="15" t="s">
        <v>565</v>
      </c>
      <c r="F318" s="15" t="str">
        <f>IFERROR(__xludf.DUMMYFUNCTION("GOOGLETRANSLATE(E318,""en"", ""ja"")"),"ワッフルアイテムはボタンIDを追加する必要があります")</f>
        <v>ワッフルアイテムはボタンIDを追加する必要があります</v>
      </c>
      <c r="G318" s="15" t="str">
        <f>IFERROR(__xludf.DUMMYFUNCTION("GOOGLETRANSLATE(E318,""en"",""zh-cn"")"),"华夫饼项目应添加按钮ID")</f>
        <v>华夫饼项目应添加按钮ID</v>
      </c>
      <c r="H318" s="15" t="str">
        <f>IFERROR(__xludf.DUMMYFUNCTION("GOOGLETRANSLATE(E318,""en"",""fr"")"),"L'élément de gaufre doit ajouter l'ID de bouton")</f>
        <v>L'élément de gaufre doit ajouter l'ID de bouton</v>
      </c>
      <c r="I318" s="15" t="str">
        <f>IFERROR(__xludf.DUMMYFUNCTION("GOOGLETRANSLATE(E318,""en"",""de"")"),"Waffelelement sollte die Schaltflächen -ID hinzufügen")</f>
        <v>Waffelelement sollte die Schaltflächen -ID hinzufügen</v>
      </c>
    </row>
    <row r="319">
      <c r="A319" s="15" t="s">
        <v>548</v>
      </c>
      <c r="B319" s="15" t="s">
        <v>566</v>
      </c>
      <c r="C319" s="15" t="s">
        <v>92</v>
      </c>
      <c r="D319" s="15" t="s">
        <v>12</v>
      </c>
      <c r="E319" s="15" t="s">
        <v>567</v>
      </c>
      <c r="F319" s="15" t="str">
        <f>IFERROR(__xludf.DUMMYFUNCTION("GOOGLETRANSLATE(E319,""en"", ""ja"")"),"[結果を検索しない]デモを選択する必要があります")</f>
        <v>[結果を検索しない]デモを選択する必要があります</v>
      </c>
      <c r="G319" s="15" t="str">
        <f>IFERROR(__xludf.DUMMYFUNCTION("GOOGLETRANSLATE(E319,""en"",""zh-cn"")"),"选择应添加“搜索无结果”演示")</f>
        <v>选择应添加“搜索无结果”演示</v>
      </c>
      <c r="H319" s="15" t="str">
        <f>IFERROR(__xludf.DUMMYFUNCTION("GOOGLETRANSLATE(E319,""en"",""fr"")"),"Sélectionner doit ajouter une démo «recherche sans résultats»")</f>
        <v>Sélectionner doit ajouter une démo «recherche sans résultats»</v>
      </c>
      <c r="I319" s="15" t="str">
        <f>IFERROR(__xludf.DUMMYFUNCTION("GOOGLETRANSLATE(E319,""en"",""de"")"),"Wählen Sie die Demo ""Suchen Sie keine Ergebnisse durch")</f>
        <v>Wählen Sie die Demo "Suchen Sie keine Ergebnisse durch</v>
      </c>
    </row>
    <row r="320">
      <c r="A320" s="15" t="s">
        <v>548</v>
      </c>
      <c r="B320" s="15" t="s">
        <v>568</v>
      </c>
      <c r="C320" s="15" t="s">
        <v>92</v>
      </c>
      <c r="D320" s="15" t="s">
        <v>12</v>
      </c>
      <c r="E320" s="15" t="s">
        <v>569</v>
      </c>
      <c r="F320" s="15" t="str">
        <f>IFERROR(__xludf.DUMMYFUNCTION("GOOGLETRANSLATE(E320,""en"", ""ja"")"),"[選択]では矢印障害者の色は正しくありません")</f>
        <v>[選択]では矢印障害者の色は正しくありません</v>
      </c>
      <c r="G320" s="15" t="str">
        <f>IFERROR(__xludf.DUMMYFUNCTION("GOOGLETRANSLATE(E320,""en"",""zh-cn"")"),"箭头禁用的颜色在[SELECT]中是不正确的")</f>
        <v>箭头禁用的颜色在[SELECT]中是不正确的</v>
      </c>
      <c r="H320" s="15" t="str">
        <f>IFERROR(__xludf.DUMMYFUNCTION("GOOGLETRANSLATE(E320,""en"",""fr"")"),"La couleur désactivée de la flèche n'est pas correcte dans [SELECT]")</f>
        <v>La couleur désactivée de la flèche n'est pas correcte dans [SELECT]</v>
      </c>
      <c r="I320" s="15" t="str">
        <f>IFERROR(__xludf.DUMMYFUNCTION("GOOGLETRANSLATE(E320,""en"",""de"")"),"Die behinderte Farbe der Pfeile ist in [SELECT] nicht korrekt")</f>
        <v>Die behinderte Farbe der Pfeile ist in [SELECT] nicht korrekt</v>
      </c>
    </row>
    <row r="321">
      <c r="A321" s="15" t="s">
        <v>548</v>
      </c>
      <c r="B321" s="15" t="s">
        <v>570</v>
      </c>
      <c r="C321" s="15" t="s">
        <v>92</v>
      </c>
      <c r="D321" s="15" t="s">
        <v>12</v>
      </c>
      <c r="E321" s="15" t="s">
        <v>571</v>
      </c>
      <c r="F321" s="15" t="str">
        <f>IFERROR(__xludf.DUMMYFUNCTION("GOOGLETRANSLATE(E321,""en"", ""ja"")"),"クリックすると、Unread Unreadバッジが移動します")</f>
        <v>クリックすると、Unread Unreadバッジが移動します</v>
      </c>
      <c r="G321" s="15" t="str">
        <f>IFERROR(__xludf.DUMMYFUNCTION("GOOGLETRANSLATE(E321,""en"",""zh-cn"")"),"单击时弹出式未读徽章移动")</f>
        <v>单击时弹出式未读徽章移动</v>
      </c>
      <c r="H321" s="15" t="str">
        <f>IFERROR(__xludf.DUMMYFUNCTION("GOOGLETRANSLATE(E321,""en"",""fr"")"),"Badge non lu en popover se déplace en cliquant")</f>
        <v>Badge non lu en popover se déplace en cliquant</v>
      </c>
      <c r="I321" s="15" t="str">
        <f>IFERROR(__xludf.DUMMYFUNCTION("GOOGLETRANSLATE(E321,""en"",""de"")"),"Popover ungelesene Abzeichen bewegt sich beim Klicken")</f>
        <v>Popover ungelesene Abzeichen bewegt sich beim Klicken</v>
      </c>
    </row>
    <row r="322">
      <c r="A322" s="15" t="s">
        <v>548</v>
      </c>
      <c r="B322" s="15" t="s">
        <v>572</v>
      </c>
      <c r="C322" s="15" t="s">
        <v>92</v>
      </c>
      <c r="D322" s="15" t="s">
        <v>12</v>
      </c>
      <c r="E322" s="15" t="s">
        <v>573</v>
      </c>
      <c r="F322" s="15" t="str">
        <f>IFERROR(__xludf.DUMMYFUNCTION("GOOGLETRANSLATE(E322,""en"", ""ja"")"),"小さなスイッチパディングは正しくありません")</f>
        <v>小さなスイッチパディングは正しくありません</v>
      </c>
      <c r="G322" s="15" t="str">
        <f>IFERROR(__xludf.DUMMYFUNCTION("GOOGLETRANSLATE(E322,""en"",""zh-cn"")"),"小开关填充不正确")</f>
        <v>小开关填充不正确</v>
      </c>
      <c r="H322" s="15" t="str">
        <f>IFERROR(__xludf.DUMMYFUNCTION("GOOGLETRANSLATE(E322,""en"",""fr"")"),"Le rembourrage de petit interrupteur n'est pas correct")</f>
        <v>Le rembourrage de petit interrupteur n'est pas correct</v>
      </c>
      <c r="I322" s="15" t="str">
        <f>IFERROR(__xludf.DUMMYFUNCTION("GOOGLETRANSLATE(E322,""en"",""de"")"),"Kleine Schalterpolsterung ist nicht korrekt")</f>
        <v>Kleine Schalterpolsterung ist nicht korrekt</v>
      </c>
    </row>
    <row r="323">
      <c r="A323" s="15" t="s">
        <v>548</v>
      </c>
      <c r="B323" s="15" t="s">
        <v>574</v>
      </c>
      <c r="C323" s="15" t="s">
        <v>92</v>
      </c>
      <c r="D323" s="15" t="s">
        <v>12</v>
      </c>
      <c r="E323" s="15" t="s">
        <v>575</v>
      </c>
      <c r="F323" s="15" t="str">
        <f>IFERROR(__xludf.DUMMYFUNCTION("GOOGLETRANSLATE(E323,""en"", ""ja"")"),"列アイコンを更新します")</f>
        <v>列アイコンを更新します</v>
      </c>
      <c r="G323" s="15" t="str">
        <f>IFERROR(__xludf.DUMMYFUNCTION("GOOGLETRANSLATE(E323,""en"",""zh-cn"")"),"更新列图标")</f>
        <v>更新列图标</v>
      </c>
      <c r="H323" s="15" t="str">
        <f>IFERROR(__xludf.DUMMYFUNCTION("GOOGLETRANSLATE(E323,""en"",""fr"")"),"Icône de mise à jour des colonnes")</f>
        <v>Icône de mise à jour des colonnes</v>
      </c>
      <c r="I323" s="15" t="str">
        <f>IFERROR(__xludf.DUMMYFUNCTION("GOOGLETRANSLATE(E323,""en"",""de"")"),"Das Symbol der Spalten aktualisieren")</f>
        <v>Das Symbol der Spalten aktualisieren</v>
      </c>
    </row>
    <row r="324">
      <c r="A324" s="15" t="s">
        <v>548</v>
      </c>
      <c r="B324" s="15" t="s">
        <v>576</v>
      </c>
      <c r="C324" s="15" t="s">
        <v>92</v>
      </c>
      <c r="D324" s="15" t="s">
        <v>12</v>
      </c>
      <c r="E324" s="15" t="s">
        <v>577</v>
      </c>
      <c r="F324" s="15" t="str">
        <f>IFERROR(__xludf.DUMMYFUNCTION("GOOGLETRANSLATE(E324,""en"", ""ja"")"),"トーストアイコンはデザインと同じではありません")</f>
        <v>トーストアイコンはデザインと同じではありません</v>
      </c>
      <c r="G324" s="15" t="str">
        <f>IFERROR(__xludf.DUMMYFUNCTION("GOOGLETRANSLATE(E324,""en"",""zh-cn"")"),"吐司图标与设计不一样")</f>
        <v>吐司图标与设计不一样</v>
      </c>
      <c r="H324" s="15" t="str">
        <f>IFERROR(__xludf.DUMMYFUNCTION("GOOGLETRANSLATE(E324,""en"",""fr"")"),"L'icône de toast n'est pas la même avec le design")</f>
        <v>L'icône de toast n'est pas la même avec le design</v>
      </c>
      <c r="I324" s="15" t="str">
        <f>IFERROR(__xludf.DUMMYFUNCTION("GOOGLETRANSLATE(E324,""en"",""de"")"),"Toast -Symbol ist mit Design nicht gleich")</f>
        <v>Toast -Symbol ist mit Design nicht gleich</v>
      </c>
    </row>
    <row r="325">
      <c r="A325" s="15" t="s">
        <v>548</v>
      </c>
      <c r="B325" s="15" t="s">
        <v>578</v>
      </c>
      <c r="C325" s="15" t="s">
        <v>92</v>
      </c>
      <c r="D325" s="15" t="s">
        <v>12</v>
      </c>
      <c r="E325" s="15" t="s">
        <v>579</v>
      </c>
      <c r="F325" s="15" t="str">
        <f>IFERROR(__xludf.DUMMYFUNCTION("GOOGLETRANSLATE(E325,""en"", ""ja"")"),"複数のファイルアップローダーに名前を変更します")</f>
        <v>複数のファイルアップローダーに名前を変更します</v>
      </c>
      <c r="G325" s="15" t="str">
        <f>IFERROR(__xludf.DUMMYFUNCTION("GOOGLETRANSLATE(E325,""en"",""zh-cn"")"),"重命名为多个文件上传器")</f>
        <v>重命名为多个文件上传器</v>
      </c>
      <c r="H325" s="15" t="str">
        <f>IFERROR(__xludf.DUMMYFUNCTION("GOOGLETRANSLATE(E325,""en"",""fr"")"),"Renommer le téléchargeur de fichiers multiples")</f>
        <v>Renommer le téléchargeur de fichiers multiples</v>
      </c>
      <c r="I325" s="15" t="str">
        <f>IFERROR(__xludf.DUMMYFUNCTION("GOOGLETRANSLATE(E325,""en"",""de"")"),"Benennen Sie in mehreren Datei -Uploader um")</f>
        <v>Benennen Sie in mehreren Datei -Uploader um</v>
      </c>
    </row>
    <row r="326">
      <c r="A326" s="15" t="s">
        <v>548</v>
      </c>
      <c r="B326" s="15" t="s">
        <v>580</v>
      </c>
      <c r="C326" s="15" t="s">
        <v>92</v>
      </c>
      <c r="D326" s="15" t="s">
        <v>12</v>
      </c>
      <c r="E326" s="15" t="s">
        <v>581</v>
      </c>
      <c r="F326" s="15" t="str">
        <f>IFERROR(__xludf.DUMMYFUNCTION("GOOGLETRANSLATE(E326,""en"", ""ja"")"),"タイポグラフィは14px-boldフォントの例を追加します。")</f>
        <v>タイポグラフィは14px-boldフォントの例を追加します。</v>
      </c>
      <c r="G326" s="15" t="str">
        <f>IFERROR(__xludf.DUMMYFUNCTION("GOOGLETRANSLATE(E326,""en"",""zh-cn"")"),"排版添加14px-粗体字体示例。")</f>
        <v>排版添加14px-粗体字体示例。</v>
      </c>
      <c r="H326" s="15" t="str">
        <f>IFERROR(__xludf.DUMMYFUNCTION("GOOGLETRANSLATE(E326,""en"",""fr"")"),"Typographie Ajoutez un exemple de police 14px-bold.")</f>
        <v>Typographie Ajoutez un exemple de police 14px-bold.</v>
      </c>
      <c r="I326" s="15" t="str">
        <f>IFERROR(__xludf.DUMMYFUNCTION("GOOGLETRANSLATE(E326,""en"",""de"")"),"Typografie Fügen Sie 14px-fettes Schriftbeispiel hinzu.")</f>
        <v>Typografie Fügen Sie 14px-fettes Schriftbeispiel hinzu.</v>
      </c>
    </row>
    <row r="327">
      <c r="A327" s="15" t="s">
        <v>548</v>
      </c>
      <c r="B327" s="15" t="s">
        <v>582</v>
      </c>
      <c r="C327" s="15" t="s">
        <v>92</v>
      </c>
      <c r="D327" s="15" t="s">
        <v>12</v>
      </c>
      <c r="E327" s="15" t="s">
        <v>583</v>
      </c>
      <c r="F327" s="15" t="str">
        <f>IFERROR(__xludf.DUMMYFUNCTION("GOOGLETRANSLATE(E327,""en"", ""ja"")"),"エクスパンダー第1レベルのフォントは14pxに変更されます。太字")</f>
        <v>エクスパンダー第1レベルのフォントは14pxに変更されます。太字</v>
      </c>
      <c r="G327" s="15" t="str">
        <f>IFERROR(__xludf.DUMMYFUNCTION("GOOGLETRANSLATE(E327,""en"",""zh-cn"")"),"扩展器1级字体更改为14px，粗体")</f>
        <v>扩展器1级字体更改为14px，粗体</v>
      </c>
      <c r="H327" s="15" t="str">
        <f>IFERROR(__xludf.DUMMYFUNCTION("GOOGLETRANSLATE(E327,""en"",""fr"")"),"Expanseur de 1ère niveau de police à 14px, audacieux")</f>
        <v>Expanseur de 1ère niveau de police à 14px, audacieux</v>
      </c>
      <c r="I327" s="15" t="str">
        <f>IFERROR(__xludf.DUMMYFUNCTION("GOOGLETRANSLATE(E327,""en"",""de"")"),"Expander 1. Stufe Schrift wechselt auf 14px, fett")</f>
        <v>Expander 1. Stufe Schrift wechselt auf 14px, fett</v>
      </c>
    </row>
    <row r="328">
      <c r="A328" s="15" t="s">
        <v>548</v>
      </c>
      <c r="B328" s="15" t="s">
        <v>584</v>
      </c>
      <c r="C328" s="15" t="s">
        <v>92</v>
      </c>
      <c r="D328" s="15" t="s">
        <v>12</v>
      </c>
      <c r="E328" s="15" t="s">
        <v>585</v>
      </c>
      <c r="F328" s="15" t="str">
        <f>IFERROR(__xludf.DUMMYFUNCTION("GOOGLETRANSLATE(E328,""en"", ""ja"")"),"複数のテキストボックスの文字カウンター")</f>
        <v>複数のテキストボックスの文字カウンター</v>
      </c>
      <c r="G328" s="15" t="str">
        <f>IFERROR(__xludf.DUMMYFUNCTION("GOOGLETRANSLATE(E328,""en"",""zh-cn"")"),"多个文本框的字符计数器")</f>
        <v>多个文本框的字符计数器</v>
      </c>
      <c r="H328" s="15" t="str">
        <f>IFERROR(__xludf.DUMMYFUNCTION("GOOGLETRANSLATE(E328,""en"",""fr"")"),"Compteur de caractères pour plusieurs zones de texte")</f>
        <v>Compteur de caractères pour plusieurs zones de texte</v>
      </c>
      <c r="I328" s="15" t="str">
        <f>IFERROR(__xludf.DUMMYFUNCTION("GOOGLETRANSLATE(E328,""en"",""de"")"),"Zeichenzähler für mehrere Textbox")</f>
        <v>Zeichenzähler für mehrere Textbox</v>
      </c>
    </row>
    <row r="329">
      <c r="A329" s="15" t="s">
        <v>548</v>
      </c>
      <c r="B329" s="15" t="s">
        <v>586</v>
      </c>
      <c r="C329" s="15" t="s">
        <v>92</v>
      </c>
      <c r="D329" s="15" t="s">
        <v>12</v>
      </c>
      <c r="E329" s="15" t="s">
        <v>587</v>
      </c>
      <c r="F329" s="15" t="str">
        <f>IFERROR(__xludf.DUMMYFUNCTION("GOOGLETRANSLATE(E329,""en"", ""ja"")"),"ピープルピッカー：左/右矢印キーはコンテンツをクリアしてはいけません")</f>
        <v>ピープルピッカー：左/右矢印キーはコンテンツをクリアしてはいけません</v>
      </c>
      <c r="G329" s="15" t="str">
        <f>IFERROR(__xludf.DUMMYFUNCTION("GOOGLETRANSLATE(E329,""en"",""zh-cn"")"),"People Picker：左/右箭头键不应清除内容")</f>
        <v>People Picker：左/右箭头键不应清除内容</v>
      </c>
      <c r="H329" s="15" t="str">
        <f>IFERROR(__xludf.DUMMYFUNCTION("GOOGLETRANSLATE(E329,""en"",""fr"")"),"Piègeur de personnes: la clé de flèche gauche / droite ne doit pas effacer le contenu")</f>
        <v>Piègeur de personnes: la clé de flèche gauche / droite ne doit pas effacer le contenu</v>
      </c>
      <c r="I329" s="15" t="str">
        <f>IFERROR(__xludf.DUMMYFUNCTION("GOOGLETRANSLATE(E329,""en"",""de"")"),"People Picker: Die linke/rechte Pfeiltaste sollte den Inhalt nicht löschen")</f>
        <v>People Picker: Die linke/rechte Pfeiltaste sollte den Inhalt nicht löschen</v>
      </c>
    </row>
    <row r="330">
      <c r="A330" s="15" t="s">
        <v>548</v>
      </c>
      <c r="B330" s="15" t="s">
        <v>588</v>
      </c>
      <c r="C330" s="15" t="s">
        <v>92</v>
      </c>
      <c r="D330" s="15" t="s">
        <v>12</v>
      </c>
      <c r="E330" s="15" t="s">
        <v>589</v>
      </c>
      <c r="F330" s="15" t="str">
        <f>IFERROR(__xludf.DUMMYFUNCTION("GOOGLETRANSLATE(E330,""en"", ""ja"")"),"モーダルの間隔は正確ではありません")</f>
        <v>モーダルの間隔は正確ではありません</v>
      </c>
      <c r="G330" s="15" t="str">
        <f>IFERROR(__xludf.DUMMYFUNCTION("GOOGLETRANSLATE(E330,""en"",""zh-cn"")"),"模态间距不准确")</f>
        <v>模态间距不准确</v>
      </c>
      <c r="H330" s="15" t="str">
        <f>IFERROR(__xludf.DUMMYFUNCTION("GOOGLETRANSLATE(E330,""en"",""fr"")"),"L'espacement dans le modal n'est pas précis")</f>
        <v>L'espacement dans le modal n'est pas précis</v>
      </c>
      <c r="I330" s="15" t="str">
        <f>IFERROR(__xludf.DUMMYFUNCTION("GOOGLETRANSLATE(E330,""en"",""de"")"),"Der Abstand in Modal ist nicht genau")</f>
        <v>Der Abstand in Modal ist nicht genau</v>
      </c>
    </row>
    <row r="331">
      <c r="A331" s="15" t="s">
        <v>548</v>
      </c>
      <c r="B331" s="15" t="s">
        <v>590</v>
      </c>
      <c r="C331" s="15" t="s">
        <v>92</v>
      </c>
      <c r="D331" s="15" t="s">
        <v>12</v>
      </c>
      <c r="E331" s="15" t="s">
        <v>591</v>
      </c>
      <c r="F331" s="15" t="str">
        <f>IFERROR(__xludf.DUMMYFUNCTION("GOOGLETRANSLATE(E331,""en"", ""ja"")"),"タイマーピッカーフォーカスボーダーは不完全に表示されます。")</f>
        <v>タイマーピッカーフォーカスボーダーは不完全に表示されます。</v>
      </c>
      <c r="G331" s="15" t="str">
        <f>IFERROR(__xludf.DUMMYFUNCTION("GOOGLETRANSLATE(E331,""en"",""zh-cn"")"),"计时器选择器焦点边界不完全显示。")</f>
        <v>计时器选择器焦点边界不完全显示。</v>
      </c>
      <c r="H331" s="15" t="str">
        <f>IFERROR(__xludf.DUMMYFUNCTION("GOOGLETRANSLATE(E331,""en"",""fr"")"),"La frontière de Picker Focus Timer est incomplète.")</f>
        <v>La frontière de Picker Focus Timer est incomplète.</v>
      </c>
      <c r="I331" s="15" t="str">
        <f>IFERROR(__xludf.DUMMYFUNCTION("GOOGLETRANSLATE(E331,""en"",""de"")"),"Timer Picker Focus Border zeigt unvollständig.")</f>
        <v>Timer Picker Focus Border zeigt unvollständig.</v>
      </c>
    </row>
    <row r="332">
      <c r="A332" s="15" t="s">
        <v>548</v>
      </c>
      <c r="B332" s="15" t="s">
        <v>592</v>
      </c>
      <c r="C332" s="15" t="s">
        <v>92</v>
      </c>
      <c r="D332" s="15" t="s">
        <v>12</v>
      </c>
      <c r="E332" s="15" t="s">
        <v>593</v>
      </c>
      <c r="F332" s="15" t="str">
        <f>IFERROR(__xludf.DUMMYFUNCTION("GOOGLETRANSLATE(E332,""en"", ""ja"")"),"ウィザードステップは中心に配置する必要があります")</f>
        <v>ウィザードステップは中心に配置する必要があります</v>
      </c>
      <c r="G332" s="15" t="str">
        <f>IFERROR(__xludf.DUMMYFUNCTION("GOOGLETRANSLATE(E332,""en"",""zh-cn"")"),"向导的步骤应为中心")</f>
        <v>向导的步骤应为中心</v>
      </c>
      <c r="H332" s="15" t="str">
        <f>IFERROR(__xludf.DUMMYFUNCTION("GOOGLETRANSLATE(E332,""en"",""fr"")"),"L'étape de l'assistant doit être alignée au centre")</f>
        <v>L'étape de l'assistant doit être alignée au centre</v>
      </c>
      <c r="I332" s="15" t="str">
        <f>IFERROR(__xludf.DUMMYFUNCTION("GOOGLETRANSLATE(E332,""en"",""de"")"),"Assistentenschritt sollte in der Mitte ausgerichtet sein")</f>
        <v>Assistentenschritt sollte in der Mitte ausgerichtet sein</v>
      </c>
    </row>
    <row r="333">
      <c r="A333" s="15" t="s">
        <v>548</v>
      </c>
      <c r="B333" s="15" t="s">
        <v>594</v>
      </c>
      <c r="C333" s="15" t="s">
        <v>92</v>
      </c>
      <c r="D333" s="15" t="s">
        <v>12</v>
      </c>
      <c r="E333" s="15" t="s">
        <v>595</v>
      </c>
      <c r="F333" s="15" t="str">
        <f>IFERROR(__xludf.DUMMYFUNCTION("GOOGLETRANSLATE(E333,""en"", ""ja"")"),"読み込みは、実際のコンテンツサイズに適合する必要があります")</f>
        <v>読み込みは、実際のコンテンツサイズに適合する必要があります</v>
      </c>
      <c r="G333" s="15" t="str">
        <f>IFERROR(__xludf.DUMMYFUNCTION("GOOGLETRANSLATE(E333,""en"",""zh-cn"")"),"加载需要适合实际内容大小")</f>
        <v>加载需要适合实际内容大小</v>
      </c>
      <c r="H333" s="15" t="str">
        <f>IFERROR(__xludf.DUMMYFUNCTION("GOOGLETRANSLATE(E333,""en"",""fr"")"),"Le chargement doit s'adapter à la taille réelle du contenu")</f>
        <v>Le chargement doit s'adapter à la taille réelle du contenu</v>
      </c>
      <c r="I333" s="15" t="str">
        <f>IFERROR(__xludf.DUMMYFUNCTION("GOOGLETRANSLATE(E333,""en"",""de"")"),"Das Laden muss in die tatsächliche Inhaltsgröße passen")</f>
        <v>Das Laden muss in die tatsächliche Inhaltsgröße passen</v>
      </c>
    </row>
    <row r="334">
      <c r="A334" s="15" t="s">
        <v>548</v>
      </c>
      <c r="B334" s="15" t="s">
        <v>596</v>
      </c>
      <c r="C334" s="15" t="s">
        <v>92</v>
      </c>
      <c r="D334" s="15" t="s">
        <v>12</v>
      </c>
      <c r="E334" s="15" t="s">
        <v>597</v>
      </c>
      <c r="F334" s="15" t="str">
        <f>IFERROR(__xludf.DUMMYFUNCTION("GOOGLETRANSLATE(E334,""en"", ""ja"")"),"日付の範囲は、年のビューをクリックしながら月ビューに変更されます")</f>
        <v>日付の範囲は、年のビューをクリックしながら月ビューに変更されます</v>
      </c>
      <c r="G334" s="15" t="str">
        <f>IFERROR(__xludf.DUMMYFUNCTION("GOOGLETRANSLATE(E334,""en"",""zh-cn"")"),"单击年度视图时，日期范围更改为月视图")</f>
        <v>单击年度视图时，日期范围更改为月视图</v>
      </c>
      <c r="H334" s="15" t="str">
        <f>IFERROR(__xludf.DUMMYFUNCTION("GOOGLETRANSLATE(E334,""en"",""fr"")"),"DATE RANGETS PLAGE A Voir le mois en cliquant sur Affichage de l'année")</f>
        <v>DATE RANGETS PLAGE A Voir le mois en cliquant sur Affichage de l'année</v>
      </c>
      <c r="I334" s="15" t="str">
        <f>IFERROR(__xludf.DUMMYFUNCTION("GOOGLETRANSLATE(E334,""en"",""de"")"),"Änderungen des Datumsbereichs bis zur Monatsansicht beim Klicken auf Jahresansicht")</f>
        <v>Änderungen des Datumsbereichs bis zur Monatsansicht beim Klicken auf Jahresansicht</v>
      </c>
    </row>
    <row r="335">
      <c r="A335" s="15" t="s">
        <v>548</v>
      </c>
      <c r="B335" s="15" t="s">
        <v>598</v>
      </c>
      <c r="C335" s="15" t="s">
        <v>92</v>
      </c>
      <c r="D335" s="15" t="s">
        <v>12</v>
      </c>
      <c r="E335" s="15" t="s">
        <v>599</v>
      </c>
      <c r="F335" s="15" t="str">
        <f>IFERROR(__xludf.DUMMYFUNCTION("GOOGLETRANSLATE(E335,""en"", ""ja"")"),"ピープルピッカーリスト：2番目のレベルのフォントは、クリック後に白に変わります。")</f>
        <v>ピープルピッカーリスト：2番目のレベルのフォントは、クリック後に白に変わります。</v>
      </c>
      <c r="G335" s="15" t="str">
        <f>IFERROR(__xludf.DUMMYFUNCTION("GOOGLETRANSLATE(E335,""en"",""zh-cn"")"),"People Picker列表：单击后，第二级字体将变成白色。")</f>
        <v>People Picker列表：单击后，第二级字体将变成白色。</v>
      </c>
      <c r="H335" s="15" t="str">
        <f>IFERROR(__xludf.DUMMYFUNCTION("GOOGLETRANSLATE(E335,""en"",""fr"")"),"Liste des cueilleurs de personnes: la police du deuxième niveau se transformera en blanc après le clic.")</f>
        <v>Liste des cueilleurs de personnes: la police du deuxième niveau se transformera en blanc après le clic.</v>
      </c>
      <c r="I335" s="15" t="str">
        <f>IFERROR(__xludf.DUMMYFUNCTION("GOOGLETRANSLATE(E335,""en"",""de"")"),"People Picker List: Die zweite Schriftart wird nach dem Klick in Weiß verwandelt.")</f>
        <v>People Picker List: Die zweite Schriftart wird nach dem Klick in Weiß verwandelt.</v>
      </c>
    </row>
    <row r="336">
      <c r="A336" s="15" t="s">
        <v>548</v>
      </c>
      <c r="B336" s="15" t="s">
        <v>600</v>
      </c>
      <c r="C336" s="15" t="s">
        <v>92</v>
      </c>
      <c r="D336" s="15" t="s">
        <v>12</v>
      </c>
      <c r="E336" s="15" t="s">
        <v>601</v>
      </c>
      <c r="F336" s="15" t="str">
        <f>IFERROR(__xludf.DUMMYFUNCTION("GOOGLETRANSLATE(E336,""en"", ""ja"")"),"ディバイダーラインには、モーダル/ポップアップ内のスルーラインではなく、左右のパディングが必要です")</f>
        <v>ディバイダーラインには、モーダル/ポップアップ内のスルーラインではなく、左右のパディングが必要です</v>
      </c>
      <c r="G336" s="15" t="str">
        <f>IFERROR(__xludf.DUMMYFUNCTION("GOOGLETRANSLATE(E336,""en"",""zh-cn"")"),"分隔线应具有左右填充")</f>
        <v>分隔线应具有左右填充</v>
      </c>
      <c r="H336" s="15" t="str">
        <f>IFERROR(__xludf.DUMMYFUNCTION("GOOGLETRANSLATE(E336,""en"",""fr"")"),"La ligne de diviseur devrait avoir un rembourrage gauche et droit, au lieu d'une ligne à travers un modal / popup")</f>
        <v>La ligne de diviseur devrait avoir un rembourrage gauche et droit, au lieu d'une ligne à travers un modal / popup</v>
      </c>
      <c r="I336" s="15" t="str">
        <f>IFERROR(__xludf.DUMMYFUNCTION("GOOGLETRANSLATE(E336,""en"",""de"")"),"Die Trennlinie sollte eine linke und die rechte Polsterung anstelle einer Durchgangszeile innerhalb eines Modal/Popups haben müssen")</f>
        <v>Die Trennlinie sollte eine linke und die rechte Polsterung anstelle einer Durchgangszeile innerhalb eines Modal/Popups haben müssen</v>
      </c>
    </row>
    <row r="337">
      <c r="A337" s="15" t="s">
        <v>548</v>
      </c>
      <c r="B337" s="15" t="s">
        <v>602</v>
      </c>
      <c r="C337" s="15" t="s">
        <v>92</v>
      </c>
      <c r="D337" s="15" t="s">
        <v>12</v>
      </c>
      <c r="E337" s="15" t="s">
        <v>603</v>
      </c>
      <c r="F337" s="15" t="str">
        <f>IFERROR(__xludf.DUMMYFUNCTION("GOOGLETRANSLATE(E337,""en"", ""ja"")"),"ダイアログタイトルパディングボトムは24pxでなければなりません")</f>
        <v>ダイアログタイトルパディングボトムは24pxでなければなりません</v>
      </c>
      <c r="G337" s="15" t="str">
        <f>IFERROR(__xludf.DUMMYFUNCTION("GOOGLETRANSLATE(E337,""en"",""zh-cn"")"),"对话框标题填充应为24px")</f>
        <v>对话框标题填充应为24px</v>
      </c>
      <c r="H337" s="15" t="str">
        <f>IFERROR(__xludf.DUMMYFUNCTION("GOOGLETRANSLATE(E337,""en"",""fr"")"),"Titre de dialogue Padding-Bottom devrait être 24px")</f>
        <v>Titre de dialogue Padding-Bottom devrait être 24px</v>
      </c>
      <c r="I337" s="15" t="str">
        <f>IFERROR(__xludf.DUMMYFUNCTION("GOOGLETRANSLATE(E337,""en"",""de"")"),"Dialog Titel Padding-Bottom sollte 24px sein")</f>
        <v>Dialog Titel Padding-Bottom sollte 24px sein</v>
      </c>
    </row>
    <row r="338">
      <c r="A338" s="15" t="s">
        <v>548</v>
      </c>
      <c r="B338" s="15" t="s">
        <v>604</v>
      </c>
      <c r="C338" s="15" t="s">
        <v>92</v>
      </c>
      <c r="D338" s="15" t="s">
        <v>12</v>
      </c>
      <c r="E338" s="15" t="s">
        <v>605</v>
      </c>
      <c r="F338" s="15" t="str">
        <f>IFERROR(__xludf.DUMMYFUNCTION("GOOGLETRANSLATE(E338,""en"", ""ja"")"),"新しいスタイルの問題")</f>
        <v>新しいスタイルの問題</v>
      </c>
      <c r="G338" s="15" t="str">
        <f>IFERROR(__xludf.DUMMYFUNCTION("GOOGLETRANSLATE(E338,""en"",""zh-cn"")"),"扩展新样式问题")</f>
        <v>扩展新样式问题</v>
      </c>
      <c r="H338" s="15" t="str">
        <f>IFERROR(__xludf.DUMMYFUNCTION("GOOGLETRANSLATE(E338,""en"",""fr"")"),"Expander de nouveaux problèmes de style")</f>
        <v>Expander de nouveaux problèmes de style</v>
      </c>
      <c r="I338" s="15" t="str">
        <f>IFERROR(__xludf.DUMMYFUNCTION("GOOGLETRANSLATE(E338,""en"",""de"")"),"Expander neuer Stilprobleme")</f>
        <v>Expander neuer Stilprobleme</v>
      </c>
    </row>
    <row r="339">
      <c r="A339" s="15" t="s">
        <v>548</v>
      </c>
      <c r="B339" s="15" t="s">
        <v>606</v>
      </c>
      <c r="C339" s="15" t="s">
        <v>92</v>
      </c>
      <c r="D339" s="15" t="s">
        <v>12</v>
      </c>
      <c r="E339" s="15" t="s">
        <v>607</v>
      </c>
      <c r="F339" s="15" t="str">
        <f>IFERROR(__xludf.DUMMYFUNCTION("GOOGLETRANSLATE(E339,""en"", ""ja"")"),"[毎日のスキャン時間を2回有効にする]をクリックします。時間のスクロールバーが引き下げられません。時間：6〜11は選択できません")</f>
        <v>[毎日のスキャン時間を2回有効にする]をクリックします。時間のスクロールバーが引き下げられません。時間：6〜11は選択できません</v>
      </c>
      <c r="G339" s="15" t="str">
        <f>IFERROR(__xludf.DUMMYFUNCTION("GOOGLETRANSLATE(E339,""en"",""zh-cn"")"),"点击启用每日扫描时间两次，小时的滚动条无法下拉，小时：6-11无法选择")</f>
        <v>点击启用每日扫描时间两次，小时的滚动条无法下拉，小时：6-11无法选择</v>
      </c>
      <c r="H339" s="15" t="str">
        <f>IFERROR(__xludf.DUMMYFUNCTION("GOOGLETRANSLATE(E339,""en"",""fr"")"),"Cliquez sur Activer le temps de balayage quotidien deux fois, la barre de défilement des heures ne peut pas se baisser, heures: 6-11 ne peut pas être sélectionnée")</f>
        <v>Cliquez sur Activer le temps de balayage quotidien deux fois, la barre de défilement des heures ne peut pas se baisser, heures: 6-11 ne peut pas être sélectionnée</v>
      </c>
      <c r="I339" s="15" t="str">
        <f>IFERROR(__xludf.DUMMYFUNCTION("GOOGLETRANSLATE(E339,""en"",""de"")"),"Klicken Sie zweimal auf die tägliche Scan-Zeit aktiv")</f>
        <v>Klicken Sie zweimal auf die tägliche Scan-Zeit aktiv</v>
      </c>
    </row>
    <row r="340">
      <c r="A340" s="15" t="s">
        <v>548</v>
      </c>
      <c r="B340" s="15" t="s">
        <v>608</v>
      </c>
      <c r="C340" s="15" t="s">
        <v>92</v>
      </c>
      <c r="D340" s="15" t="s">
        <v>12</v>
      </c>
      <c r="E340" s="15" t="s">
        <v>609</v>
      </c>
      <c r="F340" s="15" t="str">
        <f>IFERROR(__xludf.DUMMYFUNCTION("GOOGLETRANSLATE(E340,""en"", ""ja"")"),"タイムピッカーはフォーカスを失うことはできません")</f>
        <v>タイムピッカーはフォーカスを失うことはできません</v>
      </c>
      <c r="G340" s="15" t="str">
        <f>IFERROR(__xludf.DUMMYFUNCTION("GOOGLETRANSLATE(E340,""en"",""zh-cn"")"),"计时者不会失去焦点")</f>
        <v>计时者不会失去焦点</v>
      </c>
      <c r="H340" s="15" t="str">
        <f>IFERROR(__xludf.DUMMYFUNCTION("GOOGLETRANSLATE(E340,""en"",""fr"")"),"Le sélecteur de temps ne peut pas perdre la focalisation")</f>
        <v>Le sélecteur de temps ne peut pas perdre la focalisation</v>
      </c>
      <c r="I340" s="15" t="str">
        <f>IFERROR(__xludf.DUMMYFUNCTION("GOOGLETRANSLATE(E340,""en"",""de"")"),"Time Picker kann den Fokus nicht verlieren")</f>
        <v>Time Picker kann den Fokus nicht verlieren</v>
      </c>
    </row>
    <row r="341">
      <c r="A341" s="15" t="s">
        <v>548</v>
      </c>
      <c r="B341" s="15" t="s">
        <v>610</v>
      </c>
      <c r="C341" s="15" t="s">
        <v>92</v>
      </c>
      <c r="D341" s="15" t="s">
        <v>12</v>
      </c>
      <c r="E341" s="15" t="s">
        <v>611</v>
      </c>
      <c r="F341" s="15" t="str">
        <f>IFERROR(__xludf.DUMMYFUNCTION("GOOGLETRANSLATE(E341,""en"", ""ja"")"),"アクティビティタイムラインUIの問題")</f>
        <v>アクティビティタイムラインUIの問題</v>
      </c>
      <c r="G341" s="15" t="str">
        <f>IFERROR(__xludf.DUMMYFUNCTION("GOOGLETRANSLATE(E341,""en"",""zh-cn"")"),"活动时间表UI问题")</f>
        <v>活动时间表UI问题</v>
      </c>
      <c r="H341" s="15" t="str">
        <f>IFERROR(__xludf.DUMMYFUNCTION("GOOGLETRANSLATE(E341,""en"",""fr"")"),"Problèmes d'interface utilisateur de la chronologie de l'activité")</f>
        <v>Problèmes d'interface utilisateur de la chronologie de l'activité</v>
      </c>
      <c r="I341" s="15" t="str">
        <f>IFERROR(__xludf.DUMMYFUNCTION("GOOGLETRANSLATE(E341,""en"",""de"")"),"Activity Timeline UI -Probleme")</f>
        <v>Activity Timeline UI -Probleme</v>
      </c>
    </row>
    <row r="342">
      <c r="A342" s="15" t="s">
        <v>548</v>
      </c>
      <c r="B342" s="15" t="s">
        <v>612</v>
      </c>
      <c r="C342" s="15" t="s">
        <v>92</v>
      </c>
      <c r="D342" s="15" t="s">
        <v>12</v>
      </c>
      <c r="E342" s="15" t="s">
        <v>613</v>
      </c>
      <c r="F342" s="15" t="str">
        <f>IFERROR(__xludf.DUMMYFUNCTION("GOOGLETRANSLATE(E342,""en"", ""ja"")"),"テーブルのプライマリボタンを削除します")</f>
        <v>テーブルのプライマリボタンを削除します</v>
      </c>
      <c r="G342" s="15" t="str">
        <f>IFERROR(__xludf.DUMMYFUNCTION("GOOGLETRANSLATE(E342,""en"",""zh-cn"")"),"删除表中的主按钮")</f>
        <v>删除表中的主按钮</v>
      </c>
      <c r="H342" s="15" t="str">
        <f>IFERROR(__xludf.DUMMYFUNCTION("GOOGLETRANSLATE(E342,""en"",""fr"")"),"Supprimer le bouton primaire dans le tableau")</f>
        <v>Supprimer le bouton primaire dans le tableau</v>
      </c>
      <c r="I342" s="15" t="str">
        <f>IFERROR(__xludf.DUMMYFUNCTION("GOOGLETRANSLATE(E342,""en"",""de"")"),"Entfernen Sie die Primärtaste in der Tabelle")</f>
        <v>Entfernen Sie die Primärtaste in der Tabelle</v>
      </c>
    </row>
    <row r="343">
      <c r="A343" s="15" t="s">
        <v>548</v>
      </c>
      <c r="B343" s="15" t="s">
        <v>614</v>
      </c>
      <c r="C343" s="15" t="s">
        <v>92</v>
      </c>
      <c r="D343" s="15" t="s">
        <v>12</v>
      </c>
      <c r="E343" s="15" t="s">
        <v>615</v>
      </c>
      <c r="F343" s="15" t="str">
        <f>IFERROR(__xludf.DUMMYFUNCTION("GOOGLETRANSLATE(E343,""en"", ""ja"")"),"[研究]日付範囲の制御を改善します")</f>
        <v>[研究]日付範囲の制御を改善します</v>
      </c>
      <c r="G343" s="15" t="str">
        <f>IFERROR(__xludf.DUMMYFUNCTION("GOOGLETRANSLATE(E343,""en"",""zh-cn"")"),"[研究]改善日期范围控制")</f>
        <v>[研究]改善日期范围控制</v>
      </c>
      <c r="H343" s="15" t="str">
        <f>IFERROR(__xludf.DUMMYFUNCTION("GOOGLETRANSLATE(E343,""en"",""fr"")"),"[Recherche] Améliorer le contrôle de la plage de dates")</f>
        <v>[Recherche] Améliorer le contrôle de la plage de dates</v>
      </c>
      <c r="I343" s="15" t="str">
        <f>IFERROR(__xludf.DUMMYFUNCTION("GOOGLETRANSLATE(E343,""en"",""de"")"),"[Forschung] Verbesserung der Date Range Control")</f>
        <v>[Forschung] Verbesserung der Date Range Control</v>
      </c>
    </row>
    <row r="344">
      <c r="A344" s="15" t="s">
        <v>548</v>
      </c>
      <c r="B344" s="15" t="s">
        <v>616</v>
      </c>
      <c r="C344" s="15" t="s">
        <v>92</v>
      </c>
      <c r="D344" s="15" t="s">
        <v>12</v>
      </c>
      <c r="E344" s="15" t="s">
        <v>617</v>
      </c>
      <c r="F344" s="15" t="str">
        <f>IFERROR(__xludf.DUMMYFUNCTION("GOOGLETRANSLATE(E344,""en"", ""ja"")"),"ログの更新を変更します")</f>
        <v>ログの更新を変更します</v>
      </c>
      <c r="G344" s="15" t="str">
        <f>IFERROR(__xludf.DUMMYFUNCTION("GOOGLETRANSLATE(E344,""en"",""zh-cn"")"),"更改日志更新")</f>
        <v>更改日志更新</v>
      </c>
      <c r="H344" s="15" t="str">
        <f>IFERROR(__xludf.DUMMYFUNCTION("GOOGLETRANSLATE(E344,""en"",""fr"")"),"Modifier les mises à jour du journal")</f>
        <v>Modifier les mises à jour du journal</v>
      </c>
      <c r="I344" s="15" t="str">
        <f>IFERROR(__xludf.DUMMYFUNCTION("GOOGLETRANSLATE(E344,""en"",""de"")"),"Protokoll -Updates ändern")</f>
        <v>Protokoll -Updates ändern</v>
      </c>
    </row>
    <row r="345">
      <c r="A345" s="15" t="s">
        <v>548</v>
      </c>
      <c r="B345" s="15" t="s">
        <v>618</v>
      </c>
      <c r="C345" s="15" t="s">
        <v>92</v>
      </c>
      <c r="D345" s="15" t="s">
        <v>12</v>
      </c>
      <c r="E345" s="15" t="s">
        <v>619</v>
      </c>
      <c r="F345" s="15" t="str">
        <f>IFERROR(__xludf.DUMMYFUNCTION("GOOGLETRANSLATE(E345,""en"", ""ja"")"),"[タイムピッカー]デフォルトでAM/PMにピッカーを1つ追加します")</f>
        <v>[タイムピッカー]デフォルトでAM/PMにピッカーを1つ追加します</v>
      </c>
      <c r="G345" s="15" t="str">
        <f>IFERROR(__xludf.DUMMYFUNCTION("GOOGLETRANSLATE(E345,""en"",""zh-cn"")"),"[Time Picker]默认为AM/PM添加一个选择器")</f>
        <v>[Time Picker]默认为AM/PM添加一个选择器</v>
      </c>
      <c r="H345" s="15" t="str">
        <f>IFERROR(__xludf.DUMMYFUNCTION("GOOGLETRANSLATE(E345,""en"",""fr"")"),"[Picker à temps] Ajoutez un sélecteur avec AM / PM par défaut")</f>
        <v>[Picker à temps] Ajoutez un sélecteur avec AM / PM par défaut</v>
      </c>
      <c r="I345" s="15" t="str">
        <f>IFERROR(__xludf.DUMMYFUNCTION("GOOGLETRANSLATE(E345,""en"",""de"")"),"[Time Picker] Fügen Sie standardmäßig einen Picker mit AM/PM hinzu")</f>
        <v>[Time Picker] Fügen Sie standardmäßig einen Picker mit AM/PM hinzu</v>
      </c>
    </row>
    <row r="346">
      <c r="A346" s="15" t="s">
        <v>548</v>
      </c>
      <c r="B346" s="15" t="s">
        <v>620</v>
      </c>
      <c r="C346" s="15" t="s">
        <v>92</v>
      </c>
      <c r="D346" s="15" t="s">
        <v>12</v>
      </c>
      <c r="E346" s="15" t="s">
        <v>621</v>
      </c>
      <c r="F346" s="15" t="str">
        <f>IFERROR(__xludf.DUMMYFUNCTION("GOOGLETRANSLATE(E346,""en"", ""ja"")"),"ダイアログとモーダルのウェブサイトの言葉遣いの改善")</f>
        <v>ダイアログとモーダルのウェブサイトの言葉遣いの改善</v>
      </c>
      <c r="G346" s="15" t="str">
        <f>IFERROR(__xludf.DUMMYFUNCTION("GOOGLETRANSLATE(E346,""en"",""zh-cn"")"),"对话和模态网站措辞改进")</f>
        <v>对话和模态网站措辞改进</v>
      </c>
      <c r="H346" s="15" t="str">
        <f>IFERROR(__xludf.DUMMYFUNCTION("GOOGLETRANSLATE(E346,""en"",""fr"")"),"Dialogue et amélioration de la formulation du site Web modal")</f>
        <v>Dialogue et amélioration de la formulation du site Web modal</v>
      </c>
      <c r="I346" s="15" t="str">
        <f>IFERROR(__xludf.DUMMYFUNCTION("GOOGLETRANSLATE(E346,""en"",""de"")"),"Dialog- und Modal -Website -Wortlautverbesserung")</f>
        <v>Dialog- und Modal -Website -Wortlautverbesserung</v>
      </c>
    </row>
    <row r="347">
      <c r="A347" s="15" t="s">
        <v>548</v>
      </c>
      <c r="B347" s="15" t="s">
        <v>622</v>
      </c>
      <c r="C347" s="15" t="s">
        <v>92</v>
      </c>
      <c r="D347" s="15" t="s">
        <v>12</v>
      </c>
      <c r="E347" s="15" t="s">
        <v>623</v>
      </c>
      <c r="F347" s="15" t="str">
        <f>IFERROR(__xludf.DUMMYFUNCTION("GOOGLETRANSLATE(E347,""en"", ""ja"")"),"テーブルプライマリコラム：ホバースタイルを追加します")</f>
        <v>テーブルプライマリコラム：ホバースタイルを追加します</v>
      </c>
      <c r="G347" s="15" t="str">
        <f>IFERROR(__xludf.DUMMYFUNCTION("GOOGLETRANSLATE(E347,""en"",""zh-cn"")"),"表主要列：添加悬停样式")</f>
        <v>表主要列：添加悬停样式</v>
      </c>
      <c r="H347" s="15" t="str">
        <f>IFERROR(__xludf.DUMMYFUNCTION("GOOGLETRANSLATE(E347,""en"",""fr"")"),"Table Colonne primaire: Ajouter un style de survol")</f>
        <v>Table Colonne primaire: Ajouter un style de survol</v>
      </c>
      <c r="I347" s="15" t="str">
        <f>IFERROR(__xludf.DUMMYFUNCTION("GOOGLETRANSLATE(E347,""en"",""de"")"),"Primärspalte Tabelle: Schwebestil hinzufügen")</f>
        <v>Primärspalte Tabelle: Schwebestil hinzufügen</v>
      </c>
    </row>
    <row r="348">
      <c r="A348" s="15" t="s">
        <v>548</v>
      </c>
      <c r="B348" s="15" t="s">
        <v>624</v>
      </c>
      <c r="C348" s="15" t="s">
        <v>92</v>
      </c>
      <c r="D348" s="15" t="s">
        <v>12</v>
      </c>
      <c r="E348" s="15" t="s">
        <v>625</v>
      </c>
      <c r="F348" s="15" t="str">
        <f>IFERROR(__xludf.DUMMYFUNCTION("GOOGLETRANSLATE(E348,""en"", ""ja"")"),"単一のファイルアップローダー")</f>
        <v>単一のファイルアップローダー</v>
      </c>
      <c r="G348" s="15" t="str">
        <f>IFERROR(__xludf.DUMMYFUNCTION("GOOGLETRANSLATE(E348,""en"",""zh-cn"")"),"单文件上传器")</f>
        <v>单文件上传器</v>
      </c>
      <c r="H348" s="15" t="str">
        <f>IFERROR(__xludf.DUMMYFUNCTION("GOOGLETRANSLATE(E348,""en"",""fr"")"),"Téléchargeur de fichiers unique")</f>
        <v>Téléchargeur de fichiers unique</v>
      </c>
      <c r="I348" s="15" t="str">
        <f>IFERROR(__xludf.DUMMYFUNCTION("GOOGLETRANSLATE(E348,""en"",""de"")"),"Einzeldatei -Uploader")</f>
        <v>Einzeldatei -Uploader</v>
      </c>
    </row>
    <row r="349">
      <c r="A349" s="15" t="s">
        <v>548</v>
      </c>
      <c r="B349" s="15" t="s">
        <v>626</v>
      </c>
      <c r="C349" s="15" t="s">
        <v>92</v>
      </c>
      <c r="D349" s="15" t="s">
        <v>12</v>
      </c>
      <c r="E349" s="15" t="s">
        <v>627</v>
      </c>
      <c r="F349" s="15" t="str">
        <f>IFERROR(__xludf.DUMMYFUNCTION("GOOGLETRANSLATE(E349,""en"", ""ja"")"),"日付範囲ピッカーOKボタンを追加します")</f>
        <v>日付範囲ピッカーOKボタンを追加します</v>
      </c>
      <c r="G349" s="15" t="str">
        <f>IFERROR(__xludf.DUMMYFUNCTION("GOOGLETRANSLATE(E349,""en"",""zh-cn"")"),"日期范围选择器添加确定按钮")</f>
        <v>日期范围选择器添加确定按钮</v>
      </c>
      <c r="H349" s="15" t="str">
        <f>IFERROR(__xludf.DUMMYFUNCTION("GOOGLETRANSLATE(E349,""en"",""fr"")"),"Piqueur de dates Picker Ajouter le bouton OK")</f>
        <v>Piqueur de dates Picker Ajouter le bouton OK</v>
      </c>
      <c r="I349" s="15" t="str">
        <f>IFERROR(__xludf.DUMMYFUNCTION("GOOGLETRANSLATE(E349,""en"",""de"")"),"Datumsbereich Picker Fügen Sie OK -Schaltfläche hinzu")</f>
        <v>Datumsbereich Picker Fügen Sie OK -Schaltfläche hinzu</v>
      </c>
    </row>
    <row r="350">
      <c r="A350" s="15" t="s">
        <v>548</v>
      </c>
      <c r="B350" s="15" t="s">
        <v>628</v>
      </c>
      <c r="C350" s="15" t="s">
        <v>92</v>
      </c>
      <c r="D350" s="15" t="s">
        <v>12</v>
      </c>
      <c r="E350" s="15" t="s">
        <v>629</v>
      </c>
      <c r="F350" s="15" t="str">
        <f>IFERROR(__xludf.DUMMYFUNCTION("GOOGLETRANSLATE(E350,""en"", ""ja"")"),"別のスタイルをエクスパンダー")</f>
        <v>別のスタイルをエクスパンダー</v>
      </c>
      <c r="G350" s="15" t="str">
        <f>IFERROR(__xludf.DUMMYFUNCTION("GOOGLETRANSLATE(E350,""en"",""zh-cn"")"),"扩大另一种风格")</f>
        <v>扩大另一种风格</v>
      </c>
      <c r="H350" s="15" t="str">
        <f>IFERROR(__xludf.DUMMYFUNCTION("GOOGLETRANSLATE(E350,""en"",""fr"")"),"Expander un autre style")</f>
        <v>Expander un autre style</v>
      </c>
      <c r="I350" s="15" t="str">
        <f>IFERROR(__xludf.DUMMYFUNCTION("GOOGLETRANSLATE(E350,""en"",""de"")"),"Expander einen anderen Stil")</f>
        <v>Expander einen anderen Stil</v>
      </c>
    </row>
    <row r="351">
      <c r="A351" s="15" t="s">
        <v>548</v>
      </c>
      <c r="B351" s="15" t="s">
        <v>630</v>
      </c>
      <c r="C351" s="15" t="s">
        <v>92</v>
      </c>
      <c r="D351" s="15" t="s">
        <v>12</v>
      </c>
      <c r="E351" s="15" t="s">
        <v>169</v>
      </c>
      <c r="F351" s="15" t="str">
        <f>IFERROR(__xludf.DUMMYFUNCTION("GOOGLETRANSLATE(E351,""en"", ""ja"")"),"アクティビティタイムライン")</f>
        <v>アクティビティタイムライン</v>
      </c>
      <c r="G351" s="15" t="str">
        <f>IFERROR(__xludf.DUMMYFUNCTION("GOOGLETRANSLATE(E351,""en"",""zh-cn"")"),"活动时间表")</f>
        <v>活动时间表</v>
      </c>
      <c r="H351" s="15" t="str">
        <f>IFERROR(__xludf.DUMMYFUNCTION("GOOGLETRANSLATE(E351,""en"",""fr"")"),"Chronologie de l'activité")</f>
        <v>Chronologie de l'activité</v>
      </c>
      <c r="I351" s="15" t="str">
        <f>IFERROR(__xludf.DUMMYFUNCTION("GOOGLETRANSLATE(E351,""en"",""de"")"),"Aktivitätszeitleiste")</f>
        <v>Aktivitätszeitleiste</v>
      </c>
    </row>
    <row r="352">
      <c r="A352" s="15" t="s">
        <v>548</v>
      </c>
      <c r="B352" s="15" t="s">
        <v>631</v>
      </c>
      <c r="C352" s="15" t="s">
        <v>92</v>
      </c>
      <c r="D352" s="15" t="s">
        <v>12</v>
      </c>
      <c r="E352" s="15" t="s">
        <v>632</v>
      </c>
      <c r="F352" s="15" t="str">
        <f>IFERROR(__xludf.DUMMYFUNCTION("GOOGLETRANSLATE(E352,""en"", ""ja"")"),"日付範囲に分離された2つのカレンダーコントロールを追加します")</f>
        <v>日付範囲に分離された2つのカレンダーコントロールを追加します</v>
      </c>
      <c r="G352" s="15" t="str">
        <f>IFERROR(__xludf.DUMMYFUNCTION("GOOGLETRANSLATE(E352,""en"",""zh-cn"")"),"为日期范围添加分开的两个日历控件")</f>
        <v>为日期范围添加分开的两个日历控件</v>
      </c>
      <c r="H352" s="15" t="str">
        <f>IFERROR(__xludf.DUMMYFUNCTION("GOOGLETRANSLATE(E352,""en"",""fr"")"),"Ajouter un contrôle de calendrier séparé pour la plage de dates")</f>
        <v>Ajouter un contrôle de calendrier séparé pour la plage de dates</v>
      </c>
      <c r="I352" s="15" t="str">
        <f>IFERROR(__xludf.DUMMYFUNCTION("GOOGLETRANSLATE(E352,""en"",""de"")"),"Fügen Sie eine separierte zwei Kalenderkontrolle für den Datumsbereich hinzu")</f>
        <v>Fügen Sie eine separierte zwei Kalenderkontrolle für den Datumsbereich hinzu</v>
      </c>
    </row>
    <row r="353">
      <c r="A353" s="15" t="s">
        <v>548</v>
      </c>
      <c r="B353" s="15" t="s">
        <v>633</v>
      </c>
      <c r="C353" s="15" t="s">
        <v>92</v>
      </c>
      <c r="D353" s="15" t="s">
        <v>12</v>
      </c>
      <c r="E353" s="15" t="s">
        <v>536</v>
      </c>
      <c r="F353" s="15" t="str">
        <f>IFERROR(__xludf.DUMMYFUNCTION("GOOGLETRANSLATE(E353,""en"", ""ja"")"),"ユーザーまたはグループは、テーブルまたはリストに表示する主要な情報ではありません。")</f>
        <v>ユーザーまたはグループは、テーブルまたはリストに表示する主要な情報ではありません。</v>
      </c>
      <c r="G353" s="15" t="str">
        <f>IFERROR(__xludf.DUMMYFUNCTION("GOOGLETRANSLATE(E353,""en"",""zh-cn"")"),"用户或组不是要在表或列表中显示的主要信息。")</f>
        <v>用户或组不是要在表或列表中显示的主要信息。</v>
      </c>
      <c r="H353" s="15" t="str">
        <f>IFERROR(__xludf.DUMMYFUNCTION("GOOGLETRANSLATE(E353,""en"",""fr"")"),"L'utilisateur ou le groupe n'est pas les informations principales que vous souhaitez afficher dans une table ou une liste.")</f>
        <v>L'utilisateur ou le groupe n'est pas les informations principales que vous souhaitez afficher dans une table ou une liste.</v>
      </c>
      <c r="I353" s="15" t="str">
        <f>IFERROR(__xludf.DUMMYFUNCTION("GOOGLETRANSLATE(E353,""en"",""de"")"),"Benutzer oder Gruppe ist nicht die primären Informationen, die Sie in einer Tabelle oder Liste anzeigen möchten.")</f>
        <v>Benutzer oder Gruppe ist nicht die primären Informationen, die Sie in einer Tabelle oder Liste anzeigen möchten.</v>
      </c>
    </row>
    <row r="354">
      <c r="A354" s="15" t="s">
        <v>548</v>
      </c>
      <c r="B354" s="15" t="s">
        <v>634</v>
      </c>
      <c r="C354" s="15" t="s">
        <v>92</v>
      </c>
      <c r="D354" s="15" t="s">
        <v>12</v>
      </c>
      <c r="E354" s="15" t="s">
        <v>538</v>
      </c>
      <c r="F354" s="15" t="str">
        <f>IFERROR(__xludf.DUMMYFUNCTION("GOOGLETRANSLATE(E354,""en"", ""ja"")"),"それを表示するのに十分なスペースがありません。")</f>
        <v>それを表示するのに十分なスペースがありません。</v>
      </c>
      <c r="G354" s="15" t="str">
        <f>IFERROR(__xludf.DUMMYFUNCTION("GOOGLETRANSLATE(E354,""en"",""zh-cn"")"),"没有足够的空间显示它。")</f>
        <v>没有足够的空间显示它。</v>
      </c>
      <c r="H354" s="15" t="str">
        <f>IFERROR(__xludf.DUMMYFUNCTION("GOOGLETRANSLATE(E354,""en"",""fr"")"),"Il n'y a pas assez d'espace pour l'afficher.")</f>
        <v>Il n'y a pas assez d'espace pour l'afficher.</v>
      </c>
      <c r="I354" s="15" t="str">
        <f>IFERROR(__xludf.DUMMYFUNCTION("GOOGLETRANSLATE(E354,""en"",""de"")"),"Es gibt nicht genügend Platz, um es anzuzeigen.")</f>
        <v>Es gibt nicht genügend Platz, um es anzuzeigen.</v>
      </c>
    </row>
    <row r="355">
      <c r="A355" s="15" t="s">
        <v>548</v>
      </c>
      <c r="B355" s="15" t="s">
        <v>635</v>
      </c>
      <c r="C355" s="15" t="s">
        <v>92</v>
      </c>
      <c r="D355" s="15" t="s">
        <v>12</v>
      </c>
      <c r="E355" s="15" t="s">
        <v>539</v>
      </c>
      <c r="F355" s="15" t="str">
        <f>IFERROR(__xludf.DUMMYFUNCTION("GOOGLETRANSLATE(E355,""en"", ""ja"")"),"人の画像がない場合、または画像が不要な場合、その人のイニシャルの構成を背景色に置くことができます。")</f>
        <v>人の画像がない場合、または画像が不要な場合、その人のイニシャルの構成を背景色に置くことができます。</v>
      </c>
      <c r="G355" s="15" t="str">
        <f>IFERROR(__xludf.DUMMYFUNCTION("GOOGLETRANSLATE(E355,""en"",""zh-cn"")"),"当没有人形象或不需要图像时，可以将人的姓名缩写的组成放在背景颜色上。")</f>
        <v>当没有人形象或不需要图像时，可以将人的姓名缩写的组成放在背景颜色上。</v>
      </c>
      <c r="H355" s="15" t="str">
        <f>IFERROR(__xludf.DUMMYFUNCTION("GOOGLETRANSLATE(E355,""en"",""fr"")"),"Peut mettre une composition des initiales de la personne sur une couleur d'arrière-plan lorsqu'il n'y a pas d'image de personne, ou aucune image nécessaire.")</f>
        <v>Peut mettre une composition des initiales de la personne sur une couleur d'arrière-plan lorsqu'il n'y a pas d'image de personne, ou aucune image nécessaire.</v>
      </c>
      <c r="I355" s="15" t="str">
        <f>IFERROR(__xludf.DUMMYFUNCTION("GOOGLETRANSLATE(E355,""en"",""de"")"),"Kann eine Komposition der Initialen der Person in eine Hintergrundfarbe bringen, wenn kein Personbild oder kein Bild erforderlich ist.")</f>
        <v>Kann eine Komposition der Initialen der Person in eine Hintergrundfarbe bringen, wenn kein Personbild oder kein Bild erforderlich ist.</v>
      </c>
    </row>
    <row r="356">
      <c r="A356" s="15" t="s">
        <v>548</v>
      </c>
      <c r="B356" s="15" t="s">
        <v>636</v>
      </c>
      <c r="C356" s="15" t="s">
        <v>92</v>
      </c>
      <c r="D356" s="15" t="s">
        <v>12</v>
      </c>
      <c r="E356" s="15" t="s">
        <v>541</v>
      </c>
      <c r="F356" s="15" t="str">
        <f>IFERROR(__xludf.DUMMYFUNCTION("GOOGLETRANSLATE(E356,""en"", ""ja"")"),"画像")</f>
        <v>画像</v>
      </c>
      <c r="G356" s="15" t="str">
        <f>IFERROR(__xludf.DUMMYFUNCTION("GOOGLETRANSLATE(E356,""en"",""zh-cn"")"),"图像")</f>
        <v>图像</v>
      </c>
      <c r="H356" s="15" t="str">
        <f>IFERROR(__xludf.DUMMYFUNCTION("GOOGLETRANSLATE(E356,""en"",""fr"")"),"Image")</f>
        <v>Image</v>
      </c>
      <c r="I356" s="15" t="str">
        <f>IFERROR(__xludf.DUMMYFUNCTION("GOOGLETRANSLATE(E356,""en"",""de"")"),"Bild")</f>
        <v>Bild</v>
      </c>
    </row>
    <row r="357">
      <c r="A357" s="15" t="s">
        <v>548</v>
      </c>
      <c r="B357" s="15" t="s">
        <v>637</v>
      </c>
      <c r="C357" s="15" t="s">
        <v>92</v>
      </c>
      <c r="D357" s="15" t="s">
        <v>12</v>
      </c>
      <c r="E357" s="15" t="s">
        <v>543</v>
      </c>
      <c r="F357" s="15" t="str">
        <f>IFERROR(__xludf.DUMMYFUNCTION("GOOGLETRANSLATE(E357,""en"", ""ja"")"),"画像が表示されている場合は、この鮮やかなスタイルを使用してください。")</f>
        <v>画像が表示されている場合は、この鮮やかなスタイルを使用してください。</v>
      </c>
      <c r="G357" s="15" t="str">
        <f>IFERROR(__xludf.DUMMYFUNCTION("GOOGLETRANSLATE(E357,""en"",""zh-cn"")"),"当有图像可以显示时，请使用这种生动的样式​​。")</f>
        <v>当有图像可以显示时，请使用这种生动的样式​​。</v>
      </c>
      <c r="H357" s="15" t="str">
        <f>IFERROR(__xludf.DUMMYFUNCTION("GOOGLETRANSLATE(E357,""en"",""fr"")"),"Utilisez ce style vif lorsqu'une image peut s'afficher.")</f>
        <v>Utilisez ce style vif lorsqu'une image peut s'afficher.</v>
      </c>
      <c r="I357" s="15" t="str">
        <f>IFERROR(__xludf.DUMMYFUNCTION("GOOGLETRANSLATE(E357,""en"",""de"")"),"Verwenden Sie diesen lebendigen Stil, wenn ein Bild angezeigt wird.")</f>
        <v>Verwenden Sie diesen lebendigen Stil, wenn ein Bild angezeigt wird.</v>
      </c>
    </row>
    <row r="358">
      <c r="A358" s="15" t="s">
        <v>548</v>
      </c>
      <c r="B358" s="15" t="s">
        <v>638</v>
      </c>
      <c r="C358" s="15" t="s">
        <v>92</v>
      </c>
      <c r="D358" s="15" t="s">
        <v>12</v>
      </c>
      <c r="E358" s="15" t="s">
        <v>545</v>
      </c>
      <c r="F358" s="15" t="str">
        <f>IFERROR(__xludf.DUMMYFUNCTION("GOOGLETRANSLATE(E358,""en"", ""ja"")"),"四角")</f>
        <v>四角</v>
      </c>
      <c r="G358" s="15" t="str">
        <f>IFERROR(__xludf.DUMMYFUNCTION("GOOGLETRANSLATE(E358,""en"",""zh-cn"")"),"正方形")</f>
        <v>正方形</v>
      </c>
      <c r="H358" s="15" t="str">
        <f>IFERROR(__xludf.DUMMYFUNCTION("GOOGLETRANSLATE(E358,""en"",""fr"")"),"Carré")</f>
        <v>Carré</v>
      </c>
      <c r="I358" s="15" t="str">
        <f>IFERROR(__xludf.DUMMYFUNCTION("GOOGLETRANSLATE(E358,""en"",""de"")"),"Quadrat")</f>
        <v>Quadrat</v>
      </c>
    </row>
    <row r="359">
      <c r="A359" s="15" t="s">
        <v>548</v>
      </c>
      <c r="B359" s="15" t="s">
        <v>639</v>
      </c>
      <c r="C359" s="15" t="s">
        <v>92</v>
      </c>
      <c r="D359" s="15" t="s">
        <v>12</v>
      </c>
      <c r="E359" s="15" t="s">
        <v>547</v>
      </c>
      <c r="F359" s="15" t="str">
        <f>IFERROR(__xludf.DUMMYFUNCTION("GOOGLETRANSLATE(E359,""en"", ""ja"")"),"ヘッダーゾーンの右上ログインユーザーにのみ使用します。")</f>
        <v>ヘッダーゾーンの右上ログインユーザーにのみ使用します。</v>
      </c>
      <c r="G359" s="15" t="str">
        <f>IFERROR(__xludf.DUMMYFUNCTION("GOOGLETRANSLATE(E359,""en"",""zh-cn"")"),"仅适用于标题区域中的右TOP登录用户。")</f>
        <v>仅适用于标题区域中的右TOP登录用户。</v>
      </c>
      <c r="H359" s="15" t="str">
        <f>IFERROR(__xludf.DUMMYFUNCTION("GOOGLETRANSLATE(E359,""en"",""fr"")"),"Utiliser uniquement pour l'utilisateur de connexion à droite dans la zone d'en-tête.")</f>
        <v>Utiliser uniquement pour l'utilisateur de connexion à droite dans la zone d'en-tête.</v>
      </c>
      <c r="I359" s="15" t="str">
        <f>IFERROR(__xludf.DUMMYFUNCTION("GOOGLETRANSLATE(E359,""en"",""de"")"),"Verwenden Sie nur für den Right-Top-Anbieterbenutzer in der Header-Zone.")</f>
        <v>Verwenden Sie nur für den Right-Top-Anbieterbenutzer in der Header-Zone.</v>
      </c>
    </row>
    <row r="360">
      <c r="A360" s="15" t="s">
        <v>548</v>
      </c>
      <c r="B360" s="15" t="s">
        <v>640</v>
      </c>
      <c r="C360" s="15" t="s">
        <v>92</v>
      </c>
      <c r="D360" s="15" t="s">
        <v>12</v>
      </c>
      <c r="E360" s="15" t="s">
        <v>557</v>
      </c>
      <c r="F360" s="15" t="str">
        <f>IFERROR(__xludf.DUMMYFUNCTION("GOOGLETRANSLATE(E360,""en"", ""ja"")"),"[Range Picker]：選択したすべての日付をクリアする必要があります")</f>
        <v>[Range Picker]：選択したすべての日付をクリアする必要があります</v>
      </c>
      <c r="G360" s="15" t="str">
        <f>IFERROR(__xludf.DUMMYFUNCTION("GOOGLETRANSLATE(E360,""en"",""zh-cn"")"),"[范围选择器]：清除应清除所有选定的日期")</f>
        <v>[范围选择器]：清除应清除所有选定的日期</v>
      </c>
      <c r="H360" s="15" t="str">
        <f>IFERROR(__xludf.DUMMYFUNCTION("GOOGLETRANSLATE(E360,""en"",""fr"")"),"[Picker de gamme]: Clear devrait effacer toutes les dates sélectionnées")</f>
        <v>[Picker de gamme]: Clear devrait effacer toutes les dates sélectionnées</v>
      </c>
      <c r="I360" s="15" t="str">
        <f>IFERROR(__xludf.DUMMYFUNCTION("GOOGLETRANSLATE(E360,""en"",""de"")"),"[Range Picker]: Clear sollte alle ausgewählten Daten löschen")</f>
        <v>[Range Picker]: Clear sollte alle ausgewählten Daten löschen</v>
      </c>
    </row>
    <row r="361">
      <c r="A361" s="15" t="s">
        <v>548</v>
      </c>
      <c r="B361" s="15" t="s">
        <v>641</v>
      </c>
      <c r="C361" s="15" t="s">
        <v>92</v>
      </c>
      <c r="D361" s="15" t="s">
        <v>12</v>
      </c>
      <c r="E361" s="15" t="s">
        <v>559</v>
      </c>
      <c r="F361" s="15" t="str">
        <f>IFERROR(__xludf.DUMMYFUNCTION("GOOGLETRANSLATE(E361,""en"", ""ja"")"),"タイムピッカーバグ")</f>
        <v>タイムピッカーバグ</v>
      </c>
      <c r="G361" s="15" t="str">
        <f>IFERROR(__xludf.DUMMYFUNCTION("GOOGLETRANSLATE(E361,""en"",""zh-cn"")"),"时间选择器错误")</f>
        <v>时间选择器错误</v>
      </c>
      <c r="H361" s="15" t="str">
        <f>IFERROR(__xludf.DUMMYFUNCTION("GOOGLETRANSLATE(E361,""en"",""fr"")"),"Bug de sélecteur de temps")</f>
        <v>Bug de sélecteur de temps</v>
      </c>
      <c r="I361" s="15" t="str">
        <f>IFERROR(__xludf.DUMMYFUNCTION("GOOGLETRANSLATE(E361,""en"",""de"")"),"Zeitpicker -Fehler")</f>
        <v>Zeitpicker -Fehler</v>
      </c>
    </row>
    <row r="362">
      <c r="A362" s="15" t="s">
        <v>548</v>
      </c>
      <c r="B362" s="15" t="s">
        <v>642</v>
      </c>
      <c r="C362" s="15" t="s">
        <v>92</v>
      </c>
      <c r="D362" s="15" t="s">
        <v>12</v>
      </c>
      <c r="E362" s="15" t="s">
        <v>561</v>
      </c>
      <c r="F362" s="15" t="str">
        <f>IFERROR(__xludf.DUMMYFUNCTION("GOOGLETRANSLATE(E362,""en"", ""ja"")"),"ナビゲーションは、ナビゲーションアイテムの統一アイコンスコープを設定する必要があります")</f>
        <v>ナビゲーションは、ナビゲーションアイテムの統一アイコンスコープを設定する必要があります</v>
      </c>
      <c r="G362" s="15" t="str">
        <f>IFERROR(__xludf.DUMMYFUNCTION("GOOGLETRANSLATE(E362,""en"",""zh-cn"")"),"导航应设置导航项目的统一图标范围")</f>
        <v>导航应设置导航项目的统一图标范围</v>
      </c>
      <c r="H362" s="15" t="str">
        <f>IFERROR(__xludf.DUMMYFUNCTION("GOOGLETRANSLATE(E362,""en"",""fr"")"),"La navigation doit définir une portée d'icône unifiée pour l'élément de navigation")</f>
        <v>La navigation doit définir une portée d'icône unifiée pour l'élément de navigation</v>
      </c>
      <c r="I362" s="15" t="str">
        <f>IFERROR(__xludf.DUMMYFUNCTION("GOOGLETRANSLATE(E362,""en"",""de"")"),"Die Navigation sollte einen einheitlichen Symbolbereich für Navigationselement festlegen")</f>
        <v>Die Navigation sollte einen einheitlichen Symbolbereich für Navigationselement festlegen</v>
      </c>
    </row>
    <row r="363">
      <c r="A363" s="15" t="s">
        <v>548</v>
      </c>
      <c r="B363" s="15" t="s">
        <v>643</v>
      </c>
      <c r="C363" s="15" t="s">
        <v>92</v>
      </c>
      <c r="D363" s="15" t="s">
        <v>12</v>
      </c>
      <c r="E363" s="15" t="s">
        <v>563</v>
      </c>
      <c r="F363" s="15" t="str">
        <f>IFERROR(__xludf.DUMMYFUNCTION("GOOGLETRANSLATE(E363,""en"", ""ja"")"),"[日付範囲（推奨）]フォーカスを失うことはできません")</f>
        <v>[日付範囲（推奨）]フォーカスを失うことはできません</v>
      </c>
      <c r="G363" s="15" t="str">
        <f>IFERROR(__xludf.DUMMYFUNCTION("GOOGLETRANSLATE(E363,""en"",""zh-cn"")"),"[日期范围（推荐）]不能失去焦点")</f>
        <v>[日期范围（推荐）]不能失去焦点</v>
      </c>
      <c r="H363" s="15" t="str">
        <f>IFERROR(__xludf.DUMMYFUNCTION("GOOGLETRANSLATE(E363,""en"",""fr"")"),"[Plage de dates (recommandée)] ne peut pas perdre focus")</f>
        <v>[Plage de dates (recommandée)] ne peut pas perdre focus</v>
      </c>
      <c r="I363" s="15" t="str">
        <f>IFERROR(__xludf.DUMMYFUNCTION("GOOGLETRANSLATE(E363,""en"",""de"")"),"[Datumsbereich (empfohlen)] kann den Fokus nicht verlieren")</f>
        <v>[Datumsbereich (empfohlen)] kann den Fokus nicht verlieren</v>
      </c>
    </row>
    <row r="364">
      <c r="A364" s="15" t="s">
        <v>548</v>
      </c>
      <c r="B364" s="15" t="s">
        <v>644</v>
      </c>
      <c r="C364" s="15" t="s">
        <v>92</v>
      </c>
      <c r="D364" s="15" t="s">
        <v>12</v>
      </c>
      <c r="E364" s="15" t="s">
        <v>565</v>
      </c>
      <c r="F364" s="15" t="str">
        <f>IFERROR(__xludf.DUMMYFUNCTION("GOOGLETRANSLATE(E364,""en"", ""ja"")"),"ワッフルアイテムはボタンIDを追加する必要があります")</f>
        <v>ワッフルアイテムはボタンIDを追加する必要があります</v>
      </c>
      <c r="G364" s="15" t="str">
        <f>IFERROR(__xludf.DUMMYFUNCTION("GOOGLETRANSLATE(E364,""en"",""zh-cn"")"),"华夫饼项目应添加按钮ID")</f>
        <v>华夫饼项目应添加按钮ID</v>
      </c>
      <c r="H364" s="15" t="str">
        <f>IFERROR(__xludf.DUMMYFUNCTION("GOOGLETRANSLATE(E364,""en"",""fr"")"),"L'élément de gaufre doit ajouter l'ID de bouton")</f>
        <v>L'élément de gaufre doit ajouter l'ID de bouton</v>
      </c>
      <c r="I364" s="15" t="str">
        <f>IFERROR(__xludf.DUMMYFUNCTION("GOOGLETRANSLATE(E364,""en"",""de"")"),"Waffelelement sollte die Schaltflächen -ID hinzufügen")</f>
        <v>Waffelelement sollte die Schaltflächen -ID hinzufügen</v>
      </c>
    </row>
    <row r="365">
      <c r="A365" s="15" t="s">
        <v>548</v>
      </c>
      <c r="B365" s="15" t="s">
        <v>645</v>
      </c>
      <c r="C365" s="15" t="s">
        <v>92</v>
      </c>
      <c r="D365" s="15" t="s">
        <v>12</v>
      </c>
      <c r="E365" s="15" t="s">
        <v>567</v>
      </c>
      <c r="F365" s="15" t="str">
        <f>IFERROR(__xludf.DUMMYFUNCTION("GOOGLETRANSLATE(E365,""en"", ""ja"")"),"[結果を検索しない]デモを選択する必要があります")</f>
        <v>[結果を検索しない]デモを選択する必要があります</v>
      </c>
      <c r="G365" s="15" t="str">
        <f>IFERROR(__xludf.DUMMYFUNCTION("GOOGLETRANSLATE(E365,""en"",""zh-cn"")"),"选择应添加“搜索无结果”演示")</f>
        <v>选择应添加“搜索无结果”演示</v>
      </c>
      <c r="H365" s="15" t="str">
        <f>IFERROR(__xludf.DUMMYFUNCTION("GOOGLETRANSLATE(E365,""en"",""fr"")"),"Sélectionner doit ajouter une démo «recherche sans résultats»")</f>
        <v>Sélectionner doit ajouter une démo «recherche sans résultats»</v>
      </c>
      <c r="I365" s="15" t="str">
        <f>IFERROR(__xludf.DUMMYFUNCTION("GOOGLETRANSLATE(E365,""en"",""de"")"),"Wählen Sie die Demo ""Suchen Sie keine Ergebnisse durch")</f>
        <v>Wählen Sie die Demo "Suchen Sie keine Ergebnisse durch</v>
      </c>
    </row>
    <row r="366">
      <c r="A366" s="15" t="s">
        <v>548</v>
      </c>
      <c r="B366" s="15" t="s">
        <v>646</v>
      </c>
      <c r="C366" s="15" t="s">
        <v>92</v>
      </c>
      <c r="D366" s="15" t="s">
        <v>12</v>
      </c>
      <c r="E366" s="15" t="s">
        <v>569</v>
      </c>
      <c r="F366" s="15" t="str">
        <f>IFERROR(__xludf.DUMMYFUNCTION("GOOGLETRANSLATE(E366,""en"", ""ja"")"),"[選択]では矢印障害者の色は正しくありません")</f>
        <v>[選択]では矢印障害者の色は正しくありません</v>
      </c>
      <c r="G366" s="15" t="str">
        <f>IFERROR(__xludf.DUMMYFUNCTION("GOOGLETRANSLATE(E366,""en"",""zh-cn"")"),"箭头禁用的颜色在[SELECT]中是不正确的")</f>
        <v>箭头禁用的颜色在[SELECT]中是不正确的</v>
      </c>
      <c r="H366" s="15" t="str">
        <f>IFERROR(__xludf.DUMMYFUNCTION("GOOGLETRANSLATE(E366,""en"",""fr"")"),"La couleur désactivée de la flèche n'est pas correcte dans [SELECT]")</f>
        <v>La couleur désactivée de la flèche n'est pas correcte dans [SELECT]</v>
      </c>
      <c r="I366" s="15" t="str">
        <f>IFERROR(__xludf.DUMMYFUNCTION("GOOGLETRANSLATE(E366,""en"",""de"")"),"Die behinderte Farbe der Pfeile ist in [SELECT] nicht korrekt")</f>
        <v>Die behinderte Farbe der Pfeile ist in [SELECT] nicht korrekt</v>
      </c>
    </row>
    <row r="367">
      <c r="A367" s="15" t="s">
        <v>548</v>
      </c>
      <c r="B367" s="15" t="s">
        <v>647</v>
      </c>
      <c r="C367" s="15" t="s">
        <v>92</v>
      </c>
      <c r="D367" s="15" t="s">
        <v>12</v>
      </c>
      <c r="E367" s="15" t="s">
        <v>571</v>
      </c>
      <c r="F367" s="15" t="str">
        <f>IFERROR(__xludf.DUMMYFUNCTION("GOOGLETRANSLATE(E367,""en"", ""ja"")"),"クリックすると、Unread Unreadバッジが移動します")</f>
        <v>クリックすると、Unread Unreadバッジが移動します</v>
      </c>
      <c r="G367" s="15" t="str">
        <f>IFERROR(__xludf.DUMMYFUNCTION("GOOGLETRANSLATE(E367,""en"",""zh-cn"")"),"单击时弹出式未读徽章移动")</f>
        <v>单击时弹出式未读徽章移动</v>
      </c>
      <c r="H367" s="15" t="str">
        <f>IFERROR(__xludf.DUMMYFUNCTION("GOOGLETRANSLATE(E367,""en"",""fr"")"),"Badge non lu en popover se déplace en cliquant")</f>
        <v>Badge non lu en popover se déplace en cliquant</v>
      </c>
      <c r="I367" s="15" t="str">
        <f>IFERROR(__xludf.DUMMYFUNCTION("GOOGLETRANSLATE(E367,""en"",""de"")"),"Popover ungelesene Abzeichen bewegt sich beim Klicken")</f>
        <v>Popover ungelesene Abzeichen bewegt sich beim Klicken</v>
      </c>
    </row>
    <row r="368">
      <c r="A368" s="15" t="s">
        <v>548</v>
      </c>
      <c r="B368" s="15" t="s">
        <v>648</v>
      </c>
      <c r="C368" s="15" t="s">
        <v>92</v>
      </c>
      <c r="D368" s="15" t="s">
        <v>12</v>
      </c>
      <c r="E368" s="15" t="s">
        <v>573</v>
      </c>
      <c r="F368" s="15" t="str">
        <f>IFERROR(__xludf.DUMMYFUNCTION("GOOGLETRANSLATE(E368,""en"", ""ja"")"),"小さなスイッチパディングは正しくありません")</f>
        <v>小さなスイッチパディングは正しくありません</v>
      </c>
      <c r="G368" s="15" t="str">
        <f>IFERROR(__xludf.DUMMYFUNCTION("GOOGLETRANSLATE(E368,""en"",""zh-cn"")"),"小开关填充不正确")</f>
        <v>小开关填充不正确</v>
      </c>
      <c r="H368" s="15" t="str">
        <f>IFERROR(__xludf.DUMMYFUNCTION("GOOGLETRANSLATE(E368,""en"",""fr"")"),"Le rembourrage de petit interrupteur n'est pas correct")</f>
        <v>Le rembourrage de petit interrupteur n'est pas correct</v>
      </c>
      <c r="I368" s="15" t="str">
        <f>IFERROR(__xludf.DUMMYFUNCTION("GOOGLETRANSLATE(E368,""en"",""de"")"),"Kleine Schalterpolsterung ist nicht korrekt")</f>
        <v>Kleine Schalterpolsterung ist nicht korrekt</v>
      </c>
    </row>
    <row r="369">
      <c r="A369" s="15" t="s">
        <v>548</v>
      </c>
      <c r="B369" s="15" t="s">
        <v>649</v>
      </c>
      <c r="C369" s="15" t="s">
        <v>92</v>
      </c>
      <c r="D369" s="15" t="s">
        <v>12</v>
      </c>
      <c r="E369" s="15" t="s">
        <v>575</v>
      </c>
      <c r="F369" s="15" t="str">
        <f>IFERROR(__xludf.DUMMYFUNCTION("GOOGLETRANSLATE(E369,""en"", ""ja"")"),"列アイコンを更新します")</f>
        <v>列アイコンを更新します</v>
      </c>
      <c r="G369" s="15" t="str">
        <f>IFERROR(__xludf.DUMMYFUNCTION("GOOGLETRANSLATE(E369,""en"",""zh-cn"")"),"更新列图标")</f>
        <v>更新列图标</v>
      </c>
      <c r="H369" s="15" t="str">
        <f>IFERROR(__xludf.DUMMYFUNCTION("GOOGLETRANSLATE(E369,""en"",""fr"")"),"Icône de mise à jour des colonnes")</f>
        <v>Icône de mise à jour des colonnes</v>
      </c>
      <c r="I369" s="15" t="str">
        <f>IFERROR(__xludf.DUMMYFUNCTION("GOOGLETRANSLATE(E369,""en"",""de"")"),"Das Symbol der Spalten aktualisieren")</f>
        <v>Das Symbol der Spalten aktualisieren</v>
      </c>
    </row>
    <row r="370">
      <c r="A370" s="15" t="s">
        <v>548</v>
      </c>
      <c r="B370" s="15" t="s">
        <v>650</v>
      </c>
      <c r="C370" s="15" t="s">
        <v>92</v>
      </c>
      <c r="D370" s="15" t="s">
        <v>12</v>
      </c>
      <c r="E370" s="15" t="s">
        <v>577</v>
      </c>
      <c r="F370" s="15" t="str">
        <f>IFERROR(__xludf.DUMMYFUNCTION("GOOGLETRANSLATE(E370,""en"", ""ja"")"),"トーストアイコンはデザインと同じではありません")</f>
        <v>トーストアイコンはデザインと同じではありません</v>
      </c>
      <c r="G370" s="15" t="str">
        <f>IFERROR(__xludf.DUMMYFUNCTION("GOOGLETRANSLATE(E370,""en"",""zh-cn"")"),"吐司图标与设计不一样")</f>
        <v>吐司图标与设计不一样</v>
      </c>
      <c r="H370" s="15" t="str">
        <f>IFERROR(__xludf.DUMMYFUNCTION("GOOGLETRANSLATE(E370,""en"",""fr"")"),"L'icône de toast n'est pas la même avec le design")</f>
        <v>L'icône de toast n'est pas la même avec le design</v>
      </c>
      <c r="I370" s="15" t="str">
        <f>IFERROR(__xludf.DUMMYFUNCTION("GOOGLETRANSLATE(E370,""en"",""de"")"),"Toast -Symbol ist mit Design nicht gleich")</f>
        <v>Toast -Symbol ist mit Design nicht gleich</v>
      </c>
    </row>
    <row r="371">
      <c r="A371" s="15" t="s">
        <v>548</v>
      </c>
      <c r="B371" s="15" t="s">
        <v>651</v>
      </c>
      <c r="C371" s="15" t="s">
        <v>92</v>
      </c>
      <c r="D371" s="15" t="s">
        <v>12</v>
      </c>
      <c r="E371" s="15" t="s">
        <v>579</v>
      </c>
      <c r="F371" s="15" t="str">
        <f>IFERROR(__xludf.DUMMYFUNCTION("GOOGLETRANSLATE(E371,""en"", ""ja"")"),"複数のファイルアップローダーに名前を変更します")</f>
        <v>複数のファイルアップローダーに名前を変更します</v>
      </c>
      <c r="G371" s="15" t="str">
        <f>IFERROR(__xludf.DUMMYFUNCTION("GOOGLETRANSLATE(E371,""en"",""zh-cn"")"),"重命名为多个文件上传器")</f>
        <v>重命名为多个文件上传器</v>
      </c>
      <c r="H371" s="15" t="str">
        <f>IFERROR(__xludf.DUMMYFUNCTION("GOOGLETRANSLATE(E371,""en"",""fr"")"),"Renommer le téléchargeur de fichiers multiples")</f>
        <v>Renommer le téléchargeur de fichiers multiples</v>
      </c>
      <c r="I371" s="15" t="str">
        <f>IFERROR(__xludf.DUMMYFUNCTION("GOOGLETRANSLATE(E371,""en"",""de"")"),"Benennen Sie in mehreren Datei -Uploader um")</f>
        <v>Benennen Sie in mehreren Datei -Uploader um</v>
      </c>
    </row>
    <row r="372">
      <c r="A372" s="15" t="s">
        <v>548</v>
      </c>
      <c r="B372" s="15" t="s">
        <v>652</v>
      </c>
      <c r="C372" s="15" t="s">
        <v>92</v>
      </c>
      <c r="D372" s="15" t="s">
        <v>12</v>
      </c>
      <c r="E372" s="15" t="s">
        <v>581</v>
      </c>
      <c r="F372" s="15" t="str">
        <f>IFERROR(__xludf.DUMMYFUNCTION("GOOGLETRANSLATE(E372,""en"", ""ja"")"),"タイポグラフィは14px-boldフォントの例を追加します。")</f>
        <v>タイポグラフィは14px-boldフォントの例を追加します。</v>
      </c>
      <c r="G372" s="15" t="str">
        <f>IFERROR(__xludf.DUMMYFUNCTION("GOOGLETRANSLATE(E372,""en"",""zh-cn"")"),"排版添加14px-粗体字体示例。")</f>
        <v>排版添加14px-粗体字体示例。</v>
      </c>
      <c r="H372" s="15" t="str">
        <f>IFERROR(__xludf.DUMMYFUNCTION("GOOGLETRANSLATE(E372,""en"",""fr"")"),"Typographie Ajoutez un exemple de police 14px-bold.")</f>
        <v>Typographie Ajoutez un exemple de police 14px-bold.</v>
      </c>
      <c r="I372" s="15" t="str">
        <f>IFERROR(__xludf.DUMMYFUNCTION("GOOGLETRANSLATE(E372,""en"",""de"")"),"Typografie Fügen Sie 14px-fettes Schriftbeispiel hinzu.")</f>
        <v>Typografie Fügen Sie 14px-fettes Schriftbeispiel hinzu.</v>
      </c>
    </row>
    <row r="373">
      <c r="A373" s="15" t="s">
        <v>548</v>
      </c>
      <c r="B373" s="15" t="s">
        <v>653</v>
      </c>
      <c r="C373" s="15" t="s">
        <v>92</v>
      </c>
      <c r="D373" s="15" t="s">
        <v>12</v>
      </c>
      <c r="E373" s="15" t="s">
        <v>583</v>
      </c>
      <c r="F373" s="15" t="str">
        <f>IFERROR(__xludf.DUMMYFUNCTION("GOOGLETRANSLATE(E373,""en"", ""ja"")"),"エクスパンダー第1レベルのフォントは14pxに変更されます。太字")</f>
        <v>エクスパンダー第1レベルのフォントは14pxに変更されます。太字</v>
      </c>
      <c r="G373" s="15" t="str">
        <f>IFERROR(__xludf.DUMMYFUNCTION("GOOGLETRANSLATE(E373,""en"",""zh-cn"")"),"扩展器1级字体更改为14px，粗体")</f>
        <v>扩展器1级字体更改为14px，粗体</v>
      </c>
      <c r="H373" s="15" t="str">
        <f>IFERROR(__xludf.DUMMYFUNCTION("GOOGLETRANSLATE(E373,""en"",""fr"")"),"Expanseur de 1ère niveau de police à 14px, audacieux")</f>
        <v>Expanseur de 1ère niveau de police à 14px, audacieux</v>
      </c>
      <c r="I373" s="15" t="str">
        <f>IFERROR(__xludf.DUMMYFUNCTION("GOOGLETRANSLATE(E373,""en"",""de"")"),"Expander 1. Stufe Schrift wechselt auf 14px, fett")</f>
        <v>Expander 1. Stufe Schrift wechselt auf 14px, fett</v>
      </c>
    </row>
    <row r="374">
      <c r="A374" s="15" t="s">
        <v>548</v>
      </c>
      <c r="B374" s="15" t="s">
        <v>654</v>
      </c>
      <c r="C374" s="15" t="s">
        <v>92</v>
      </c>
      <c r="D374" s="15" t="s">
        <v>12</v>
      </c>
      <c r="E374" s="15" t="s">
        <v>585</v>
      </c>
      <c r="F374" s="15" t="str">
        <f>IFERROR(__xludf.DUMMYFUNCTION("GOOGLETRANSLATE(E374,""en"", ""ja"")"),"複数のテキストボックスの文字カウンター")</f>
        <v>複数のテキストボックスの文字カウンター</v>
      </c>
      <c r="G374" s="15" t="str">
        <f>IFERROR(__xludf.DUMMYFUNCTION("GOOGLETRANSLATE(E374,""en"",""zh-cn"")"),"多个文本框的字符计数器")</f>
        <v>多个文本框的字符计数器</v>
      </c>
      <c r="H374" s="15" t="str">
        <f>IFERROR(__xludf.DUMMYFUNCTION("GOOGLETRANSLATE(E374,""en"",""fr"")"),"Compteur de caractères pour plusieurs zones de texte")</f>
        <v>Compteur de caractères pour plusieurs zones de texte</v>
      </c>
      <c r="I374" s="15" t="str">
        <f>IFERROR(__xludf.DUMMYFUNCTION("GOOGLETRANSLATE(E374,""en"",""de"")"),"Zeichenzähler für mehrere Textbox")</f>
        <v>Zeichenzähler für mehrere Textbox</v>
      </c>
    </row>
    <row r="375">
      <c r="A375" s="15" t="s">
        <v>548</v>
      </c>
      <c r="B375" s="15" t="s">
        <v>655</v>
      </c>
      <c r="C375" s="15" t="s">
        <v>92</v>
      </c>
      <c r="D375" s="15" t="s">
        <v>12</v>
      </c>
      <c r="E375" s="15" t="s">
        <v>587</v>
      </c>
      <c r="F375" s="15" t="str">
        <f>IFERROR(__xludf.DUMMYFUNCTION("GOOGLETRANSLATE(E375,""en"", ""ja"")"),"ピープルピッカー：左/右矢印キーはコンテンツをクリアしてはいけません")</f>
        <v>ピープルピッカー：左/右矢印キーはコンテンツをクリアしてはいけません</v>
      </c>
      <c r="G375" s="15" t="str">
        <f>IFERROR(__xludf.DUMMYFUNCTION("GOOGLETRANSLATE(E375,""en"",""zh-cn"")"),"People Picker：左/右箭头键不应清除内容")</f>
        <v>People Picker：左/右箭头键不应清除内容</v>
      </c>
      <c r="H375" s="15" t="str">
        <f>IFERROR(__xludf.DUMMYFUNCTION("GOOGLETRANSLATE(E375,""en"",""fr"")"),"Piègeur de personnes: la clé de flèche gauche / droite ne doit pas effacer le contenu")</f>
        <v>Piègeur de personnes: la clé de flèche gauche / droite ne doit pas effacer le contenu</v>
      </c>
      <c r="I375" s="15" t="str">
        <f>IFERROR(__xludf.DUMMYFUNCTION("GOOGLETRANSLATE(E375,""en"",""de"")"),"People Picker: Die linke/rechte Pfeiltaste sollte den Inhalt nicht löschen")</f>
        <v>People Picker: Die linke/rechte Pfeiltaste sollte den Inhalt nicht löschen</v>
      </c>
    </row>
    <row r="376">
      <c r="A376" s="15" t="s">
        <v>548</v>
      </c>
      <c r="B376" s="15" t="s">
        <v>656</v>
      </c>
      <c r="C376" s="15" t="s">
        <v>92</v>
      </c>
      <c r="D376" s="15" t="s">
        <v>12</v>
      </c>
      <c r="E376" s="15" t="s">
        <v>589</v>
      </c>
      <c r="F376" s="15" t="str">
        <f>IFERROR(__xludf.DUMMYFUNCTION("GOOGLETRANSLATE(E376,""en"", ""ja"")"),"モーダルの間隔は正確ではありません")</f>
        <v>モーダルの間隔は正確ではありません</v>
      </c>
      <c r="G376" s="15" t="str">
        <f>IFERROR(__xludf.DUMMYFUNCTION("GOOGLETRANSLATE(E376,""en"",""zh-cn"")"),"模态间距不准确")</f>
        <v>模态间距不准确</v>
      </c>
      <c r="H376" s="15" t="str">
        <f>IFERROR(__xludf.DUMMYFUNCTION("GOOGLETRANSLATE(E376,""en"",""fr"")"),"L'espacement dans le modal n'est pas précis")</f>
        <v>L'espacement dans le modal n'est pas précis</v>
      </c>
      <c r="I376" s="15" t="str">
        <f>IFERROR(__xludf.DUMMYFUNCTION("GOOGLETRANSLATE(E376,""en"",""de"")"),"Der Abstand in Modal ist nicht genau")</f>
        <v>Der Abstand in Modal ist nicht genau</v>
      </c>
    </row>
    <row r="377">
      <c r="A377" s="15" t="s">
        <v>548</v>
      </c>
      <c r="B377" s="15" t="s">
        <v>657</v>
      </c>
      <c r="C377" s="15" t="s">
        <v>92</v>
      </c>
      <c r="D377" s="15" t="s">
        <v>12</v>
      </c>
      <c r="E377" s="15" t="s">
        <v>591</v>
      </c>
      <c r="F377" s="15" t="str">
        <f>IFERROR(__xludf.DUMMYFUNCTION("GOOGLETRANSLATE(E377,""en"", ""ja"")"),"タイマーピッカーフォーカスボーダーは不完全に表示されます。")</f>
        <v>タイマーピッカーフォーカスボーダーは不完全に表示されます。</v>
      </c>
      <c r="G377" s="15" t="str">
        <f>IFERROR(__xludf.DUMMYFUNCTION("GOOGLETRANSLATE(E377,""en"",""zh-cn"")"),"计时器选择器焦点边界不完全显示。")</f>
        <v>计时器选择器焦点边界不完全显示。</v>
      </c>
      <c r="H377" s="15" t="str">
        <f>IFERROR(__xludf.DUMMYFUNCTION("GOOGLETRANSLATE(E377,""en"",""fr"")"),"La frontière de Picker Focus Timer est incomplète.")</f>
        <v>La frontière de Picker Focus Timer est incomplète.</v>
      </c>
      <c r="I377" s="15" t="str">
        <f>IFERROR(__xludf.DUMMYFUNCTION("GOOGLETRANSLATE(E377,""en"",""de"")"),"Timer Picker Focus Border zeigt unvollständig.")</f>
        <v>Timer Picker Focus Border zeigt unvollständig.</v>
      </c>
    </row>
    <row r="378">
      <c r="A378" s="15" t="s">
        <v>548</v>
      </c>
      <c r="B378" s="15" t="s">
        <v>658</v>
      </c>
      <c r="C378" s="15" t="s">
        <v>92</v>
      </c>
      <c r="D378" s="15" t="s">
        <v>12</v>
      </c>
      <c r="E378" s="15" t="s">
        <v>593</v>
      </c>
      <c r="F378" s="15" t="str">
        <f>IFERROR(__xludf.DUMMYFUNCTION("GOOGLETRANSLATE(E378,""en"", ""ja"")"),"ウィザードステップは中心に配置する必要があります")</f>
        <v>ウィザードステップは中心に配置する必要があります</v>
      </c>
      <c r="G378" s="15" t="str">
        <f>IFERROR(__xludf.DUMMYFUNCTION("GOOGLETRANSLATE(E378,""en"",""zh-cn"")"),"向导的步骤应为中心")</f>
        <v>向导的步骤应为中心</v>
      </c>
      <c r="H378" s="15" t="str">
        <f>IFERROR(__xludf.DUMMYFUNCTION("GOOGLETRANSLATE(E378,""en"",""fr"")"),"L'étape de l'assistant doit être alignée au centre")</f>
        <v>L'étape de l'assistant doit être alignée au centre</v>
      </c>
      <c r="I378" s="15" t="str">
        <f>IFERROR(__xludf.DUMMYFUNCTION("GOOGLETRANSLATE(E378,""en"",""de"")"),"Assistentenschritt sollte in der Mitte ausgerichtet sein")</f>
        <v>Assistentenschritt sollte in der Mitte ausgerichtet sein</v>
      </c>
    </row>
    <row r="379">
      <c r="A379" s="15" t="s">
        <v>548</v>
      </c>
      <c r="B379" s="15" t="s">
        <v>659</v>
      </c>
      <c r="C379" s="15" t="s">
        <v>92</v>
      </c>
      <c r="D379" s="15" t="s">
        <v>12</v>
      </c>
      <c r="E379" s="15" t="s">
        <v>595</v>
      </c>
      <c r="F379" s="15" t="str">
        <f>IFERROR(__xludf.DUMMYFUNCTION("GOOGLETRANSLATE(E379,""en"", ""ja"")"),"読み込みは、実際のコンテンツサイズに適合する必要があります")</f>
        <v>読み込みは、実際のコンテンツサイズに適合する必要があります</v>
      </c>
      <c r="G379" s="15" t="str">
        <f>IFERROR(__xludf.DUMMYFUNCTION("GOOGLETRANSLATE(E379,""en"",""zh-cn"")"),"加载需要适合实际内容大小")</f>
        <v>加载需要适合实际内容大小</v>
      </c>
      <c r="H379" s="15" t="str">
        <f>IFERROR(__xludf.DUMMYFUNCTION("GOOGLETRANSLATE(E379,""en"",""fr"")"),"Le chargement doit s'adapter à la taille réelle du contenu")</f>
        <v>Le chargement doit s'adapter à la taille réelle du contenu</v>
      </c>
      <c r="I379" s="15" t="str">
        <f>IFERROR(__xludf.DUMMYFUNCTION("GOOGLETRANSLATE(E379,""en"",""de"")"),"Das Laden muss in die tatsächliche Inhaltsgröße passen")</f>
        <v>Das Laden muss in die tatsächliche Inhaltsgröße passen</v>
      </c>
    </row>
    <row r="380">
      <c r="A380" s="15" t="s">
        <v>548</v>
      </c>
      <c r="B380" s="15" t="s">
        <v>660</v>
      </c>
      <c r="C380" s="15" t="s">
        <v>92</v>
      </c>
      <c r="D380" s="15" t="s">
        <v>12</v>
      </c>
      <c r="E380" s="15" t="s">
        <v>597</v>
      </c>
      <c r="F380" s="15" t="str">
        <f>IFERROR(__xludf.DUMMYFUNCTION("GOOGLETRANSLATE(E380,""en"", ""ja"")"),"日付の範囲は、年のビューをクリックしながら月ビューに変更されます")</f>
        <v>日付の範囲は、年のビューをクリックしながら月ビューに変更されます</v>
      </c>
      <c r="G380" s="15" t="str">
        <f>IFERROR(__xludf.DUMMYFUNCTION("GOOGLETRANSLATE(E380,""en"",""zh-cn"")"),"单击年度视图时，日期范围更改为月视图")</f>
        <v>单击年度视图时，日期范围更改为月视图</v>
      </c>
      <c r="H380" s="15" t="str">
        <f>IFERROR(__xludf.DUMMYFUNCTION("GOOGLETRANSLATE(E380,""en"",""fr"")"),"DATE RANGETS PLAGE A Voir le mois en cliquant sur Affichage de l'année")</f>
        <v>DATE RANGETS PLAGE A Voir le mois en cliquant sur Affichage de l'année</v>
      </c>
      <c r="I380" s="15" t="str">
        <f>IFERROR(__xludf.DUMMYFUNCTION("GOOGLETRANSLATE(E380,""en"",""de"")"),"Änderungen des Datumsbereichs bis zur Monatsansicht beim Klicken auf Jahresansicht")</f>
        <v>Änderungen des Datumsbereichs bis zur Monatsansicht beim Klicken auf Jahresansicht</v>
      </c>
    </row>
    <row r="381">
      <c r="A381" s="15" t="s">
        <v>548</v>
      </c>
      <c r="B381" s="15" t="s">
        <v>661</v>
      </c>
      <c r="C381" s="15" t="s">
        <v>92</v>
      </c>
      <c r="D381" s="15" t="s">
        <v>12</v>
      </c>
      <c r="E381" s="15" t="s">
        <v>599</v>
      </c>
      <c r="F381" s="15" t="str">
        <f>IFERROR(__xludf.DUMMYFUNCTION("GOOGLETRANSLATE(E381,""en"", ""ja"")"),"ピープルピッカーリスト：2番目のレベルのフォントは、クリック後に白に変わります。")</f>
        <v>ピープルピッカーリスト：2番目のレベルのフォントは、クリック後に白に変わります。</v>
      </c>
      <c r="G381" s="15" t="str">
        <f>IFERROR(__xludf.DUMMYFUNCTION("GOOGLETRANSLATE(E381,""en"",""zh-cn"")"),"People Picker列表：单击后，第二级字体将变成白色。")</f>
        <v>People Picker列表：单击后，第二级字体将变成白色。</v>
      </c>
      <c r="H381" s="15" t="str">
        <f>IFERROR(__xludf.DUMMYFUNCTION("GOOGLETRANSLATE(E381,""en"",""fr"")"),"Liste des cueilleurs de personnes: la police du deuxième niveau se transformera en blanc après le clic.")</f>
        <v>Liste des cueilleurs de personnes: la police du deuxième niveau se transformera en blanc après le clic.</v>
      </c>
      <c r="I381" s="15" t="str">
        <f>IFERROR(__xludf.DUMMYFUNCTION("GOOGLETRANSLATE(E381,""en"",""de"")"),"People Picker List: Die zweite Schriftart wird nach dem Klick in Weiß verwandelt.")</f>
        <v>People Picker List: Die zweite Schriftart wird nach dem Klick in Weiß verwandelt.</v>
      </c>
    </row>
    <row r="382">
      <c r="A382" s="15" t="s">
        <v>548</v>
      </c>
      <c r="B382" s="15" t="s">
        <v>662</v>
      </c>
      <c r="C382" s="15" t="s">
        <v>92</v>
      </c>
      <c r="D382" s="15" t="s">
        <v>12</v>
      </c>
      <c r="E382" s="15" t="s">
        <v>601</v>
      </c>
      <c r="F382" s="15" t="str">
        <f>IFERROR(__xludf.DUMMYFUNCTION("GOOGLETRANSLATE(E382,""en"", ""ja"")"),"ディバイダーラインには、モーダル/ポップアップ内のスルーラインではなく、左右のパディングが必要です")</f>
        <v>ディバイダーラインには、モーダル/ポップアップ内のスルーラインではなく、左右のパディングが必要です</v>
      </c>
      <c r="G382" s="15" t="str">
        <f>IFERROR(__xludf.DUMMYFUNCTION("GOOGLETRANSLATE(E382,""en"",""zh-cn"")"),"分隔线应具有左右填充")</f>
        <v>分隔线应具有左右填充</v>
      </c>
      <c r="H382" s="15" t="str">
        <f>IFERROR(__xludf.DUMMYFUNCTION("GOOGLETRANSLATE(E382,""en"",""fr"")"),"La ligne de diviseur devrait avoir un rembourrage gauche et droit, au lieu d'une ligne à travers un modal / popup")</f>
        <v>La ligne de diviseur devrait avoir un rembourrage gauche et droit, au lieu d'une ligne à travers un modal / popup</v>
      </c>
      <c r="I382" s="15" t="str">
        <f>IFERROR(__xludf.DUMMYFUNCTION("GOOGLETRANSLATE(E382,""en"",""de"")"),"Die Trennlinie sollte eine linke und die rechte Polsterung anstelle einer Durchgangszeile innerhalb eines Modal/Popups haben müssen")</f>
        <v>Die Trennlinie sollte eine linke und die rechte Polsterung anstelle einer Durchgangszeile innerhalb eines Modal/Popups haben müssen</v>
      </c>
    </row>
    <row r="383">
      <c r="A383" s="15" t="s">
        <v>548</v>
      </c>
      <c r="B383" s="15" t="s">
        <v>663</v>
      </c>
      <c r="C383" s="15" t="s">
        <v>92</v>
      </c>
      <c r="D383" s="15" t="s">
        <v>12</v>
      </c>
      <c r="E383" s="15" t="s">
        <v>603</v>
      </c>
      <c r="F383" s="15" t="str">
        <f>IFERROR(__xludf.DUMMYFUNCTION("GOOGLETRANSLATE(E383,""en"", ""ja"")"),"ダイアログタイトルパディングボトムは24pxでなければなりません")</f>
        <v>ダイアログタイトルパディングボトムは24pxでなければなりません</v>
      </c>
      <c r="G383" s="15" t="str">
        <f>IFERROR(__xludf.DUMMYFUNCTION("GOOGLETRANSLATE(E383,""en"",""zh-cn"")"),"对话框标题填充应为24px")</f>
        <v>对话框标题填充应为24px</v>
      </c>
      <c r="H383" s="15" t="str">
        <f>IFERROR(__xludf.DUMMYFUNCTION("GOOGLETRANSLATE(E383,""en"",""fr"")"),"Titre de dialogue Padding-Bottom devrait être 24px")</f>
        <v>Titre de dialogue Padding-Bottom devrait être 24px</v>
      </c>
      <c r="I383" s="15" t="str">
        <f>IFERROR(__xludf.DUMMYFUNCTION("GOOGLETRANSLATE(E383,""en"",""de"")"),"Dialog Titel Padding-Bottom sollte 24px sein")</f>
        <v>Dialog Titel Padding-Bottom sollte 24px sein</v>
      </c>
    </row>
    <row r="384">
      <c r="A384" s="15" t="s">
        <v>548</v>
      </c>
      <c r="B384" s="15" t="s">
        <v>664</v>
      </c>
      <c r="C384" s="15" t="s">
        <v>92</v>
      </c>
      <c r="D384" s="15" t="s">
        <v>12</v>
      </c>
      <c r="E384" s="15" t="s">
        <v>605</v>
      </c>
      <c r="F384" s="15" t="str">
        <f>IFERROR(__xludf.DUMMYFUNCTION("GOOGLETRANSLATE(E384,""en"", ""ja"")"),"新しいスタイルの問題")</f>
        <v>新しいスタイルの問題</v>
      </c>
      <c r="G384" s="15" t="str">
        <f>IFERROR(__xludf.DUMMYFUNCTION("GOOGLETRANSLATE(E384,""en"",""zh-cn"")"),"扩展新样式问题")</f>
        <v>扩展新样式问题</v>
      </c>
      <c r="H384" s="15" t="str">
        <f>IFERROR(__xludf.DUMMYFUNCTION("GOOGLETRANSLATE(E384,""en"",""fr"")"),"Expander de nouveaux problèmes de style")</f>
        <v>Expander de nouveaux problèmes de style</v>
      </c>
      <c r="I384" s="15" t="str">
        <f>IFERROR(__xludf.DUMMYFUNCTION("GOOGLETRANSLATE(E384,""en"",""de"")"),"Expander neuer Stilprobleme")</f>
        <v>Expander neuer Stilprobleme</v>
      </c>
    </row>
    <row r="385">
      <c r="A385" s="15" t="s">
        <v>548</v>
      </c>
      <c r="B385" s="15" t="s">
        <v>665</v>
      </c>
      <c r="C385" s="15" t="s">
        <v>92</v>
      </c>
      <c r="D385" s="15" t="s">
        <v>12</v>
      </c>
      <c r="E385" s="15" t="s">
        <v>607</v>
      </c>
      <c r="F385" s="15" t="str">
        <f>IFERROR(__xludf.DUMMYFUNCTION("GOOGLETRANSLATE(E385,""en"", ""ja"")"),"[毎日のスキャン時間を2回有効にする]をクリックします。時間のスクロールバーが引き下げられません。時間：6〜11は選択できません")</f>
        <v>[毎日のスキャン時間を2回有効にする]をクリックします。時間のスクロールバーが引き下げられません。時間：6〜11は選択できません</v>
      </c>
      <c r="G385" s="15" t="str">
        <f>IFERROR(__xludf.DUMMYFUNCTION("GOOGLETRANSLATE(E385,""en"",""zh-cn"")"),"点击启用每日扫描时间两次，小时的滚动条无法下拉，小时：6-11无法选择")</f>
        <v>点击启用每日扫描时间两次，小时的滚动条无法下拉，小时：6-11无法选择</v>
      </c>
      <c r="H385" s="15" t="str">
        <f>IFERROR(__xludf.DUMMYFUNCTION("GOOGLETRANSLATE(E385,""en"",""fr"")"),"Cliquez sur Activer le temps de balayage quotidien deux fois, la barre de défilement des heures ne peut pas se baisser, heures: 6-11 ne peut pas être sélectionnée")</f>
        <v>Cliquez sur Activer le temps de balayage quotidien deux fois, la barre de défilement des heures ne peut pas se baisser, heures: 6-11 ne peut pas être sélectionnée</v>
      </c>
      <c r="I385" s="15" t="str">
        <f>IFERROR(__xludf.DUMMYFUNCTION("GOOGLETRANSLATE(E385,""en"",""de"")"),"Klicken Sie zweimal auf die tägliche Scan-Zeit aktiv")</f>
        <v>Klicken Sie zweimal auf die tägliche Scan-Zeit aktiv</v>
      </c>
    </row>
    <row r="386">
      <c r="A386" s="15" t="s">
        <v>548</v>
      </c>
      <c r="B386" s="15" t="s">
        <v>666</v>
      </c>
      <c r="C386" s="15" t="s">
        <v>92</v>
      </c>
      <c r="D386" s="15" t="s">
        <v>12</v>
      </c>
      <c r="E386" s="15" t="s">
        <v>609</v>
      </c>
      <c r="F386" s="15" t="str">
        <f>IFERROR(__xludf.DUMMYFUNCTION("GOOGLETRANSLATE(E386,""en"", ""ja"")"),"タイムピッカーはフォーカスを失うことはできません")</f>
        <v>タイムピッカーはフォーカスを失うことはできません</v>
      </c>
      <c r="G386" s="15" t="str">
        <f>IFERROR(__xludf.DUMMYFUNCTION("GOOGLETRANSLATE(E386,""en"",""zh-cn"")"),"计时者不会失去焦点")</f>
        <v>计时者不会失去焦点</v>
      </c>
      <c r="H386" s="15" t="str">
        <f>IFERROR(__xludf.DUMMYFUNCTION("GOOGLETRANSLATE(E386,""en"",""fr"")"),"Le sélecteur de temps ne peut pas perdre la focalisation")</f>
        <v>Le sélecteur de temps ne peut pas perdre la focalisation</v>
      </c>
      <c r="I386" s="15" t="str">
        <f>IFERROR(__xludf.DUMMYFUNCTION("GOOGLETRANSLATE(E386,""en"",""de"")"),"Time Picker kann den Fokus nicht verlieren")</f>
        <v>Time Picker kann den Fokus nicht verlieren</v>
      </c>
    </row>
    <row r="387">
      <c r="A387" s="15" t="s">
        <v>548</v>
      </c>
      <c r="B387" s="15" t="s">
        <v>667</v>
      </c>
      <c r="C387" s="15" t="s">
        <v>92</v>
      </c>
      <c r="D387" s="15" t="s">
        <v>12</v>
      </c>
      <c r="E387" s="15" t="s">
        <v>611</v>
      </c>
      <c r="F387" s="15" t="str">
        <f>IFERROR(__xludf.DUMMYFUNCTION("GOOGLETRANSLATE(E387,""en"", ""ja"")"),"アクティビティタイムラインUIの問題")</f>
        <v>アクティビティタイムラインUIの問題</v>
      </c>
      <c r="G387" s="15" t="str">
        <f>IFERROR(__xludf.DUMMYFUNCTION("GOOGLETRANSLATE(E387,""en"",""zh-cn"")"),"活动时间表UI问题")</f>
        <v>活动时间表UI问题</v>
      </c>
      <c r="H387" s="15" t="str">
        <f>IFERROR(__xludf.DUMMYFUNCTION("GOOGLETRANSLATE(E387,""en"",""fr"")"),"Problèmes d'interface utilisateur de la chronologie de l'activité")</f>
        <v>Problèmes d'interface utilisateur de la chronologie de l'activité</v>
      </c>
      <c r="I387" s="15" t="str">
        <f>IFERROR(__xludf.DUMMYFUNCTION("GOOGLETRANSLATE(E387,""en"",""de"")"),"Activity Timeline UI -Probleme")</f>
        <v>Activity Timeline UI -Probleme</v>
      </c>
    </row>
    <row r="388">
      <c r="A388" s="15" t="s">
        <v>548</v>
      </c>
      <c r="B388" s="15" t="s">
        <v>668</v>
      </c>
      <c r="C388" s="15" t="s">
        <v>92</v>
      </c>
      <c r="D388" s="15" t="s">
        <v>12</v>
      </c>
      <c r="E388" s="15" t="s">
        <v>613</v>
      </c>
      <c r="F388" s="15" t="str">
        <f>IFERROR(__xludf.DUMMYFUNCTION("GOOGLETRANSLATE(E388,""en"", ""ja"")"),"テーブルのプライマリボタンを削除します")</f>
        <v>テーブルのプライマリボタンを削除します</v>
      </c>
      <c r="G388" s="15" t="str">
        <f>IFERROR(__xludf.DUMMYFUNCTION("GOOGLETRANSLATE(E388,""en"",""zh-cn"")"),"删除表中的主按钮")</f>
        <v>删除表中的主按钮</v>
      </c>
      <c r="H388" s="15" t="str">
        <f>IFERROR(__xludf.DUMMYFUNCTION("GOOGLETRANSLATE(E388,""en"",""fr"")"),"Supprimer le bouton primaire dans le tableau")</f>
        <v>Supprimer le bouton primaire dans le tableau</v>
      </c>
      <c r="I388" s="15" t="str">
        <f>IFERROR(__xludf.DUMMYFUNCTION("GOOGLETRANSLATE(E388,""en"",""de"")"),"Entfernen Sie die Primärtaste in der Tabelle")</f>
        <v>Entfernen Sie die Primärtaste in der Tabelle</v>
      </c>
    </row>
    <row r="389">
      <c r="A389" s="15" t="s">
        <v>548</v>
      </c>
      <c r="B389" s="15" t="s">
        <v>669</v>
      </c>
      <c r="C389" s="15" t="s">
        <v>92</v>
      </c>
      <c r="D389" s="15" t="s">
        <v>12</v>
      </c>
      <c r="E389" s="15" t="s">
        <v>615</v>
      </c>
      <c r="F389" s="15" t="str">
        <f>IFERROR(__xludf.DUMMYFUNCTION("GOOGLETRANSLATE(E389,""en"", ""ja"")"),"[研究]日付範囲の制御を改善します")</f>
        <v>[研究]日付範囲の制御を改善します</v>
      </c>
      <c r="G389" s="15" t="str">
        <f>IFERROR(__xludf.DUMMYFUNCTION("GOOGLETRANSLATE(E389,""en"",""zh-cn"")"),"[研究]改善日期范围控制")</f>
        <v>[研究]改善日期范围控制</v>
      </c>
      <c r="H389" s="15" t="str">
        <f>IFERROR(__xludf.DUMMYFUNCTION("GOOGLETRANSLATE(E389,""en"",""fr"")"),"[Recherche] Améliorer le contrôle de la plage de dates")</f>
        <v>[Recherche] Améliorer le contrôle de la plage de dates</v>
      </c>
      <c r="I389" s="15" t="str">
        <f>IFERROR(__xludf.DUMMYFUNCTION("GOOGLETRANSLATE(E389,""en"",""de"")"),"[Forschung] Verbesserung der Date Range Control")</f>
        <v>[Forschung] Verbesserung der Date Range Control</v>
      </c>
    </row>
    <row r="390">
      <c r="A390" s="15" t="s">
        <v>548</v>
      </c>
      <c r="B390" s="15" t="s">
        <v>670</v>
      </c>
      <c r="C390" s="15" t="s">
        <v>92</v>
      </c>
      <c r="D390" s="15" t="s">
        <v>12</v>
      </c>
      <c r="E390" s="15" t="s">
        <v>617</v>
      </c>
      <c r="F390" s="15" t="str">
        <f>IFERROR(__xludf.DUMMYFUNCTION("GOOGLETRANSLATE(E390,""en"", ""ja"")"),"ログの更新を変更します")</f>
        <v>ログの更新を変更します</v>
      </c>
      <c r="G390" s="15" t="str">
        <f>IFERROR(__xludf.DUMMYFUNCTION("GOOGLETRANSLATE(E390,""en"",""zh-cn"")"),"更改日志更新")</f>
        <v>更改日志更新</v>
      </c>
      <c r="H390" s="15" t="str">
        <f>IFERROR(__xludf.DUMMYFUNCTION("GOOGLETRANSLATE(E390,""en"",""fr"")"),"Modifier les mises à jour du journal")</f>
        <v>Modifier les mises à jour du journal</v>
      </c>
      <c r="I390" s="15" t="str">
        <f>IFERROR(__xludf.DUMMYFUNCTION("GOOGLETRANSLATE(E390,""en"",""de"")"),"Protokoll -Updates ändern")</f>
        <v>Protokoll -Updates ändern</v>
      </c>
    </row>
    <row r="391">
      <c r="A391" s="15" t="s">
        <v>548</v>
      </c>
      <c r="B391" s="15" t="s">
        <v>671</v>
      </c>
      <c r="C391" s="15" t="s">
        <v>92</v>
      </c>
      <c r="D391" s="15" t="s">
        <v>12</v>
      </c>
      <c r="E391" s="15" t="s">
        <v>619</v>
      </c>
      <c r="F391" s="15" t="str">
        <f>IFERROR(__xludf.DUMMYFUNCTION("GOOGLETRANSLATE(E391,""en"", ""ja"")"),"[タイムピッカー]デフォルトでAM/PMにピッカーを1つ追加します")</f>
        <v>[タイムピッカー]デフォルトでAM/PMにピッカーを1つ追加します</v>
      </c>
      <c r="G391" s="15" t="str">
        <f>IFERROR(__xludf.DUMMYFUNCTION("GOOGLETRANSLATE(E391,""en"",""zh-cn"")"),"[Time Picker]默认为AM/PM添加一个选择器")</f>
        <v>[Time Picker]默认为AM/PM添加一个选择器</v>
      </c>
      <c r="H391" s="15" t="str">
        <f>IFERROR(__xludf.DUMMYFUNCTION("GOOGLETRANSLATE(E391,""en"",""fr"")"),"[Picker à temps] Ajoutez un sélecteur avec AM / PM par défaut")</f>
        <v>[Picker à temps] Ajoutez un sélecteur avec AM / PM par défaut</v>
      </c>
      <c r="I391" s="15" t="str">
        <f>IFERROR(__xludf.DUMMYFUNCTION("GOOGLETRANSLATE(E391,""en"",""de"")"),"[Time Picker] Fügen Sie standardmäßig einen Picker mit AM/PM hinzu")</f>
        <v>[Time Picker] Fügen Sie standardmäßig einen Picker mit AM/PM hinzu</v>
      </c>
    </row>
    <row r="392">
      <c r="A392" s="15" t="s">
        <v>548</v>
      </c>
      <c r="B392" s="15" t="s">
        <v>672</v>
      </c>
      <c r="C392" s="15" t="s">
        <v>92</v>
      </c>
      <c r="D392" s="15" t="s">
        <v>12</v>
      </c>
      <c r="E392" s="15" t="s">
        <v>621</v>
      </c>
      <c r="F392" s="15" t="str">
        <f>IFERROR(__xludf.DUMMYFUNCTION("GOOGLETRANSLATE(E392,""en"", ""ja"")"),"ダイアログとモーダルのウェブサイトの言葉遣いの改善")</f>
        <v>ダイアログとモーダルのウェブサイトの言葉遣いの改善</v>
      </c>
      <c r="G392" s="15" t="str">
        <f>IFERROR(__xludf.DUMMYFUNCTION("GOOGLETRANSLATE(E392,""en"",""zh-cn"")"),"对话和模态网站措辞改进")</f>
        <v>对话和模态网站措辞改进</v>
      </c>
      <c r="H392" s="15" t="str">
        <f>IFERROR(__xludf.DUMMYFUNCTION("GOOGLETRANSLATE(E392,""en"",""fr"")"),"Dialogue et amélioration de la formulation du site Web modal")</f>
        <v>Dialogue et amélioration de la formulation du site Web modal</v>
      </c>
      <c r="I392" s="15" t="str">
        <f>IFERROR(__xludf.DUMMYFUNCTION("GOOGLETRANSLATE(E392,""en"",""de"")"),"Dialog- und Modal -Website -Wortlautverbesserung")</f>
        <v>Dialog- und Modal -Website -Wortlautverbesserung</v>
      </c>
    </row>
    <row r="393">
      <c r="A393" s="15" t="s">
        <v>548</v>
      </c>
      <c r="B393" s="15" t="s">
        <v>673</v>
      </c>
      <c r="C393" s="15" t="s">
        <v>92</v>
      </c>
      <c r="D393" s="15" t="s">
        <v>12</v>
      </c>
      <c r="E393" s="15" t="s">
        <v>623</v>
      </c>
      <c r="F393" s="15" t="str">
        <f>IFERROR(__xludf.DUMMYFUNCTION("GOOGLETRANSLATE(E393,""en"", ""ja"")"),"テーブルプライマリコラム：ホバースタイルを追加します")</f>
        <v>テーブルプライマリコラム：ホバースタイルを追加します</v>
      </c>
      <c r="G393" s="15" t="str">
        <f>IFERROR(__xludf.DUMMYFUNCTION("GOOGLETRANSLATE(E393,""en"",""zh-cn"")"),"表主要列：添加悬停样式")</f>
        <v>表主要列：添加悬停样式</v>
      </c>
      <c r="H393" s="15" t="str">
        <f>IFERROR(__xludf.DUMMYFUNCTION("GOOGLETRANSLATE(E393,""en"",""fr"")"),"Table Colonne primaire: Ajouter un style de survol")</f>
        <v>Table Colonne primaire: Ajouter un style de survol</v>
      </c>
      <c r="I393" s="15" t="str">
        <f>IFERROR(__xludf.DUMMYFUNCTION("GOOGLETRANSLATE(E393,""en"",""de"")"),"Primärspalte Tabelle: Schwebestil hinzufügen")</f>
        <v>Primärspalte Tabelle: Schwebestil hinzufügen</v>
      </c>
    </row>
    <row r="394">
      <c r="A394" s="15" t="s">
        <v>548</v>
      </c>
      <c r="B394" s="15" t="s">
        <v>674</v>
      </c>
      <c r="C394" s="15" t="s">
        <v>92</v>
      </c>
      <c r="D394" s="15" t="s">
        <v>12</v>
      </c>
      <c r="E394" s="15" t="s">
        <v>625</v>
      </c>
      <c r="F394" s="15" t="str">
        <f>IFERROR(__xludf.DUMMYFUNCTION("GOOGLETRANSLATE(E394,""en"", ""ja"")"),"単一のファイルアップローダー")</f>
        <v>単一のファイルアップローダー</v>
      </c>
      <c r="G394" s="15" t="str">
        <f>IFERROR(__xludf.DUMMYFUNCTION("GOOGLETRANSLATE(E394,""en"",""zh-cn"")"),"单文件上传器")</f>
        <v>单文件上传器</v>
      </c>
      <c r="H394" s="15" t="str">
        <f>IFERROR(__xludf.DUMMYFUNCTION("GOOGLETRANSLATE(E394,""en"",""fr"")"),"Téléchargeur de fichiers unique")</f>
        <v>Téléchargeur de fichiers unique</v>
      </c>
      <c r="I394" s="15" t="str">
        <f>IFERROR(__xludf.DUMMYFUNCTION("GOOGLETRANSLATE(E394,""en"",""de"")"),"Einzeldatei -Uploader")</f>
        <v>Einzeldatei -Uploader</v>
      </c>
    </row>
    <row r="395">
      <c r="A395" s="15" t="s">
        <v>548</v>
      </c>
      <c r="B395" s="15" t="s">
        <v>675</v>
      </c>
      <c r="C395" s="15" t="s">
        <v>92</v>
      </c>
      <c r="D395" s="15" t="s">
        <v>12</v>
      </c>
      <c r="E395" s="15" t="s">
        <v>627</v>
      </c>
      <c r="F395" s="15" t="str">
        <f>IFERROR(__xludf.DUMMYFUNCTION("GOOGLETRANSLATE(E395,""en"", ""ja"")"),"日付範囲ピッカーOKボタンを追加します")</f>
        <v>日付範囲ピッカーOKボタンを追加します</v>
      </c>
      <c r="G395" s="15" t="str">
        <f>IFERROR(__xludf.DUMMYFUNCTION("GOOGLETRANSLATE(E395,""en"",""zh-cn"")"),"日期范围选择器添加确定按钮")</f>
        <v>日期范围选择器添加确定按钮</v>
      </c>
      <c r="H395" s="15" t="str">
        <f>IFERROR(__xludf.DUMMYFUNCTION("GOOGLETRANSLATE(E395,""en"",""fr"")"),"Piqueur de dates Picker Ajouter le bouton OK")</f>
        <v>Piqueur de dates Picker Ajouter le bouton OK</v>
      </c>
      <c r="I395" s="15" t="str">
        <f>IFERROR(__xludf.DUMMYFUNCTION("GOOGLETRANSLATE(E395,""en"",""de"")"),"Datumsbereich Picker Fügen Sie OK -Schaltfläche hinzu")</f>
        <v>Datumsbereich Picker Fügen Sie OK -Schaltfläche hinzu</v>
      </c>
    </row>
    <row r="396">
      <c r="A396" s="15" t="s">
        <v>548</v>
      </c>
      <c r="B396" s="15" t="s">
        <v>676</v>
      </c>
      <c r="C396" s="15" t="s">
        <v>92</v>
      </c>
      <c r="D396" s="15" t="s">
        <v>12</v>
      </c>
      <c r="E396" s="15" t="s">
        <v>629</v>
      </c>
      <c r="F396" s="15" t="str">
        <f>IFERROR(__xludf.DUMMYFUNCTION("GOOGLETRANSLATE(E396,""en"", ""ja"")"),"別のスタイルをエクスパンダー")</f>
        <v>別のスタイルをエクスパンダー</v>
      </c>
      <c r="G396" s="15" t="str">
        <f>IFERROR(__xludf.DUMMYFUNCTION("GOOGLETRANSLATE(E396,""en"",""zh-cn"")"),"扩大另一种风格")</f>
        <v>扩大另一种风格</v>
      </c>
      <c r="H396" s="15" t="str">
        <f>IFERROR(__xludf.DUMMYFUNCTION("GOOGLETRANSLATE(E396,""en"",""fr"")"),"Expander un autre style")</f>
        <v>Expander un autre style</v>
      </c>
      <c r="I396" s="15" t="str">
        <f>IFERROR(__xludf.DUMMYFUNCTION("GOOGLETRANSLATE(E396,""en"",""de"")"),"Expander einen anderen Stil")</f>
        <v>Expander einen anderen Stil</v>
      </c>
    </row>
    <row r="397">
      <c r="A397" s="15" t="s">
        <v>548</v>
      </c>
      <c r="B397" s="15" t="s">
        <v>677</v>
      </c>
      <c r="C397" s="15" t="s">
        <v>92</v>
      </c>
      <c r="D397" s="15" t="s">
        <v>12</v>
      </c>
      <c r="E397" s="15" t="s">
        <v>169</v>
      </c>
      <c r="F397" s="15" t="str">
        <f>IFERROR(__xludf.DUMMYFUNCTION("GOOGLETRANSLATE(E397,""en"", ""ja"")"),"アクティビティタイムライン")</f>
        <v>アクティビティタイムライン</v>
      </c>
      <c r="G397" s="15" t="str">
        <f>IFERROR(__xludf.DUMMYFUNCTION("GOOGLETRANSLATE(E397,""en"",""zh-cn"")"),"活动时间表")</f>
        <v>活动时间表</v>
      </c>
      <c r="H397" s="15" t="str">
        <f>IFERROR(__xludf.DUMMYFUNCTION("GOOGLETRANSLATE(E397,""en"",""fr"")"),"Chronologie de l'activité")</f>
        <v>Chronologie de l'activité</v>
      </c>
      <c r="I397" s="15" t="str">
        <f>IFERROR(__xludf.DUMMYFUNCTION("GOOGLETRANSLATE(E397,""en"",""de"")"),"Aktivitätszeitleiste")</f>
        <v>Aktivitätszeitleiste</v>
      </c>
    </row>
    <row r="398">
      <c r="A398" s="15" t="s">
        <v>548</v>
      </c>
      <c r="B398" s="15" t="s">
        <v>678</v>
      </c>
      <c r="C398" s="15" t="s">
        <v>92</v>
      </c>
      <c r="D398" s="15" t="s">
        <v>12</v>
      </c>
      <c r="E398" s="15" t="s">
        <v>632</v>
      </c>
      <c r="F398" s="15" t="str">
        <f>IFERROR(__xludf.DUMMYFUNCTION("GOOGLETRANSLATE(E398,""en"", ""ja"")"),"日付範囲に分離された2つのカレンダーコントロールを追加します")</f>
        <v>日付範囲に分離された2つのカレンダーコントロールを追加します</v>
      </c>
      <c r="G398" s="15" t="str">
        <f>IFERROR(__xludf.DUMMYFUNCTION("GOOGLETRANSLATE(E398,""en"",""zh-cn"")"),"为日期范围添加分开的两个日历控件")</f>
        <v>为日期范围添加分开的两个日历控件</v>
      </c>
      <c r="H398" s="15" t="str">
        <f>IFERROR(__xludf.DUMMYFUNCTION("GOOGLETRANSLATE(E398,""en"",""fr"")"),"Ajouter un contrôle de calendrier séparé pour la plage de dates")</f>
        <v>Ajouter un contrôle de calendrier séparé pour la plage de dates</v>
      </c>
      <c r="I398" s="15" t="str">
        <f>IFERROR(__xludf.DUMMYFUNCTION("GOOGLETRANSLATE(E398,""en"",""de"")"),"Fügen Sie eine separierte zwei Kalenderkontrolle für den Datumsbereich hinzu")</f>
        <v>Fügen Sie eine separierte zwei Kalenderkontrolle für den Datumsbereich hinzu</v>
      </c>
    </row>
    <row r="399">
      <c r="A399" s="15" t="s">
        <v>548</v>
      </c>
      <c r="B399" s="15" t="s">
        <v>679</v>
      </c>
      <c r="C399" s="15" t="s">
        <v>92</v>
      </c>
      <c r="D399" s="15" t="s">
        <v>12</v>
      </c>
      <c r="E399" s="15" t="s">
        <v>536</v>
      </c>
      <c r="F399" s="15" t="str">
        <f>IFERROR(__xludf.DUMMYFUNCTION("GOOGLETRANSLATE(E399,""en"", ""ja"")"),"ユーザーまたはグループは、テーブルまたはリストに表示する主要な情報ではありません。")</f>
        <v>ユーザーまたはグループは、テーブルまたはリストに表示する主要な情報ではありません。</v>
      </c>
      <c r="G399" s="15" t="str">
        <f>IFERROR(__xludf.DUMMYFUNCTION("GOOGLETRANSLATE(E399,""en"",""zh-cn"")"),"用户或组不是要在表或列表中显示的主要信息。")</f>
        <v>用户或组不是要在表或列表中显示的主要信息。</v>
      </c>
      <c r="H399" s="15" t="str">
        <f>IFERROR(__xludf.DUMMYFUNCTION("GOOGLETRANSLATE(E399,""en"",""fr"")"),"L'utilisateur ou le groupe n'est pas les informations principales que vous souhaitez afficher dans une table ou une liste.")</f>
        <v>L'utilisateur ou le groupe n'est pas les informations principales que vous souhaitez afficher dans une table ou une liste.</v>
      </c>
      <c r="I399" s="15" t="str">
        <f>IFERROR(__xludf.DUMMYFUNCTION("GOOGLETRANSLATE(E399,""en"",""de"")"),"Benutzer oder Gruppe ist nicht die primären Informationen, die Sie in einer Tabelle oder Liste anzeigen möchten.")</f>
        <v>Benutzer oder Gruppe ist nicht die primären Informationen, die Sie in einer Tabelle oder Liste anzeigen möchten.</v>
      </c>
    </row>
    <row r="400">
      <c r="A400" s="15" t="s">
        <v>548</v>
      </c>
      <c r="B400" s="15" t="s">
        <v>680</v>
      </c>
      <c r="C400" s="15" t="s">
        <v>92</v>
      </c>
      <c r="D400" s="15" t="s">
        <v>12</v>
      </c>
      <c r="E400" s="15" t="s">
        <v>538</v>
      </c>
      <c r="F400" s="15" t="str">
        <f>IFERROR(__xludf.DUMMYFUNCTION("GOOGLETRANSLATE(E400,""en"", ""ja"")"),"それを表示するのに十分なスペースがありません。")</f>
        <v>それを表示するのに十分なスペースがありません。</v>
      </c>
      <c r="G400" s="15" t="str">
        <f>IFERROR(__xludf.DUMMYFUNCTION("GOOGLETRANSLATE(E400,""en"",""zh-cn"")"),"没有足够的空间显示它。")</f>
        <v>没有足够的空间显示它。</v>
      </c>
      <c r="H400" s="15" t="str">
        <f>IFERROR(__xludf.DUMMYFUNCTION("GOOGLETRANSLATE(E400,""en"",""fr"")"),"Il n'y a pas assez d'espace pour l'afficher.")</f>
        <v>Il n'y a pas assez d'espace pour l'afficher.</v>
      </c>
      <c r="I400" s="15" t="str">
        <f>IFERROR(__xludf.DUMMYFUNCTION("GOOGLETRANSLATE(E400,""en"",""de"")"),"Es gibt nicht genügend Platz, um es anzuzeigen.")</f>
        <v>Es gibt nicht genügend Platz, um es anzuzeigen.</v>
      </c>
    </row>
    <row r="401">
      <c r="A401" s="15" t="s">
        <v>548</v>
      </c>
      <c r="B401" s="15" t="s">
        <v>681</v>
      </c>
      <c r="C401" s="15" t="s">
        <v>92</v>
      </c>
      <c r="D401" s="15" t="s">
        <v>12</v>
      </c>
      <c r="E401" s="15" t="s">
        <v>539</v>
      </c>
      <c r="F401" s="15" t="str">
        <f>IFERROR(__xludf.DUMMYFUNCTION("GOOGLETRANSLATE(E401,""en"", ""ja"")"),"人の画像がない場合、または画像が不要な場合、その人のイニシャルの構成を背景色に置くことができます。")</f>
        <v>人の画像がない場合、または画像が不要な場合、その人のイニシャルの構成を背景色に置くことができます。</v>
      </c>
      <c r="G401" s="15" t="str">
        <f>IFERROR(__xludf.DUMMYFUNCTION("GOOGLETRANSLATE(E401,""en"",""zh-cn"")"),"当没有人形象或不需要图像时，可以将人的姓名缩写的组成放在背景颜色上。")</f>
        <v>当没有人形象或不需要图像时，可以将人的姓名缩写的组成放在背景颜色上。</v>
      </c>
      <c r="H401" s="15" t="str">
        <f>IFERROR(__xludf.DUMMYFUNCTION("GOOGLETRANSLATE(E401,""en"",""fr"")"),"Peut mettre une composition des initiales de la personne sur une couleur d'arrière-plan lorsqu'il n'y a pas d'image de personne, ou aucune image nécessaire.")</f>
        <v>Peut mettre une composition des initiales de la personne sur une couleur d'arrière-plan lorsqu'il n'y a pas d'image de personne, ou aucune image nécessaire.</v>
      </c>
      <c r="I401" s="15" t="str">
        <f>IFERROR(__xludf.DUMMYFUNCTION("GOOGLETRANSLATE(E401,""en"",""de"")"),"Kann eine Komposition der Initialen der Person in eine Hintergrundfarbe bringen, wenn kein Personbild oder kein Bild erforderlich ist.")</f>
        <v>Kann eine Komposition der Initialen der Person in eine Hintergrundfarbe bringen, wenn kein Personbild oder kein Bild erforderlich ist.</v>
      </c>
    </row>
    <row r="402">
      <c r="A402" s="15" t="s">
        <v>548</v>
      </c>
      <c r="B402" s="15" t="s">
        <v>682</v>
      </c>
      <c r="C402" s="15" t="s">
        <v>92</v>
      </c>
      <c r="D402" s="15" t="s">
        <v>12</v>
      </c>
      <c r="E402" s="15" t="s">
        <v>541</v>
      </c>
      <c r="F402" s="15" t="str">
        <f>IFERROR(__xludf.DUMMYFUNCTION("GOOGLETRANSLATE(E402,""en"", ""ja"")"),"画像")</f>
        <v>画像</v>
      </c>
      <c r="G402" s="15" t="str">
        <f>IFERROR(__xludf.DUMMYFUNCTION("GOOGLETRANSLATE(E402,""en"",""zh-cn"")"),"图像")</f>
        <v>图像</v>
      </c>
      <c r="H402" s="15" t="str">
        <f>IFERROR(__xludf.DUMMYFUNCTION("GOOGLETRANSLATE(E402,""en"",""fr"")"),"Image")</f>
        <v>Image</v>
      </c>
      <c r="I402" s="15" t="str">
        <f>IFERROR(__xludf.DUMMYFUNCTION("GOOGLETRANSLATE(E402,""en"",""de"")"),"Bild")</f>
        <v>Bild</v>
      </c>
    </row>
    <row r="403">
      <c r="A403" s="15" t="s">
        <v>548</v>
      </c>
      <c r="B403" s="15" t="s">
        <v>683</v>
      </c>
      <c r="C403" s="15" t="s">
        <v>92</v>
      </c>
      <c r="D403" s="15" t="s">
        <v>12</v>
      </c>
      <c r="E403" s="15" t="s">
        <v>543</v>
      </c>
      <c r="F403" s="15" t="str">
        <f>IFERROR(__xludf.DUMMYFUNCTION("GOOGLETRANSLATE(E403,""en"", ""ja"")"),"画像が表示されている場合は、この鮮やかなスタイルを使用してください。")</f>
        <v>画像が表示されている場合は、この鮮やかなスタイルを使用してください。</v>
      </c>
      <c r="G403" s="15" t="str">
        <f>IFERROR(__xludf.DUMMYFUNCTION("GOOGLETRANSLATE(E403,""en"",""zh-cn"")"),"当有图像可以显示时，请使用这种生动的样式​​。")</f>
        <v>当有图像可以显示时，请使用这种生动的样式​​。</v>
      </c>
      <c r="H403" s="15" t="str">
        <f>IFERROR(__xludf.DUMMYFUNCTION("GOOGLETRANSLATE(E403,""en"",""fr"")"),"Utilisez ce style vif lorsqu'une image peut s'afficher.")</f>
        <v>Utilisez ce style vif lorsqu'une image peut s'afficher.</v>
      </c>
      <c r="I403" s="15" t="str">
        <f>IFERROR(__xludf.DUMMYFUNCTION("GOOGLETRANSLATE(E403,""en"",""de"")"),"Verwenden Sie diesen lebendigen Stil, wenn ein Bild angezeigt wird.")</f>
        <v>Verwenden Sie diesen lebendigen Stil, wenn ein Bild angezeigt wird.</v>
      </c>
    </row>
    <row r="404">
      <c r="A404" s="15" t="s">
        <v>548</v>
      </c>
      <c r="B404" s="15" t="s">
        <v>684</v>
      </c>
      <c r="C404" s="15" t="s">
        <v>92</v>
      </c>
      <c r="D404" s="15" t="s">
        <v>12</v>
      </c>
      <c r="E404" s="15" t="s">
        <v>545</v>
      </c>
      <c r="F404" s="15" t="str">
        <f>IFERROR(__xludf.DUMMYFUNCTION("GOOGLETRANSLATE(E404,""en"", ""ja"")"),"四角")</f>
        <v>四角</v>
      </c>
      <c r="G404" s="15" t="str">
        <f>IFERROR(__xludf.DUMMYFUNCTION("GOOGLETRANSLATE(E404,""en"",""zh-cn"")"),"正方形")</f>
        <v>正方形</v>
      </c>
      <c r="H404" s="15" t="str">
        <f>IFERROR(__xludf.DUMMYFUNCTION("GOOGLETRANSLATE(E404,""en"",""fr"")"),"Carré")</f>
        <v>Carré</v>
      </c>
      <c r="I404" s="15" t="str">
        <f>IFERROR(__xludf.DUMMYFUNCTION("GOOGLETRANSLATE(E404,""en"",""de"")"),"Quadrat")</f>
        <v>Quadrat</v>
      </c>
    </row>
    <row r="405">
      <c r="A405" s="15" t="s">
        <v>548</v>
      </c>
      <c r="B405" s="15" t="s">
        <v>685</v>
      </c>
      <c r="C405" s="15" t="s">
        <v>92</v>
      </c>
      <c r="D405" s="15" t="s">
        <v>12</v>
      </c>
      <c r="E405" s="15" t="s">
        <v>547</v>
      </c>
      <c r="F405" s="15" t="str">
        <f>IFERROR(__xludf.DUMMYFUNCTION("GOOGLETRANSLATE(E405,""en"", ""ja"")"),"ヘッダーゾーンの右上ログインユーザーにのみ使用します。")</f>
        <v>ヘッダーゾーンの右上ログインユーザーにのみ使用します。</v>
      </c>
      <c r="G405" s="15" t="str">
        <f>IFERROR(__xludf.DUMMYFUNCTION("GOOGLETRANSLATE(E405,""en"",""zh-cn"")"),"仅适用于标题区域中的右TOP登录用户。")</f>
        <v>仅适用于标题区域中的右TOP登录用户。</v>
      </c>
      <c r="H405" s="15" t="str">
        <f>IFERROR(__xludf.DUMMYFUNCTION("GOOGLETRANSLATE(E405,""en"",""fr"")"),"Utiliser uniquement pour l'utilisateur de connexion à droite dans la zone d'en-tête.")</f>
        <v>Utiliser uniquement pour l'utilisateur de connexion à droite dans la zone d'en-tête.</v>
      </c>
      <c r="I405" s="15" t="str">
        <f>IFERROR(__xludf.DUMMYFUNCTION("GOOGLETRANSLATE(E405,""en"",""de"")"),"Verwenden Sie nur für den Right-Top-Anbieterbenutzer in der Header-Zone.")</f>
        <v>Verwenden Sie nur für den Right-Top-Anbieterbenutzer in der Header-Zone.</v>
      </c>
    </row>
    <row r="406">
      <c r="A406" s="15" t="s">
        <v>548</v>
      </c>
      <c r="B406" s="15" t="s">
        <v>686</v>
      </c>
      <c r="C406" s="15" t="s">
        <v>92</v>
      </c>
      <c r="D406" s="15" t="s">
        <v>12</v>
      </c>
      <c r="E406" s="15" t="s">
        <v>557</v>
      </c>
      <c r="F406" s="15" t="str">
        <f>IFERROR(__xludf.DUMMYFUNCTION("GOOGLETRANSLATE(E406,""en"", ""ja"")"),"[Range Picker]：選択したすべての日付をクリアする必要があります")</f>
        <v>[Range Picker]：選択したすべての日付をクリアする必要があります</v>
      </c>
      <c r="G406" s="15" t="str">
        <f>IFERROR(__xludf.DUMMYFUNCTION("GOOGLETRANSLATE(E406,""en"",""zh-cn"")"),"[范围选择器]：清除应清除所有选定的日期")</f>
        <v>[范围选择器]：清除应清除所有选定的日期</v>
      </c>
      <c r="H406" s="15" t="str">
        <f>IFERROR(__xludf.DUMMYFUNCTION("GOOGLETRANSLATE(E406,""en"",""fr"")"),"[Picker de gamme]: Clear devrait effacer toutes les dates sélectionnées")</f>
        <v>[Picker de gamme]: Clear devrait effacer toutes les dates sélectionnées</v>
      </c>
      <c r="I406" s="15" t="str">
        <f>IFERROR(__xludf.DUMMYFUNCTION("GOOGLETRANSLATE(E406,""en"",""de"")"),"[Range Picker]: Clear sollte alle ausgewählten Daten löschen")</f>
        <v>[Range Picker]: Clear sollte alle ausgewählten Daten löschen</v>
      </c>
    </row>
    <row r="407">
      <c r="A407" s="15" t="s">
        <v>548</v>
      </c>
      <c r="B407" s="15" t="s">
        <v>687</v>
      </c>
      <c r="C407" s="15" t="s">
        <v>92</v>
      </c>
      <c r="D407" s="15" t="s">
        <v>12</v>
      </c>
      <c r="E407" s="15" t="s">
        <v>559</v>
      </c>
      <c r="F407" s="15" t="str">
        <f>IFERROR(__xludf.DUMMYFUNCTION("GOOGLETRANSLATE(E407,""en"", ""ja"")"),"タイムピッカーバグ")</f>
        <v>タイムピッカーバグ</v>
      </c>
      <c r="G407" s="15" t="str">
        <f>IFERROR(__xludf.DUMMYFUNCTION("GOOGLETRANSLATE(E407,""en"",""zh-cn"")"),"时间选择器错误")</f>
        <v>时间选择器错误</v>
      </c>
      <c r="H407" s="15" t="str">
        <f>IFERROR(__xludf.DUMMYFUNCTION("GOOGLETRANSLATE(E407,""en"",""fr"")"),"Bug de sélecteur de temps")</f>
        <v>Bug de sélecteur de temps</v>
      </c>
      <c r="I407" s="15" t="str">
        <f>IFERROR(__xludf.DUMMYFUNCTION("GOOGLETRANSLATE(E407,""en"",""de"")"),"Zeitpicker -Fehler")</f>
        <v>Zeitpicker -Fehler</v>
      </c>
    </row>
    <row r="408">
      <c r="A408" s="15" t="s">
        <v>548</v>
      </c>
      <c r="B408" s="15" t="s">
        <v>688</v>
      </c>
      <c r="C408" s="15" t="s">
        <v>92</v>
      </c>
      <c r="D408" s="15" t="s">
        <v>12</v>
      </c>
      <c r="E408" s="15" t="s">
        <v>561</v>
      </c>
      <c r="F408" s="15" t="str">
        <f>IFERROR(__xludf.DUMMYFUNCTION("GOOGLETRANSLATE(E408,""en"", ""ja"")"),"ナビゲーションは、ナビゲーションアイテムの統一アイコンスコープを設定する必要があります")</f>
        <v>ナビゲーションは、ナビゲーションアイテムの統一アイコンスコープを設定する必要があります</v>
      </c>
      <c r="G408" s="15" t="str">
        <f>IFERROR(__xludf.DUMMYFUNCTION("GOOGLETRANSLATE(E408,""en"",""zh-cn"")"),"导航应设置导航项目的统一图标范围")</f>
        <v>导航应设置导航项目的统一图标范围</v>
      </c>
      <c r="H408" s="15" t="str">
        <f>IFERROR(__xludf.DUMMYFUNCTION("GOOGLETRANSLATE(E408,""en"",""fr"")"),"La navigation doit définir une portée d'icône unifiée pour l'élément de navigation")</f>
        <v>La navigation doit définir une portée d'icône unifiée pour l'élément de navigation</v>
      </c>
      <c r="I408" s="15" t="str">
        <f>IFERROR(__xludf.DUMMYFUNCTION("GOOGLETRANSLATE(E408,""en"",""de"")"),"Die Navigation sollte einen einheitlichen Symbolbereich für Navigationselement festlegen")</f>
        <v>Die Navigation sollte einen einheitlichen Symbolbereich für Navigationselement festlegen</v>
      </c>
    </row>
    <row r="409">
      <c r="A409" s="15" t="s">
        <v>548</v>
      </c>
      <c r="B409" s="15" t="s">
        <v>689</v>
      </c>
      <c r="C409" s="15" t="s">
        <v>92</v>
      </c>
      <c r="D409" s="15" t="s">
        <v>12</v>
      </c>
      <c r="E409" s="15" t="s">
        <v>563</v>
      </c>
      <c r="F409" s="15" t="str">
        <f>IFERROR(__xludf.DUMMYFUNCTION("GOOGLETRANSLATE(E409,""en"", ""ja"")"),"[日付範囲（推奨）]フォーカスを失うことはできません")</f>
        <v>[日付範囲（推奨）]フォーカスを失うことはできません</v>
      </c>
      <c r="G409" s="15" t="str">
        <f>IFERROR(__xludf.DUMMYFUNCTION("GOOGLETRANSLATE(E409,""en"",""zh-cn"")"),"[日期范围（推荐）]不能失去焦点")</f>
        <v>[日期范围（推荐）]不能失去焦点</v>
      </c>
      <c r="H409" s="15" t="str">
        <f>IFERROR(__xludf.DUMMYFUNCTION("GOOGLETRANSLATE(E409,""en"",""fr"")"),"[Plage de dates (recommandée)] ne peut pas perdre focus")</f>
        <v>[Plage de dates (recommandée)] ne peut pas perdre focus</v>
      </c>
      <c r="I409" s="15" t="str">
        <f>IFERROR(__xludf.DUMMYFUNCTION("GOOGLETRANSLATE(E409,""en"",""de"")"),"[Datumsbereich (empfohlen)] kann den Fokus nicht verlieren")</f>
        <v>[Datumsbereich (empfohlen)] kann den Fokus nicht verlieren</v>
      </c>
    </row>
    <row r="410">
      <c r="A410" s="15" t="s">
        <v>548</v>
      </c>
      <c r="B410" s="15" t="s">
        <v>690</v>
      </c>
      <c r="C410" s="15" t="s">
        <v>92</v>
      </c>
      <c r="D410" s="15" t="s">
        <v>12</v>
      </c>
      <c r="E410" s="15" t="s">
        <v>565</v>
      </c>
      <c r="F410" s="15" t="str">
        <f>IFERROR(__xludf.DUMMYFUNCTION("GOOGLETRANSLATE(E410,""en"", ""ja"")"),"ワッフルアイテムはボタンIDを追加する必要があります")</f>
        <v>ワッフルアイテムはボタンIDを追加する必要があります</v>
      </c>
      <c r="G410" s="15" t="str">
        <f>IFERROR(__xludf.DUMMYFUNCTION("GOOGLETRANSLATE(E410,""en"",""zh-cn"")"),"华夫饼项目应添加按钮ID")</f>
        <v>华夫饼项目应添加按钮ID</v>
      </c>
      <c r="H410" s="15" t="str">
        <f>IFERROR(__xludf.DUMMYFUNCTION("GOOGLETRANSLATE(E410,""en"",""fr"")"),"L'élément de gaufre doit ajouter l'ID de bouton")</f>
        <v>L'élément de gaufre doit ajouter l'ID de bouton</v>
      </c>
      <c r="I410" s="15" t="str">
        <f>IFERROR(__xludf.DUMMYFUNCTION("GOOGLETRANSLATE(E410,""en"",""de"")"),"Waffelelement sollte die Schaltflächen -ID hinzufügen")</f>
        <v>Waffelelement sollte die Schaltflächen -ID hinzufügen</v>
      </c>
    </row>
    <row r="411">
      <c r="A411" s="15" t="s">
        <v>548</v>
      </c>
      <c r="B411" s="15" t="s">
        <v>691</v>
      </c>
      <c r="C411" s="15" t="s">
        <v>92</v>
      </c>
      <c r="D411" s="15" t="s">
        <v>12</v>
      </c>
      <c r="E411" s="15" t="s">
        <v>567</v>
      </c>
      <c r="F411" s="15" t="str">
        <f>IFERROR(__xludf.DUMMYFUNCTION("GOOGLETRANSLATE(E411,""en"", ""ja"")"),"[結果を検索しない]デモを選択する必要があります")</f>
        <v>[結果を検索しない]デモを選択する必要があります</v>
      </c>
      <c r="G411" s="15" t="str">
        <f>IFERROR(__xludf.DUMMYFUNCTION("GOOGLETRANSLATE(E411,""en"",""zh-cn"")"),"选择应添加“搜索无结果”演示")</f>
        <v>选择应添加“搜索无结果”演示</v>
      </c>
      <c r="H411" s="15" t="str">
        <f>IFERROR(__xludf.DUMMYFUNCTION("GOOGLETRANSLATE(E411,""en"",""fr"")"),"Sélectionner doit ajouter une démo «recherche sans résultats»")</f>
        <v>Sélectionner doit ajouter une démo «recherche sans résultats»</v>
      </c>
      <c r="I411" s="15" t="str">
        <f>IFERROR(__xludf.DUMMYFUNCTION("GOOGLETRANSLATE(E411,""en"",""de"")"),"Wählen Sie die Demo ""Suchen Sie keine Ergebnisse durch")</f>
        <v>Wählen Sie die Demo "Suchen Sie keine Ergebnisse durch</v>
      </c>
    </row>
    <row r="412">
      <c r="A412" s="15" t="s">
        <v>548</v>
      </c>
      <c r="B412" s="15" t="s">
        <v>692</v>
      </c>
      <c r="C412" s="15" t="s">
        <v>92</v>
      </c>
      <c r="D412" s="15" t="s">
        <v>12</v>
      </c>
      <c r="E412" s="15" t="s">
        <v>569</v>
      </c>
      <c r="F412" s="15" t="str">
        <f>IFERROR(__xludf.DUMMYFUNCTION("GOOGLETRANSLATE(E412,""en"", ""ja"")"),"[選択]では矢印障害者の色は正しくありません")</f>
        <v>[選択]では矢印障害者の色は正しくありません</v>
      </c>
      <c r="G412" s="15" t="str">
        <f>IFERROR(__xludf.DUMMYFUNCTION("GOOGLETRANSLATE(E412,""en"",""zh-cn"")"),"箭头禁用的颜色在[SELECT]中是不正确的")</f>
        <v>箭头禁用的颜色在[SELECT]中是不正确的</v>
      </c>
      <c r="H412" s="15" t="str">
        <f>IFERROR(__xludf.DUMMYFUNCTION("GOOGLETRANSLATE(E412,""en"",""fr"")"),"La couleur désactivée de la flèche n'est pas correcte dans [SELECT]")</f>
        <v>La couleur désactivée de la flèche n'est pas correcte dans [SELECT]</v>
      </c>
      <c r="I412" s="15" t="str">
        <f>IFERROR(__xludf.DUMMYFUNCTION("GOOGLETRANSLATE(E412,""en"",""de"")"),"Die behinderte Farbe der Pfeile ist in [SELECT] nicht korrekt")</f>
        <v>Die behinderte Farbe der Pfeile ist in [SELECT] nicht korrekt</v>
      </c>
    </row>
    <row r="413">
      <c r="A413" s="15" t="s">
        <v>548</v>
      </c>
      <c r="B413" s="15" t="s">
        <v>693</v>
      </c>
      <c r="C413" s="15" t="s">
        <v>92</v>
      </c>
      <c r="D413" s="15" t="s">
        <v>12</v>
      </c>
      <c r="E413" s="15" t="s">
        <v>571</v>
      </c>
      <c r="F413" s="15" t="str">
        <f>IFERROR(__xludf.DUMMYFUNCTION("GOOGLETRANSLATE(E413,""en"", ""ja"")"),"クリックすると、Unread Unreadバッジが移動します")</f>
        <v>クリックすると、Unread Unreadバッジが移動します</v>
      </c>
      <c r="G413" s="15" t="str">
        <f>IFERROR(__xludf.DUMMYFUNCTION("GOOGLETRANSLATE(E413,""en"",""zh-cn"")"),"单击时弹出式未读徽章移动")</f>
        <v>单击时弹出式未读徽章移动</v>
      </c>
      <c r="H413" s="15" t="str">
        <f>IFERROR(__xludf.DUMMYFUNCTION("GOOGLETRANSLATE(E413,""en"",""fr"")"),"Badge non lu en popover se déplace en cliquant")</f>
        <v>Badge non lu en popover se déplace en cliquant</v>
      </c>
      <c r="I413" s="15" t="str">
        <f>IFERROR(__xludf.DUMMYFUNCTION("GOOGLETRANSLATE(E413,""en"",""de"")"),"Popover ungelesene Abzeichen bewegt sich beim Klicken")</f>
        <v>Popover ungelesene Abzeichen bewegt sich beim Klicken</v>
      </c>
    </row>
    <row r="414">
      <c r="A414" s="15" t="s">
        <v>548</v>
      </c>
      <c r="B414" s="15" t="s">
        <v>694</v>
      </c>
      <c r="C414" s="15" t="s">
        <v>92</v>
      </c>
      <c r="D414" s="15" t="s">
        <v>12</v>
      </c>
      <c r="E414" s="15" t="s">
        <v>573</v>
      </c>
      <c r="F414" s="15" t="str">
        <f>IFERROR(__xludf.DUMMYFUNCTION("GOOGLETRANSLATE(E414,""en"", ""ja"")"),"小さなスイッチパディングは正しくありません")</f>
        <v>小さなスイッチパディングは正しくありません</v>
      </c>
      <c r="G414" s="15" t="str">
        <f>IFERROR(__xludf.DUMMYFUNCTION("GOOGLETRANSLATE(E414,""en"",""zh-cn"")"),"小开关填充不正确")</f>
        <v>小开关填充不正确</v>
      </c>
      <c r="H414" s="15" t="str">
        <f>IFERROR(__xludf.DUMMYFUNCTION("GOOGLETRANSLATE(E414,""en"",""fr"")"),"Le rembourrage de petit interrupteur n'est pas correct")</f>
        <v>Le rembourrage de petit interrupteur n'est pas correct</v>
      </c>
      <c r="I414" s="15" t="str">
        <f>IFERROR(__xludf.DUMMYFUNCTION("GOOGLETRANSLATE(E414,""en"",""de"")"),"Kleine Schalterpolsterung ist nicht korrekt")</f>
        <v>Kleine Schalterpolsterung ist nicht korrekt</v>
      </c>
    </row>
    <row r="415">
      <c r="A415" s="15" t="s">
        <v>548</v>
      </c>
      <c r="B415" s="15" t="s">
        <v>695</v>
      </c>
      <c r="C415" s="15" t="s">
        <v>92</v>
      </c>
      <c r="D415" s="15" t="s">
        <v>12</v>
      </c>
      <c r="E415" s="15" t="s">
        <v>575</v>
      </c>
      <c r="F415" s="15" t="str">
        <f>IFERROR(__xludf.DUMMYFUNCTION("GOOGLETRANSLATE(E415,""en"", ""ja"")"),"列アイコンを更新します")</f>
        <v>列アイコンを更新します</v>
      </c>
      <c r="G415" s="15" t="str">
        <f>IFERROR(__xludf.DUMMYFUNCTION("GOOGLETRANSLATE(E415,""en"",""zh-cn"")"),"更新列图标")</f>
        <v>更新列图标</v>
      </c>
      <c r="H415" s="15" t="str">
        <f>IFERROR(__xludf.DUMMYFUNCTION("GOOGLETRANSLATE(E415,""en"",""fr"")"),"Icône de mise à jour des colonnes")</f>
        <v>Icône de mise à jour des colonnes</v>
      </c>
      <c r="I415" s="15" t="str">
        <f>IFERROR(__xludf.DUMMYFUNCTION("GOOGLETRANSLATE(E415,""en"",""de"")"),"Das Symbol der Spalten aktualisieren")</f>
        <v>Das Symbol der Spalten aktualisieren</v>
      </c>
    </row>
    <row r="416">
      <c r="A416" s="15" t="s">
        <v>548</v>
      </c>
      <c r="B416" s="15" t="s">
        <v>696</v>
      </c>
      <c r="C416" s="15" t="s">
        <v>92</v>
      </c>
      <c r="D416" s="15" t="s">
        <v>12</v>
      </c>
      <c r="E416" s="15" t="s">
        <v>577</v>
      </c>
      <c r="F416" s="15" t="str">
        <f>IFERROR(__xludf.DUMMYFUNCTION("GOOGLETRANSLATE(E416,""en"", ""ja"")"),"トーストアイコンはデザインと同じではありません")</f>
        <v>トーストアイコンはデザインと同じではありません</v>
      </c>
      <c r="G416" s="15" t="str">
        <f>IFERROR(__xludf.DUMMYFUNCTION("GOOGLETRANSLATE(E416,""en"",""zh-cn"")"),"吐司图标与设计不一样")</f>
        <v>吐司图标与设计不一样</v>
      </c>
      <c r="H416" s="15" t="str">
        <f>IFERROR(__xludf.DUMMYFUNCTION("GOOGLETRANSLATE(E416,""en"",""fr"")"),"L'icône de toast n'est pas la même avec le design")</f>
        <v>L'icône de toast n'est pas la même avec le design</v>
      </c>
      <c r="I416" s="15" t="str">
        <f>IFERROR(__xludf.DUMMYFUNCTION("GOOGLETRANSLATE(E416,""en"",""de"")"),"Toast -Symbol ist mit Design nicht gleich")</f>
        <v>Toast -Symbol ist mit Design nicht gleich</v>
      </c>
    </row>
    <row r="417">
      <c r="A417" s="15" t="s">
        <v>548</v>
      </c>
      <c r="B417" s="15" t="s">
        <v>697</v>
      </c>
      <c r="C417" s="15" t="s">
        <v>92</v>
      </c>
      <c r="D417" s="15" t="s">
        <v>12</v>
      </c>
      <c r="E417" s="15" t="s">
        <v>579</v>
      </c>
      <c r="F417" s="15" t="str">
        <f>IFERROR(__xludf.DUMMYFUNCTION("GOOGLETRANSLATE(E417,""en"", ""ja"")"),"複数のファイルアップローダーに名前を変更します")</f>
        <v>複数のファイルアップローダーに名前を変更します</v>
      </c>
      <c r="G417" s="15" t="str">
        <f>IFERROR(__xludf.DUMMYFUNCTION("GOOGLETRANSLATE(E417,""en"",""zh-cn"")"),"重命名为多个文件上传器")</f>
        <v>重命名为多个文件上传器</v>
      </c>
      <c r="H417" s="15" t="str">
        <f>IFERROR(__xludf.DUMMYFUNCTION("GOOGLETRANSLATE(E417,""en"",""fr"")"),"Renommer le téléchargeur de fichiers multiples")</f>
        <v>Renommer le téléchargeur de fichiers multiples</v>
      </c>
      <c r="I417" s="15" t="str">
        <f>IFERROR(__xludf.DUMMYFUNCTION("GOOGLETRANSLATE(E417,""en"",""de"")"),"Benennen Sie in mehreren Datei -Uploader um")</f>
        <v>Benennen Sie in mehreren Datei -Uploader um</v>
      </c>
    </row>
    <row r="418">
      <c r="A418" s="15" t="s">
        <v>548</v>
      </c>
      <c r="B418" s="15" t="s">
        <v>698</v>
      </c>
      <c r="C418" s="15" t="s">
        <v>92</v>
      </c>
      <c r="D418" s="15" t="s">
        <v>12</v>
      </c>
      <c r="E418" s="15" t="s">
        <v>581</v>
      </c>
      <c r="F418" s="15" t="str">
        <f>IFERROR(__xludf.DUMMYFUNCTION("GOOGLETRANSLATE(E418,""en"", ""ja"")"),"タイポグラフィは14px-boldフォントの例を追加します。")</f>
        <v>タイポグラフィは14px-boldフォントの例を追加します。</v>
      </c>
      <c r="G418" s="15" t="str">
        <f>IFERROR(__xludf.DUMMYFUNCTION("GOOGLETRANSLATE(E418,""en"",""zh-cn"")"),"排版添加14px-粗体字体示例。")</f>
        <v>排版添加14px-粗体字体示例。</v>
      </c>
      <c r="H418" s="15" t="str">
        <f>IFERROR(__xludf.DUMMYFUNCTION("GOOGLETRANSLATE(E418,""en"",""fr"")"),"Typographie Ajoutez un exemple de police 14px-bold.")</f>
        <v>Typographie Ajoutez un exemple de police 14px-bold.</v>
      </c>
      <c r="I418" s="15" t="str">
        <f>IFERROR(__xludf.DUMMYFUNCTION("GOOGLETRANSLATE(E418,""en"",""de"")"),"Typografie Fügen Sie 14px-fettes Schriftbeispiel hinzu.")</f>
        <v>Typografie Fügen Sie 14px-fettes Schriftbeispiel hinzu.</v>
      </c>
    </row>
    <row r="419">
      <c r="A419" s="15" t="s">
        <v>548</v>
      </c>
      <c r="B419" s="15" t="s">
        <v>699</v>
      </c>
      <c r="C419" s="15" t="s">
        <v>92</v>
      </c>
      <c r="D419" s="15" t="s">
        <v>12</v>
      </c>
      <c r="E419" s="15" t="s">
        <v>583</v>
      </c>
      <c r="F419" s="15" t="str">
        <f>IFERROR(__xludf.DUMMYFUNCTION("GOOGLETRANSLATE(E419,""en"", ""ja"")"),"エクスパンダー第1レベルのフォントは14pxに変更されます。太字")</f>
        <v>エクスパンダー第1レベルのフォントは14pxに変更されます。太字</v>
      </c>
      <c r="G419" s="15" t="str">
        <f>IFERROR(__xludf.DUMMYFUNCTION("GOOGLETRANSLATE(E419,""en"",""zh-cn"")"),"扩展器1级字体更改为14px，粗体")</f>
        <v>扩展器1级字体更改为14px，粗体</v>
      </c>
      <c r="H419" s="15" t="str">
        <f>IFERROR(__xludf.DUMMYFUNCTION("GOOGLETRANSLATE(E419,""en"",""fr"")"),"Expanseur de 1ère niveau de police à 14px, audacieux")</f>
        <v>Expanseur de 1ère niveau de police à 14px, audacieux</v>
      </c>
      <c r="I419" s="15" t="str">
        <f>IFERROR(__xludf.DUMMYFUNCTION("GOOGLETRANSLATE(E419,""en"",""de"")"),"Expander 1. Stufe Schrift wechselt auf 14px, fett")</f>
        <v>Expander 1. Stufe Schrift wechselt auf 14px, fett</v>
      </c>
    </row>
    <row r="420">
      <c r="A420" s="15" t="s">
        <v>548</v>
      </c>
      <c r="B420" s="15" t="s">
        <v>700</v>
      </c>
      <c r="C420" s="15" t="s">
        <v>92</v>
      </c>
      <c r="D420" s="15" t="s">
        <v>12</v>
      </c>
      <c r="E420" s="15" t="s">
        <v>585</v>
      </c>
      <c r="F420" s="15" t="str">
        <f>IFERROR(__xludf.DUMMYFUNCTION("GOOGLETRANSLATE(E420,""en"", ""ja"")"),"複数のテキストボックスの文字カウンター")</f>
        <v>複数のテキストボックスの文字カウンター</v>
      </c>
      <c r="G420" s="15" t="str">
        <f>IFERROR(__xludf.DUMMYFUNCTION("GOOGLETRANSLATE(E420,""en"",""zh-cn"")"),"多个文本框的字符计数器")</f>
        <v>多个文本框的字符计数器</v>
      </c>
      <c r="H420" s="15" t="str">
        <f>IFERROR(__xludf.DUMMYFUNCTION("GOOGLETRANSLATE(E420,""en"",""fr"")"),"Compteur de caractères pour plusieurs zones de texte")</f>
        <v>Compteur de caractères pour plusieurs zones de texte</v>
      </c>
      <c r="I420" s="15" t="str">
        <f>IFERROR(__xludf.DUMMYFUNCTION("GOOGLETRANSLATE(E420,""en"",""de"")"),"Zeichenzähler für mehrere Textbox")</f>
        <v>Zeichenzähler für mehrere Textbox</v>
      </c>
    </row>
    <row r="421">
      <c r="A421" s="15" t="s">
        <v>548</v>
      </c>
      <c r="B421" s="15" t="s">
        <v>701</v>
      </c>
      <c r="C421" s="15" t="s">
        <v>92</v>
      </c>
      <c r="D421" s="15" t="s">
        <v>12</v>
      </c>
      <c r="E421" s="15" t="s">
        <v>587</v>
      </c>
      <c r="F421" s="15" t="str">
        <f>IFERROR(__xludf.DUMMYFUNCTION("GOOGLETRANSLATE(E421,""en"", ""ja"")"),"ピープルピッカー：左/右矢印キーはコンテンツをクリアしてはいけません")</f>
        <v>ピープルピッカー：左/右矢印キーはコンテンツをクリアしてはいけません</v>
      </c>
      <c r="G421" s="15" t="str">
        <f>IFERROR(__xludf.DUMMYFUNCTION("GOOGLETRANSLATE(E421,""en"",""zh-cn"")"),"People Picker：左/右箭头键不应清除内容")</f>
        <v>People Picker：左/右箭头键不应清除内容</v>
      </c>
      <c r="H421" s="15" t="str">
        <f>IFERROR(__xludf.DUMMYFUNCTION("GOOGLETRANSLATE(E421,""en"",""fr"")"),"Piègeur de personnes: la clé de flèche gauche / droite ne doit pas effacer le contenu")</f>
        <v>Piègeur de personnes: la clé de flèche gauche / droite ne doit pas effacer le contenu</v>
      </c>
      <c r="I421" s="15" t="str">
        <f>IFERROR(__xludf.DUMMYFUNCTION("GOOGLETRANSLATE(E421,""en"",""de"")"),"People Picker: Die linke/rechte Pfeiltaste sollte den Inhalt nicht löschen")</f>
        <v>People Picker: Die linke/rechte Pfeiltaste sollte den Inhalt nicht löschen</v>
      </c>
    </row>
    <row r="422">
      <c r="A422" s="15" t="s">
        <v>548</v>
      </c>
      <c r="B422" s="15" t="s">
        <v>702</v>
      </c>
      <c r="C422" s="15" t="s">
        <v>92</v>
      </c>
      <c r="D422" s="15" t="s">
        <v>12</v>
      </c>
      <c r="E422" s="15" t="s">
        <v>589</v>
      </c>
      <c r="F422" s="15" t="str">
        <f>IFERROR(__xludf.DUMMYFUNCTION("GOOGLETRANSLATE(E422,""en"", ""ja"")"),"モーダルの間隔は正確ではありません")</f>
        <v>モーダルの間隔は正確ではありません</v>
      </c>
      <c r="G422" s="15" t="str">
        <f>IFERROR(__xludf.DUMMYFUNCTION("GOOGLETRANSLATE(E422,""en"",""zh-cn"")"),"模态间距不准确")</f>
        <v>模态间距不准确</v>
      </c>
      <c r="H422" s="15" t="str">
        <f>IFERROR(__xludf.DUMMYFUNCTION("GOOGLETRANSLATE(E422,""en"",""fr"")"),"L'espacement dans le modal n'est pas précis")</f>
        <v>L'espacement dans le modal n'est pas précis</v>
      </c>
      <c r="I422" s="15" t="str">
        <f>IFERROR(__xludf.DUMMYFUNCTION("GOOGLETRANSLATE(E422,""en"",""de"")"),"Der Abstand in Modal ist nicht genau")</f>
        <v>Der Abstand in Modal ist nicht genau</v>
      </c>
    </row>
    <row r="423">
      <c r="A423" s="15" t="s">
        <v>548</v>
      </c>
      <c r="B423" s="15" t="s">
        <v>703</v>
      </c>
      <c r="C423" s="15" t="s">
        <v>92</v>
      </c>
      <c r="D423" s="15" t="s">
        <v>12</v>
      </c>
      <c r="E423" s="15" t="s">
        <v>591</v>
      </c>
      <c r="F423" s="15" t="str">
        <f>IFERROR(__xludf.DUMMYFUNCTION("GOOGLETRANSLATE(E423,""en"", ""ja"")"),"タイマーピッカーフォーカスボーダーは不完全に表示されます。")</f>
        <v>タイマーピッカーフォーカスボーダーは不完全に表示されます。</v>
      </c>
      <c r="G423" s="15" t="str">
        <f>IFERROR(__xludf.DUMMYFUNCTION("GOOGLETRANSLATE(E423,""en"",""zh-cn"")"),"计时器选择器焦点边界不完全显示。")</f>
        <v>计时器选择器焦点边界不完全显示。</v>
      </c>
      <c r="H423" s="15" t="str">
        <f>IFERROR(__xludf.DUMMYFUNCTION("GOOGLETRANSLATE(E423,""en"",""fr"")"),"La frontière de Picker Focus Timer est incomplète.")</f>
        <v>La frontière de Picker Focus Timer est incomplète.</v>
      </c>
      <c r="I423" s="15" t="str">
        <f>IFERROR(__xludf.DUMMYFUNCTION("GOOGLETRANSLATE(E423,""en"",""de"")"),"Timer Picker Focus Border zeigt unvollständig.")</f>
        <v>Timer Picker Focus Border zeigt unvollständig.</v>
      </c>
    </row>
    <row r="424">
      <c r="A424" s="15" t="s">
        <v>548</v>
      </c>
      <c r="B424" s="15" t="s">
        <v>704</v>
      </c>
      <c r="C424" s="15" t="s">
        <v>92</v>
      </c>
      <c r="D424" s="15" t="s">
        <v>12</v>
      </c>
      <c r="E424" s="15" t="s">
        <v>593</v>
      </c>
      <c r="F424" s="15" t="str">
        <f>IFERROR(__xludf.DUMMYFUNCTION("GOOGLETRANSLATE(E424,""en"", ""ja"")"),"ウィザードステップは中心に配置する必要があります")</f>
        <v>ウィザードステップは中心に配置する必要があります</v>
      </c>
      <c r="G424" s="15" t="str">
        <f>IFERROR(__xludf.DUMMYFUNCTION("GOOGLETRANSLATE(E424,""en"",""zh-cn"")"),"向导的步骤应为中心")</f>
        <v>向导的步骤应为中心</v>
      </c>
      <c r="H424" s="15" t="str">
        <f>IFERROR(__xludf.DUMMYFUNCTION("GOOGLETRANSLATE(E424,""en"",""fr"")"),"L'étape de l'assistant doit être alignée au centre")</f>
        <v>L'étape de l'assistant doit être alignée au centre</v>
      </c>
      <c r="I424" s="15" t="str">
        <f>IFERROR(__xludf.DUMMYFUNCTION("GOOGLETRANSLATE(E424,""en"",""de"")"),"Assistentenschritt sollte in der Mitte ausgerichtet sein")</f>
        <v>Assistentenschritt sollte in der Mitte ausgerichtet sein</v>
      </c>
    </row>
    <row r="425">
      <c r="A425" s="15" t="s">
        <v>548</v>
      </c>
      <c r="B425" s="15" t="s">
        <v>705</v>
      </c>
      <c r="C425" s="15" t="s">
        <v>92</v>
      </c>
      <c r="D425" s="15" t="s">
        <v>12</v>
      </c>
      <c r="E425" s="15" t="s">
        <v>595</v>
      </c>
      <c r="F425" s="15" t="str">
        <f>IFERROR(__xludf.DUMMYFUNCTION("GOOGLETRANSLATE(E425,""en"", ""ja"")"),"読み込みは、実際のコンテンツサイズに適合する必要があります")</f>
        <v>読み込みは、実際のコンテンツサイズに適合する必要があります</v>
      </c>
      <c r="G425" s="15" t="str">
        <f>IFERROR(__xludf.DUMMYFUNCTION("GOOGLETRANSLATE(E425,""en"",""zh-cn"")"),"加载需要适合实际内容大小")</f>
        <v>加载需要适合实际内容大小</v>
      </c>
      <c r="H425" s="15" t="str">
        <f>IFERROR(__xludf.DUMMYFUNCTION("GOOGLETRANSLATE(E425,""en"",""fr"")"),"Le chargement doit s'adapter à la taille réelle du contenu")</f>
        <v>Le chargement doit s'adapter à la taille réelle du contenu</v>
      </c>
      <c r="I425" s="15" t="str">
        <f>IFERROR(__xludf.DUMMYFUNCTION("GOOGLETRANSLATE(E425,""en"",""de"")"),"Das Laden muss in die tatsächliche Inhaltsgröße passen")</f>
        <v>Das Laden muss in die tatsächliche Inhaltsgröße passen</v>
      </c>
    </row>
    <row r="426">
      <c r="A426" s="15" t="s">
        <v>548</v>
      </c>
      <c r="B426" s="15" t="s">
        <v>706</v>
      </c>
      <c r="C426" s="15" t="s">
        <v>92</v>
      </c>
      <c r="D426" s="15" t="s">
        <v>12</v>
      </c>
      <c r="E426" s="15" t="s">
        <v>597</v>
      </c>
      <c r="F426" s="15" t="str">
        <f>IFERROR(__xludf.DUMMYFUNCTION("GOOGLETRANSLATE(E426,""en"", ""ja"")"),"日付の範囲は、年のビューをクリックしながら月ビューに変更されます")</f>
        <v>日付の範囲は、年のビューをクリックしながら月ビューに変更されます</v>
      </c>
      <c r="G426" s="15" t="str">
        <f>IFERROR(__xludf.DUMMYFUNCTION("GOOGLETRANSLATE(E426,""en"",""zh-cn"")"),"单击年度视图时，日期范围更改为月视图")</f>
        <v>单击年度视图时，日期范围更改为月视图</v>
      </c>
      <c r="H426" s="15" t="str">
        <f>IFERROR(__xludf.DUMMYFUNCTION("GOOGLETRANSLATE(E426,""en"",""fr"")"),"DATE RANGETS PLAGE A Voir le mois en cliquant sur Affichage de l'année")</f>
        <v>DATE RANGETS PLAGE A Voir le mois en cliquant sur Affichage de l'année</v>
      </c>
      <c r="I426" s="15" t="str">
        <f>IFERROR(__xludf.DUMMYFUNCTION("GOOGLETRANSLATE(E426,""en"",""de"")"),"Änderungen des Datumsbereichs bis zur Monatsansicht beim Klicken auf Jahresansicht")</f>
        <v>Änderungen des Datumsbereichs bis zur Monatsansicht beim Klicken auf Jahresansicht</v>
      </c>
    </row>
    <row r="427">
      <c r="A427" s="15" t="s">
        <v>548</v>
      </c>
      <c r="B427" s="15" t="s">
        <v>707</v>
      </c>
      <c r="C427" s="15" t="s">
        <v>92</v>
      </c>
      <c r="D427" s="15" t="s">
        <v>12</v>
      </c>
      <c r="E427" s="15" t="s">
        <v>599</v>
      </c>
      <c r="F427" s="15" t="str">
        <f>IFERROR(__xludf.DUMMYFUNCTION("GOOGLETRANSLATE(E427,""en"", ""ja"")"),"ピープルピッカーリスト：2番目のレベルのフォントは、クリック後に白に変わります。")</f>
        <v>ピープルピッカーリスト：2番目のレベルのフォントは、クリック後に白に変わります。</v>
      </c>
      <c r="G427" s="15" t="str">
        <f>IFERROR(__xludf.DUMMYFUNCTION("GOOGLETRANSLATE(E427,""en"",""zh-cn"")"),"People Picker列表：单击后，第二级字体将变成白色。")</f>
        <v>People Picker列表：单击后，第二级字体将变成白色。</v>
      </c>
      <c r="H427" s="15" t="str">
        <f>IFERROR(__xludf.DUMMYFUNCTION("GOOGLETRANSLATE(E427,""en"",""fr"")"),"Liste des cueilleurs de personnes: la police du deuxième niveau se transformera en blanc après le clic.")</f>
        <v>Liste des cueilleurs de personnes: la police du deuxième niveau se transformera en blanc après le clic.</v>
      </c>
      <c r="I427" s="15" t="str">
        <f>IFERROR(__xludf.DUMMYFUNCTION("GOOGLETRANSLATE(E427,""en"",""de"")"),"People Picker List: Die zweite Schriftart wird nach dem Klick in Weiß verwandelt.")</f>
        <v>People Picker List: Die zweite Schriftart wird nach dem Klick in Weiß verwandelt.</v>
      </c>
    </row>
    <row r="428">
      <c r="A428" s="15" t="s">
        <v>548</v>
      </c>
      <c r="B428" s="15" t="s">
        <v>708</v>
      </c>
      <c r="C428" s="15" t="s">
        <v>92</v>
      </c>
      <c r="D428" s="15" t="s">
        <v>12</v>
      </c>
      <c r="E428" s="15" t="s">
        <v>601</v>
      </c>
      <c r="F428" s="15" t="str">
        <f>IFERROR(__xludf.DUMMYFUNCTION("GOOGLETRANSLATE(E428,""en"", ""ja"")"),"ディバイダーラインには、モーダル/ポップアップ内のスルーラインではなく、左右のパディングが必要です")</f>
        <v>ディバイダーラインには、モーダル/ポップアップ内のスルーラインではなく、左右のパディングが必要です</v>
      </c>
      <c r="G428" s="15" t="str">
        <f>IFERROR(__xludf.DUMMYFUNCTION("GOOGLETRANSLATE(E428,""en"",""zh-cn"")"),"分隔线应具有左右填充")</f>
        <v>分隔线应具有左右填充</v>
      </c>
      <c r="H428" s="15" t="str">
        <f>IFERROR(__xludf.DUMMYFUNCTION("GOOGLETRANSLATE(E428,""en"",""fr"")"),"La ligne de diviseur devrait avoir un rembourrage gauche et droit, au lieu d'une ligne à travers un modal / popup")</f>
        <v>La ligne de diviseur devrait avoir un rembourrage gauche et droit, au lieu d'une ligne à travers un modal / popup</v>
      </c>
      <c r="I428" s="15" t="str">
        <f>IFERROR(__xludf.DUMMYFUNCTION("GOOGLETRANSLATE(E428,""en"",""de"")"),"Die Trennlinie sollte eine linke und die rechte Polsterung anstelle einer Durchgangszeile innerhalb eines Modal/Popups haben müssen")</f>
        <v>Die Trennlinie sollte eine linke und die rechte Polsterung anstelle einer Durchgangszeile innerhalb eines Modal/Popups haben müssen</v>
      </c>
    </row>
    <row r="429">
      <c r="A429" s="15" t="s">
        <v>548</v>
      </c>
      <c r="B429" s="15" t="s">
        <v>709</v>
      </c>
      <c r="C429" s="15" t="s">
        <v>92</v>
      </c>
      <c r="D429" s="15" t="s">
        <v>12</v>
      </c>
      <c r="E429" s="15" t="s">
        <v>603</v>
      </c>
      <c r="F429" s="15" t="str">
        <f>IFERROR(__xludf.DUMMYFUNCTION("GOOGLETRANSLATE(E429,""en"", ""ja"")"),"ダイアログタイトルパディングボトムは24pxでなければなりません")</f>
        <v>ダイアログタイトルパディングボトムは24pxでなければなりません</v>
      </c>
      <c r="G429" s="15" t="str">
        <f>IFERROR(__xludf.DUMMYFUNCTION("GOOGLETRANSLATE(E429,""en"",""zh-cn"")"),"对话框标题填充应为24px")</f>
        <v>对话框标题填充应为24px</v>
      </c>
      <c r="H429" s="15" t="str">
        <f>IFERROR(__xludf.DUMMYFUNCTION("GOOGLETRANSLATE(E429,""en"",""fr"")"),"Titre de dialogue Padding-Bottom devrait être 24px")</f>
        <v>Titre de dialogue Padding-Bottom devrait être 24px</v>
      </c>
      <c r="I429" s="15" t="str">
        <f>IFERROR(__xludf.DUMMYFUNCTION("GOOGLETRANSLATE(E429,""en"",""de"")"),"Dialog Titel Padding-Bottom sollte 24px sein")</f>
        <v>Dialog Titel Padding-Bottom sollte 24px sein</v>
      </c>
    </row>
    <row r="430">
      <c r="A430" s="15" t="s">
        <v>548</v>
      </c>
      <c r="B430" s="15" t="s">
        <v>710</v>
      </c>
      <c r="C430" s="15" t="s">
        <v>92</v>
      </c>
      <c r="D430" s="15" t="s">
        <v>12</v>
      </c>
      <c r="E430" s="15" t="s">
        <v>605</v>
      </c>
      <c r="F430" s="15" t="str">
        <f>IFERROR(__xludf.DUMMYFUNCTION("GOOGLETRANSLATE(E430,""en"", ""ja"")"),"新しいスタイルの問題")</f>
        <v>新しいスタイルの問題</v>
      </c>
      <c r="G430" s="15" t="str">
        <f>IFERROR(__xludf.DUMMYFUNCTION("GOOGLETRANSLATE(E430,""en"",""zh-cn"")"),"扩展新样式问题")</f>
        <v>扩展新样式问题</v>
      </c>
      <c r="H430" s="15" t="str">
        <f>IFERROR(__xludf.DUMMYFUNCTION("GOOGLETRANSLATE(E430,""en"",""fr"")"),"Expander de nouveaux problèmes de style")</f>
        <v>Expander de nouveaux problèmes de style</v>
      </c>
      <c r="I430" s="15" t="str">
        <f>IFERROR(__xludf.DUMMYFUNCTION("GOOGLETRANSLATE(E430,""en"",""de"")"),"Expander neuer Stilprobleme")</f>
        <v>Expander neuer Stilprobleme</v>
      </c>
    </row>
    <row r="431">
      <c r="A431" s="15" t="s">
        <v>548</v>
      </c>
      <c r="B431" s="15" t="s">
        <v>711</v>
      </c>
      <c r="C431" s="15" t="s">
        <v>92</v>
      </c>
      <c r="D431" s="15" t="s">
        <v>12</v>
      </c>
      <c r="E431" s="15" t="s">
        <v>607</v>
      </c>
      <c r="F431" s="15" t="str">
        <f>IFERROR(__xludf.DUMMYFUNCTION("GOOGLETRANSLATE(E431,""en"", ""ja"")"),"[毎日のスキャン時間を2回有効にする]をクリックします。時間のスクロールバーが引き下げられません。時間：6〜11は選択できません")</f>
        <v>[毎日のスキャン時間を2回有効にする]をクリックします。時間のスクロールバーが引き下げられません。時間：6〜11は選択できません</v>
      </c>
      <c r="G431" s="15" t="str">
        <f>IFERROR(__xludf.DUMMYFUNCTION("GOOGLETRANSLATE(E431,""en"",""zh-cn"")"),"点击启用每日扫描时间两次，小时的滚动条无法下拉，小时：6-11无法选择")</f>
        <v>点击启用每日扫描时间两次，小时的滚动条无法下拉，小时：6-11无法选择</v>
      </c>
      <c r="H431" s="15" t="str">
        <f>IFERROR(__xludf.DUMMYFUNCTION("GOOGLETRANSLATE(E431,""en"",""fr"")"),"Cliquez sur Activer le temps de balayage quotidien deux fois, la barre de défilement des heures ne peut pas se baisser, heures: 6-11 ne peut pas être sélectionnée")</f>
        <v>Cliquez sur Activer le temps de balayage quotidien deux fois, la barre de défilement des heures ne peut pas se baisser, heures: 6-11 ne peut pas être sélectionnée</v>
      </c>
      <c r="I431" s="15" t="str">
        <f>IFERROR(__xludf.DUMMYFUNCTION("GOOGLETRANSLATE(E431,""en"",""de"")"),"Klicken Sie zweimal auf die tägliche Scan-Zeit aktiv")</f>
        <v>Klicken Sie zweimal auf die tägliche Scan-Zeit aktiv</v>
      </c>
    </row>
    <row r="432">
      <c r="A432" s="15" t="s">
        <v>548</v>
      </c>
      <c r="B432" s="15" t="s">
        <v>712</v>
      </c>
      <c r="C432" s="15" t="s">
        <v>92</v>
      </c>
      <c r="D432" s="15" t="s">
        <v>12</v>
      </c>
      <c r="E432" s="15" t="s">
        <v>609</v>
      </c>
      <c r="F432" s="15" t="str">
        <f>IFERROR(__xludf.DUMMYFUNCTION("GOOGLETRANSLATE(E432,""en"", ""ja"")"),"タイムピッカーはフォーカスを失うことはできません")</f>
        <v>タイムピッカーはフォーカスを失うことはできません</v>
      </c>
      <c r="G432" s="15" t="str">
        <f>IFERROR(__xludf.DUMMYFUNCTION("GOOGLETRANSLATE(E432,""en"",""zh-cn"")"),"计时者不会失去焦点")</f>
        <v>计时者不会失去焦点</v>
      </c>
      <c r="H432" s="15" t="str">
        <f>IFERROR(__xludf.DUMMYFUNCTION("GOOGLETRANSLATE(E432,""en"",""fr"")"),"Le sélecteur de temps ne peut pas perdre la focalisation")</f>
        <v>Le sélecteur de temps ne peut pas perdre la focalisation</v>
      </c>
      <c r="I432" s="15" t="str">
        <f>IFERROR(__xludf.DUMMYFUNCTION("GOOGLETRANSLATE(E432,""en"",""de"")"),"Time Picker kann den Fokus nicht verlieren")</f>
        <v>Time Picker kann den Fokus nicht verlieren</v>
      </c>
    </row>
    <row r="433">
      <c r="A433" s="15" t="s">
        <v>548</v>
      </c>
      <c r="B433" s="15" t="s">
        <v>713</v>
      </c>
      <c r="C433" s="15" t="s">
        <v>92</v>
      </c>
      <c r="D433" s="15" t="s">
        <v>12</v>
      </c>
      <c r="E433" s="15" t="s">
        <v>611</v>
      </c>
      <c r="F433" s="15" t="str">
        <f>IFERROR(__xludf.DUMMYFUNCTION("GOOGLETRANSLATE(E433,""en"", ""ja"")"),"アクティビティタイムラインUIの問題")</f>
        <v>アクティビティタイムラインUIの問題</v>
      </c>
      <c r="G433" s="15" t="str">
        <f>IFERROR(__xludf.DUMMYFUNCTION("GOOGLETRANSLATE(E433,""en"",""zh-cn"")"),"活动时间表UI问题")</f>
        <v>活动时间表UI问题</v>
      </c>
      <c r="H433" s="15" t="str">
        <f>IFERROR(__xludf.DUMMYFUNCTION("GOOGLETRANSLATE(E433,""en"",""fr"")"),"Problèmes d'interface utilisateur de la chronologie de l'activité")</f>
        <v>Problèmes d'interface utilisateur de la chronologie de l'activité</v>
      </c>
      <c r="I433" s="15" t="str">
        <f>IFERROR(__xludf.DUMMYFUNCTION("GOOGLETRANSLATE(E433,""en"",""de"")"),"Activity Timeline UI -Probleme")</f>
        <v>Activity Timeline UI -Probleme</v>
      </c>
    </row>
    <row r="434">
      <c r="A434" s="15" t="s">
        <v>548</v>
      </c>
      <c r="B434" s="15" t="s">
        <v>714</v>
      </c>
      <c r="C434" s="15" t="s">
        <v>92</v>
      </c>
      <c r="D434" s="15" t="s">
        <v>12</v>
      </c>
      <c r="E434" s="15" t="s">
        <v>613</v>
      </c>
      <c r="F434" s="15" t="str">
        <f>IFERROR(__xludf.DUMMYFUNCTION("GOOGLETRANSLATE(E434,""en"", ""ja"")"),"テーブルのプライマリボタンを削除します")</f>
        <v>テーブルのプライマリボタンを削除します</v>
      </c>
      <c r="G434" s="15" t="str">
        <f>IFERROR(__xludf.DUMMYFUNCTION("GOOGLETRANSLATE(E434,""en"",""zh-cn"")"),"删除表中的主按钮")</f>
        <v>删除表中的主按钮</v>
      </c>
      <c r="H434" s="15" t="str">
        <f>IFERROR(__xludf.DUMMYFUNCTION("GOOGLETRANSLATE(E434,""en"",""fr"")"),"Supprimer le bouton primaire dans le tableau")</f>
        <v>Supprimer le bouton primaire dans le tableau</v>
      </c>
      <c r="I434" s="15" t="str">
        <f>IFERROR(__xludf.DUMMYFUNCTION("GOOGLETRANSLATE(E434,""en"",""de"")"),"Entfernen Sie die Primärtaste in der Tabelle")</f>
        <v>Entfernen Sie die Primärtaste in der Tabelle</v>
      </c>
    </row>
    <row r="435">
      <c r="A435" s="15" t="s">
        <v>548</v>
      </c>
      <c r="B435" s="15" t="s">
        <v>715</v>
      </c>
      <c r="C435" s="15" t="s">
        <v>92</v>
      </c>
      <c r="D435" s="15" t="s">
        <v>12</v>
      </c>
      <c r="E435" s="15" t="s">
        <v>615</v>
      </c>
      <c r="F435" s="15" t="str">
        <f>IFERROR(__xludf.DUMMYFUNCTION("GOOGLETRANSLATE(E435,""en"", ""ja"")"),"[研究]日付範囲の制御を改善します")</f>
        <v>[研究]日付範囲の制御を改善します</v>
      </c>
      <c r="G435" s="15" t="str">
        <f>IFERROR(__xludf.DUMMYFUNCTION("GOOGLETRANSLATE(E435,""en"",""zh-cn"")"),"[研究]改善日期范围控制")</f>
        <v>[研究]改善日期范围控制</v>
      </c>
      <c r="H435" s="15" t="str">
        <f>IFERROR(__xludf.DUMMYFUNCTION("GOOGLETRANSLATE(E435,""en"",""fr"")"),"[Recherche] Améliorer le contrôle de la plage de dates")</f>
        <v>[Recherche] Améliorer le contrôle de la plage de dates</v>
      </c>
      <c r="I435" s="15" t="str">
        <f>IFERROR(__xludf.DUMMYFUNCTION("GOOGLETRANSLATE(E435,""en"",""de"")"),"[Forschung] Verbesserung der Date Range Control")</f>
        <v>[Forschung] Verbesserung der Date Range Control</v>
      </c>
    </row>
    <row r="436">
      <c r="A436" s="15" t="s">
        <v>548</v>
      </c>
      <c r="B436" s="15" t="s">
        <v>716</v>
      </c>
      <c r="C436" s="15" t="s">
        <v>92</v>
      </c>
      <c r="D436" s="15" t="s">
        <v>12</v>
      </c>
      <c r="E436" s="15" t="s">
        <v>617</v>
      </c>
      <c r="F436" s="15" t="str">
        <f>IFERROR(__xludf.DUMMYFUNCTION("GOOGLETRANSLATE(E436,""en"", ""ja"")"),"ログの更新を変更します")</f>
        <v>ログの更新を変更します</v>
      </c>
      <c r="G436" s="15" t="str">
        <f>IFERROR(__xludf.DUMMYFUNCTION("GOOGLETRANSLATE(E436,""en"",""zh-cn"")"),"更改日志更新")</f>
        <v>更改日志更新</v>
      </c>
      <c r="H436" s="15" t="str">
        <f>IFERROR(__xludf.DUMMYFUNCTION("GOOGLETRANSLATE(E436,""en"",""fr"")"),"Modifier les mises à jour du journal")</f>
        <v>Modifier les mises à jour du journal</v>
      </c>
      <c r="I436" s="15" t="str">
        <f>IFERROR(__xludf.DUMMYFUNCTION("GOOGLETRANSLATE(E436,""en"",""de"")"),"Protokoll -Updates ändern")</f>
        <v>Protokoll -Updates ändern</v>
      </c>
    </row>
    <row r="437">
      <c r="A437" s="15" t="s">
        <v>548</v>
      </c>
      <c r="B437" s="15" t="s">
        <v>717</v>
      </c>
      <c r="C437" s="15" t="s">
        <v>92</v>
      </c>
      <c r="D437" s="15" t="s">
        <v>12</v>
      </c>
      <c r="E437" s="15" t="s">
        <v>619</v>
      </c>
      <c r="F437" s="15" t="str">
        <f>IFERROR(__xludf.DUMMYFUNCTION("GOOGLETRANSLATE(E437,""en"", ""ja"")"),"[タイムピッカー]デフォルトでAM/PMにピッカーを1つ追加します")</f>
        <v>[タイムピッカー]デフォルトでAM/PMにピッカーを1つ追加します</v>
      </c>
      <c r="G437" s="15" t="str">
        <f>IFERROR(__xludf.DUMMYFUNCTION("GOOGLETRANSLATE(E437,""en"",""zh-cn"")"),"[Time Picker]默认为AM/PM添加一个选择器")</f>
        <v>[Time Picker]默认为AM/PM添加一个选择器</v>
      </c>
      <c r="H437" s="15" t="str">
        <f>IFERROR(__xludf.DUMMYFUNCTION("GOOGLETRANSLATE(E437,""en"",""fr"")"),"[Picker à temps] Ajoutez un sélecteur avec AM / PM par défaut")</f>
        <v>[Picker à temps] Ajoutez un sélecteur avec AM / PM par défaut</v>
      </c>
      <c r="I437" s="15" t="str">
        <f>IFERROR(__xludf.DUMMYFUNCTION("GOOGLETRANSLATE(E437,""en"",""de"")"),"[Time Picker] Fügen Sie standardmäßig einen Picker mit AM/PM hinzu")</f>
        <v>[Time Picker] Fügen Sie standardmäßig einen Picker mit AM/PM hinzu</v>
      </c>
    </row>
    <row r="438">
      <c r="A438" s="15" t="s">
        <v>548</v>
      </c>
      <c r="B438" s="15" t="s">
        <v>718</v>
      </c>
      <c r="C438" s="15" t="s">
        <v>92</v>
      </c>
      <c r="D438" s="15" t="s">
        <v>12</v>
      </c>
      <c r="E438" s="15" t="s">
        <v>621</v>
      </c>
      <c r="F438" s="15" t="str">
        <f>IFERROR(__xludf.DUMMYFUNCTION("GOOGLETRANSLATE(E438,""en"", ""ja"")"),"ダイアログとモーダルのウェブサイトの言葉遣いの改善")</f>
        <v>ダイアログとモーダルのウェブサイトの言葉遣いの改善</v>
      </c>
      <c r="G438" s="15" t="str">
        <f>IFERROR(__xludf.DUMMYFUNCTION("GOOGLETRANSLATE(E438,""en"",""zh-cn"")"),"对话和模态网站措辞改进")</f>
        <v>对话和模态网站措辞改进</v>
      </c>
      <c r="H438" s="15" t="str">
        <f>IFERROR(__xludf.DUMMYFUNCTION("GOOGLETRANSLATE(E438,""en"",""fr"")"),"Dialogue et amélioration de la formulation du site Web modal")</f>
        <v>Dialogue et amélioration de la formulation du site Web modal</v>
      </c>
      <c r="I438" s="15" t="str">
        <f>IFERROR(__xludf.DUMMYFUNCTION("GOOGLETRANSLATE(E438,""en"",""de"")"),"Dialog- und Modal -Website -Wortlautverbesserung")</f>
        <v>Dialog- und Modal -Website -Wortlautverbesserung</v>
      </c>
    </row>
    <row r="439">
      <c r="A439" s="15" t="s">
        <v>548</v>
      </c>
      <c r="B439" s="15" t="s">
        <v>719</v>
      </c>
      <c r="C439" s="15" t="s">
        <v>92</v>
      </c>
      <c r="D439" s="15" t="s">
        <v>12</v>
      </c>
      <c r="E439" s="15" t="s">
        <v>623</v>
      </c>
      <c r="F439" s="15" t="str">
        <f>IFERROR(__xludf.DUMMYFUNCTION("GOOGLETRANSLATE(E439,""en"", ""ja"")"),"テーブルプライマリコラム：ホバースタイルを追加します")</f>
        <v>テーブルプライマリコラム：ホバースタイルを追加します</v>
      </c>
      <c r="G439" s="15" t="str">
        <f>IFERROR(__xludf.DUMMYFUNCTION("GOOGLETRANSLATE(E439,""en"",""zh-cn"")"),"表主要列：添加悬停样式")</f>
        <v>表主要列：添加悬停样式</v>
      </c>
      <c r="H439" s="15" t="str">
        <f>IFERROR(__xludf.DUMMYFUNCTION("GOOGLETRANSLATE(E439,""en"",""fr"")"),"Table Colonne primaire: Ajouter un style de survol")</f>
        <v>Table Colonne primaire: Ajouter un style de survol</v>
      </c>
      <c r="I439" s="15" t="str">
        <f>IFERROR(__xludf.DUMMYFUNCTION("GOOGLETRANSLATE(E439,""en"",""de"")"),"Primärspalte Tabelle: Schwebestil hinzufügen")</f>
        <v>Primärspalte Tabelle: Schwebestil hinzufügen</v>
      </c>
    </row>
    <row r="440">
      <c r="A440" s="15" t="s">
        <v>548</v>
      </c>
      <c r="B440" s="15" t="s">
        <v>720</v>
      </c>
      <c r="C440" s="15" t="s">
        <v>92</v>
      </c>
      <c r="D440" s="15" t="s">
        <v>12</v>
      </c>
      <c r="E440" s="15" t="s">
        <v>625</v>
      </c>
      <c r="F440" s="15" t="str">
        <f>IFERROR(__xludf.DUMMYFUNCTION("GOOGLETRANSLATE(E440,""en"", ""ja"")"),"単一のファイルアップローダー")</f>
        <v>単一のファイルアップローダー</v>
      </c>
      <c r="G440" s="15" t="str">
        <f>IFERROR(__xludf.DUMMYFUNCTION("GOOGLETRANSLATE(E440,""en"",""zh-cn"")"),"单文件上传器")</f>
        <v>单文件上传器</v>
      </c>
      <c r="H440" s="15" t="str">
        <f>IFERROR(__xludf.DUMMYFUNCTION("GOOGLETRANSLATE(E440,""en"",""fr"")"),"Téléchargeur de fichiers unique")</f>
        <v>Téléchargeur de fichiers unique</v>
      </c>
      <c r="I440" s="15" t="str">
        <f>IFERROR(__xludf.DUMMYFUNCTION("GOOGLETRANSLATE(E440,""en"",""de"")"),"Einzeldatei -Uploader")</f>
        <v>Einzeldatei -Uploader</v>
      </c>
    </row>
    <row r="441">
      <c r="A441" s="15" t="s">
        <v>548</v>
      </c>
      <c r="B441" s="15" t="s">
        <v>721</v>
      </c>
      <c r="C441" s="15" t="s">
        <v>92</v>
      </c>
      <c r="D441" s="15" t="s">
        <v>12</v>
      </c>
      <c r="E441" s="15" t="s">
        <v>627</v>
      </c>
      <c r="F441" s="15" t="str">
        <f>IFERROR(__xludf.DUMMYFUNCTION("GOOGLETRANSLATE(E441,""en"", ""ja"")"),"日付範囲ピッカーOKボタンを追加します")</f>
        <v>日付範囲ピッカーOKボタンを追加します</v>
      </c>
      <c r="G441" s="15" t="str">
        <f>IFERROR(__xludf.DUMMYFUNCTION("GOOGLETRANSLATE(E441,""en"",""zh-cn"")"),"日期范围选择器添加确定按钮")</f>
        <v>日期范围选择器添加确定按钮</v>
      </c>
      <c r="H441" s="15" t="str">
        <f>IFERROR(__xludf.DUMMYFUNCTION("GOOGLETRANSLATE(E441,""en"",""fr"")"),"Piqueur de dates Picker Ajouter le bouton OK")</f>
        <v>Piqueur de dates Picker Ajouter le bouton OK</v>
      </c>
      <c r="I441" s="15" t="str">
        <f>IFERROR(__xludf.DUMMYFUNCTION("GOOGLETRANSLATE(E441,""en"",""de"")"),"Datumsbereich Picker Fügen Sie OK -Schaltfläche hinzu")</f>
        <v>Datumsbereich Picker Fügen Sie OK -Schaltfläche hinzu</v>
      </c>
    </row>
    <row r="442">
      <c r="A442" s="15" t="s">
        <v>548</v>
      </c>
      <c r="B442" s="15" t="s">
        <v>722</v>
      </c>
      <c r="C442" s="15" t="s">
        <v>92</v>
      </c>
      <c r="D442" s="15" t="s">
        <v>12</v>
      </c>
      <c r="E442" s="15" t="s">
        <v>629</v>
      </c>
      <c r="F442" s="15" t="str">
        <f>IFERROR(__xludf.DUMMYFUNCTION("GOOGLETRANSLATE(E442,""en"", ""ja"")"),"別のスタイルをエクスパンダー")</f>
        <v>別のスタイルをエクスパンダー</v>
      </c>
      <c r="G442" s="15" t="str">
        <f>IFERROR(__xludf.DUMMYFUNCTION("GOOGLETRANSLATE(E442,""en"",""zh-cn"")"),"扩大另一种风格")</f>
        <v>扩大另一种风格</v>
      </c>
      <c r="H442" s="15" t="str">
        <f>IFERROR(__xludf.DUMMYFUNCTION("GOOGLETRANSLATE(E442,""en"",""fr"")"),"Expander un autre style")</f>
        <v>Expander un autre style</v>
      </c>
      <c r="I442" s="15" t="str">
        <f>IFERROR(__xludf.DUMMYFUNCTION("GOOGLETRANSLATE(E442,""en"",""de"")"),"Expander einen anderen Stil")</f>
        <v>Expander einen anderen Stil</v>
      </c>
    </row>
    <row r="443">
      <c r="A443" s="15" t="s">
        <v>548</v>
      </c>
      <c r="B443" s="15" t="s">
        <v>723</v>
      </c>
      <c r="C443" s="15" t="s">
        <v>92</v>
      </c>
      <c r="D443" s="15" t="s">
        <v>12</v>
      </c>
      <c r="E443" s="15" t="s">
        <v>169</v>
      </c>
      <c r="F443" s="15" t="str">
        <f>IFERROR(__xludf.DUMMYFUNCTION("GOOGLETRANSLATE(E443,""en"", ""ja"")"),"アクティビティタイムライン")</f>
        <v>アクティビティタイムライン</v>
      </c>
      <c r="G443" s="15" t="str">
        <f>IFERROR(__xludf.DUMMYFUNCTION("GOOGLETRANSLATE(E443,""en"",""zh-cn"")"),"活动时间表")</f>
        <v>活动时间表</v>
      </c>
      <c r="H443" s="15" t="str">
        <f>IFERROR(__xludf.DUMMYFUNCTION("GOOGLETRANSLATE(E443,""en"",""fr"")"),"Chronologie de l'activité")</f>
        <v>Chronologie de l'activité</v>
      </c>
      <c r="I443" s="15" t="str">
        <f>IFERROR(__xludf.DUMMYFUNCTION("GOOGLETRANSLATE(E443,""en"",""de"")"),"Aktivitätszeitleiste")</f>
        <v>Aktivitätszeitleiste</v>
      </c>
    </row>
    <row r="444">
      <c r="A444" s="15" t="s">
        <v>548</v>
      </c>
      <c r="B444" s="15" t="s">
        <v>724</v>
      </c>
      <c r="C444" s="15" t="s">
        <v>92</v>
      </c>
      <c r="D444" s="15" t="s">
        <v>12</v>
      </c>
      <c r="E444" s="15" t="s">
        <v>632</v>
      </c>
      <c r="F444" s="15" t="str">
        <f>IFERROR(__xludf.DUMMYFUNCTION("GOOGLETRANSLATE(E444,""en"", ""ja"")"),"日付範囲に分離された2つのカレンダーコントロールを追加します")</f>
        <v>日付範囲に分離された2つのカレンダーコントロールを追加します</v>
      </c>
      <c r="G444" s="15" t="str">
        <f>IFERROR(__xludf.DUMMYFUNCTION("GOOGLETRANSLATE(E444,""en"",""zh-cn"")"),"为日期范围添加分开的两个日历控件")</f>
        <v>为日期范围添加分开的两个日历控件</v>
      </c>
      <c r="H444" s="15" t="str">
        <f>IFERROR(__xludf.DUMMYFUNCTION("GOOGLETRANSLATE(E444,""en"",""fr"")"),"Ajouter un contrôle de calendrier séparé pour la plage de dates")</f>
        <v>Ajouter un contrôle de calendrier séparé pour la plage de dates</v>
      </c>
      <c r="I444" s="15" t="str">
        <f>IFERROR(__xludf.DUMMYFUNCTION("GOOGLETRANSLATE(E444,""en"",""de"")"),"Fügen Sie eine separierte zwei Kalenderkontrolle für den Datumsbereich hinzu")</f>
        <v>Fügen Sie eine separierte zwei Kalenderkontrolle für den Datumsbereich hinzu</v>
      </c>
    </row>
    <row r="445">
      <c r="A445" s="15" t="s">
        <v>548</v>
      </c>
      <c r="B445" s="15" t="s">
        <v>725</v>
      </c>
      <c r="C445" s="15" t="s">
        <v>92</v>
      </c>
      <c r="D445" s="15" t="s">
        <v>12</v>
      </c>
      <c r="E445" s="15" t="s">
        <v>726</v>
      </c>
      <c r="F445" s="15" t="str">
        <f>IFERROR(__xludf.DUMMYFUNCTION("GOOGLETRANSLATE(E445,""en"", ""ja"")"),"[WCAG]タブの問題")</f>
        <v>[WCAG]タブの問題</v>
      </c>
      <c r="G445" s="15" t="str">
        <f>IFERROR(__xludf.DUMMYFUNCTION("GOOGLETRANSLATE(E445,""en"",""zh-cn"")"),"[WCAG]标签问题")</f>
        <v>[WCAG]标签问题</v>
      </c>
      <c r="H445" s="15" t="str">
        <f>IFERROR(__xludf.DUMMYFUNCTION("GOOGLETRANSLATE(E445,""en"",""fr"")"),"[WCAG] Problèmes d'onglet")</f>
        <v>[WCAG] Problèmes d'onglet</v>
      </c>
      <c r="I445" s="15" t="str">
        <f>IFERROR(__xludf.DUMMYFUNCTION("GOOGLETRANSLATE(E445,""en"",""de"")"),"[WCAG] TAB -Probleme")</f>
        <v>[WCAG] TAB -Probleme</v>
      </c>
    </row>
    <row r="446">
      <c r="A446" s="15" t="s">
        <v>548</v>
      </c>
      <c r="B446" s="15" t="s">
        <v>727</v>
      </c>
      <c r="C446" s="15" t="s">
        <v>92</v>
      </c>
      <c r="D446" s="15" t="s">
        <v>12</v>
      </c>
      <c r="E446" s="15" t="s">
        <v>728</v>
      </c>
      <c r="F446" s="15" t="str">
        <f>IFERROR(__xludf.DUMMYFUNCTION("GOOGLETRANSLATE(E446,""en"", ""ja"")"),"[wcag]タブの問題")</f>
        <v>[wcag]タブの問題</v>
      </c>
      <c r="G446" s="15" t="str">
        <f>IFERROR(__xludf.DUMMYFUNCTION("GOOGLETRANSLATE(E446,""en"",""zh-cn"")"),"[WCAG]标签问题")</f>
        <v>[WCAG]标签问题</v>
      </c>
      <c r="H446" s="15" t="str">
        <f>IFERROR(__xludf.DUMMYFUNCTION("GOOGLETRANSLATE(E446,""en"",""fr"")"),"[WCAG] Problèmes d'onglet")</f>
        <v>[WCAG] Problèmes d'onglet</v>
      </c>
      <c r="I446" s="15" t="str">
        <f>IFERROR(__xludf.DUMMYFUNCTION("GOOGLETRANSLATE(E446,""en"",""de"")"),"[WCAG] Registerkartenprobleme")</f>
        <v>[WCAG] Registerkartenprobleme</v>
      </c>
    </row>
    <row r="447">
      <c r="A447" s="15" t="s">
        <v>548</v>
      </c>
      <c r="B447" s="15" t="s">
        <v>729</v>
      </c>
      <c r="C447" s="15" t="s">
        <v>92</v>
      </c>
      <c r="D447" s="15" t="s">
        <v>12</v>
      </c>
      <c r="E447" s="15" t="s">
        <v>730</v>
      </c>
      <c r="F447" s="15" t="str">
        <f>IFERROR(__xludf.DUMMYFUNCTION("GOOGLETRANSLATE(E447,""en"", ""ja"")"),"複数の選択検索は、ケースの鈍感である必要があります")</f>
        <v>複数の選択検索は、ケースの鈍感である必要があります</v>
      </c>
      <c r="G447" s="15" t="str">
        <f>IFERROR(__xludf.DUMMYFUNCTION("GOOGLETRANSLATE(E447,""en"",""zh-cn"")"),"多个选择搜索应该是不敏感的")</f>
        <v>多个选择搜索应该是不敏感的</v>
      </c>
      <c r="H447" s="15" t="str">
        <f>IFERROR(__xludf.DUMMYFUNCTION("GOOGLETRANSLATE(E447,""en"",""fr"")"),"La recherche de sélection multiple doit être insensible au cas")</f>
        <v>La recherche de sélection multiple doit être insensible au cas</v>
      </c>
      <c r="I447" s="15" t="str">
        <f>IFERROR(__xludf.DUMMYFUNCTION("GOOGLETRANSLATE(E447,""en"",""de"")"),"Mehrere ausgewählte Suche sollten unempfindlich sein")</f>
        <v>Mehrere ausgewählte Suche sollten unempfindlich sein</v>
      </c>
    </row>
    <row r="448">
      <c r="A448" s="15" t="s">
        <v>548</v>
      </c>
      <c r="B448" s="15" t="s">
        <v>731</v>
      </c>
      <c r="C448" s="15" t="s">
        <v>92</v>
      </c>
      <c r="D448" s="15" t="s">
        <v>12</v>
      </c>
      <c r="E448" s="15" t="s">
        <v>732</v>
      </c>
      <c r="F448" s="15" t="str">
        <f>IFERROR(__xludf.DUMMYFUNCTION("GOOGLETRANSLATE(E448,""en"", ""ja"")"),"きらめき色は流fluentよりも暗いです")</f>
        <v>きらめき色は流fluentよりも暗いです</v>
      </c>
      <c r="G448" s="15" t="str">
        <f>IFERROR(__xludf.DUMMYFUNCTION("GOOGLETRANSLATE(E448,""en"",""zh-cn"")"),"微光颜色比流利的")</f>
        <v>微光颜色比流利的</v>
      </c>
      <c r="H448" s="15" t="str">
        <f>IFERROR(__xludf.DUMMYFUNCTION("GOOGLETRANSLATE(E448,""en"",""fr"")"),"La couleur chatoyante est plus foncée que couramment")</f>
        <v>La couleur chatoyante est plus foncée que couramment</v>
      </c>
      <c r="I448" s="15" t="str">
        <f>IFERROR(__xludf.DUMMYFUNCTION("GOOGLETRANSLATE(E448,""en"",""de"")"),"Schimmere Farbe ist dunkler als fließend")</f>
        <v>Schimmere Farbe ist dunkler als fließend</v>
      </c>
    </row>
    <row r="449">
      <c r="A449" s="15" t="s">
        <v>548</v>
      </c>
      <c r="B449" s="15" t="s">
        <v>733</v>
      </c>
      <c r="C449" s="15" t="s">
        <v>92</v>
      </c>
      <c r="D449" s="15" t="s">
        <v>12</v>
      </c>
      <c r="E449" s="15" t="s">
        <v>734</v>
      </c>
      <c r="F449" s="15" t="str">
        <f>IFERROR(__xludf.DUMMYFUNCTION("GOOGLETRANSLATE(E449,""en"", ""ja"")"),"チェックボックスは白い背景色を追加する必要があります")</f>
        <v>チェックボックスは白い背景色を追加する必要があります</v>
      </c>
      <c r="G449" s="15" t="str">
        <f>IFERROR(__xludf.DUMMYFUNCTION("GOOGLETRANSLATE(E449,""en"",""zh-cn"")"),"复选框应添加白色背景颜色")</f>
        <v>复选框应添加白色背景颜色</v>
      </c>
      <c r="H449" s="15" t="str">
        <f>IFERROR(__xludf.DUMMYFUNCTION("GOOGLETRANSLATE(E449,""en"",""fr"")"),"La case à cocher doit ajouter une couleur d'arrière-plan blanc")</f>
        <v>La case à cocher doit ajouter une couleur d'arrière-plan blanc</v>
      </c>
      <c r="I449" s="15" t="str">
        <f>IFERROR(__xludf.DUMMYFUNCTION("GOOGLETRANSLATE(E449,""en"",""de"")"),"Kontrollkästchen sollte weiße Hintergrundfarbe hinzufügen")</f>
        <v>Kontrollkästchen sollte weiße Hintergrundfarbe hinzufügen</v>
      </c>
    </row>
    <row r="450">
      <c r="A450" s="15" t="s">
        <v>548</v>
      </c>
      <c r="B450" s="15" t="s">
        <v>735</v>
      </c>
      <c r="C450" s="15" t="s">
        <v>92</v>
      </c>
      <c r="D450" s="15" t="s">
        <v>12</v>
      </c>
      <c r="E450" s="15" t="s">
        <v>736</v>
      </c>
      <c r="F450" s="15" t="str">
        <f>IFERROR(__xludf.DUMMYFUNCTION("GOOGLETRANSLATE(E450,""en"", ""ja"")"),"ラジオボタンは白い背景色を追加する必要があります")</f>
        <v>ラジオボタンは白い背景色を追加する必要があります</v>
      </c>
      <c r="G450" s="15" t="str">
        <f>IFERROR(__xludf.DUMMYFUNCTION("GOOGLETRANSLATE(E450,""en"",""zh-cn"")"),"广播按钮应添加白色背景颜色")</f>
        <v>广播按钮应添加白色背景颜色</v>
      </c>
      <c r="H450" s="15" t="str">
        <f>IFERROR(__xludf.DUMMYFUNCTION("GOOGLETRANSLATE(E450,""en"",""fr"")"),"Le bouton radio doit ajouter une couleur d'arrière-plan blanc")</f>
        <v>Le bouton radio doit ajouter une couleur d'arrière-plan blanc</v>
      </c>
      <c r="I450" s="15" t="str">
        <f>IFERROR(__xludf.DUMMYFUNCTION("GOOGLETRANSLATE(E450,""en"",""de"")"),"Das Optionsfeld sollte weiße Hintergrundfarbe hinzufügen")</f>
        <v>Das Optionsfeld sollte weiße Hintergrundfarbe hinzufügen</v>
      </c>
    </row>
    <row r="451">
      <c r="A451" s="15" t="s">
        <v>548</v>
      </c>
      <c r="B451" s="15" t="s">
        <v>737</v>
      </c>
      <c r="C451" s="15" t="s">
        <v>92</v>
      </c>
      <c r="D451" s="15" t="s">
        <v>12</v>
      </c>
      <c r="E451" s="15" t="s">
        <v>738</v>
      </c>
      <c r="F451" s="15" t="str">
        <f>IFERROR(__xludf.DUMMYFUNCTION("GOOGLETRANSLATE(E451,""en"", ""ja"")"),"Diag Scrollbarを右側に移動します。")</f>
        <v>Diag Scrollbarを右側に移動します。</v>
      </c>
      <c r="G451" s="15" t="str">
        <f>IFERROR(__xludf.DUMMYFUNCTION("GOOGLETRANSLATE(E451,""en"",""zh-cn"")"),"将diag scrollbar移到右侧。")</f>
        <v>将diag scrollbar移到右侧。</v>
      </c>
      <c r="H451" s="15" t="str">
        <f>IFERROR(__xludf.DUMMYFUNCTION("GOOGLETRANSLATE(E451,""en"",""fr"")"),"Déplacez la barre de défilement Diag sur le côté droit.")</f>
        <v>Déplacez la barre de défilement Diag sur le côté droit.</v>
      </c>
      <c r="I451" s="15" t="str">
        <f>IFERROR(__xludf.DUMMYFUNCTION("GOOGLETRANSLATE(E451,""en"",""de"")"),"Bewegen Sie die Diag -Scrollbar auf die rechte Seite.")</f>
        <v>Bewegen Sie die Diag -Scrollbar auf die rechte Seite.</v>
      </c>
    </row>
    <row r="452">
      <c r="A452" s="15" t="s">
        <v>548</v>
      </c>
      <c r="B452" s="15" t="s">
        <v>739</v>
      </c>
      <c r="C452" s="15" t="s">
        <v>92</v>
      </c>
      <c r="D452" s="15" t="s">
        <v>12</v>
      </c>
      <c r="E452" s="16" t="s">
        <v>740</v>
      </c>
      <c r="F452" s="15" t="str">
        <f>IFERROR(__xludf.DUMMYFUNCTION("GOOGLETRANSLATE(E452,""en"", ""ja"")"),"DIAGのGUI用語を変更します")</f>
        <v>DIAGのGUI用語を変更します</v>
      </c>
      <c r="G452" s="15" t="str">
        <f>IFERROR(__xludf.DUMMYFUNCTION("GOOGLETRANSLATE(E452,""en"",""zh-cn"")"),"更改diag的GUI条款")</f>
        <v>更改diag的GUI条款</v>
      </c>
      <c r="H452" s="15" t="str">
        <f>IFERROR(__xludf.DUMMYFUNCTION("GOOGLETRANSLATE(E452,""en"",""fr"")"),"Changer les termes de l'interface graphique pour Diag")</f>
        <v>Changer les termes de l'interface graphique pour Diag</v>
      </c>
      <c r="I452" s="15" t="str">
        <f>IFERROR(__xludf.DUMMYFUNCTION("GOOGLETRANSLATE(E452,""en"",""de"")"),"GUI -Begriffe für Diag ändern")</f>
        <v>GUI -Begriffe für Diag ändern</v>
      </c>
    </row>
    <row r="453">
      <c r="A453" s="15" t="s">
        <v>548</v>
      </c>
      <c r="B453" s="15" t="s">
        <v>741</v>
      </c>
      <c r="C453" s="15" t="s">
        <v>92</v>
      </c>
      <c r="D453" s="15" t="s">
        <v>12</v>
      </c>
      <c r="E453" s="16" t="s">
        <v>742</v>
      </c>
      <c r="F453" s="15" t="str">
        <f>IFERROR(__xludf.DUMMYFUNCTION("GOOGLETRANSLATE(E453,""en"", ""ja"")"),"パディングの問題を選択します")</f>
        <v>パディングの問題を選択します</v>
      </c>
      <c r="G453" s="15" t="str">
        <f>IFERROR(__xludf.DUMMYFUNCTION("GOOGLETRANSLATE(E453,""en"",""zh-cn"")"),"选择填充问题")</f>
        <v>选择填充问题</v>
      </c>
      <c r="H453" s="15" t="str">
        <f>IFERROR(__xludf.DUMMYFUNCTION("GOOGLETRANSLATE(E453,""en"",""fr"")"),"Sélectionner un problème de rembourrage")</f>
        <v>Sélectionner un problème de rembourrage</v>
      </c>
      <c r="I453" s="15" t="str">
        <f>IFERROR(__xludf.DUMMYFUNCTION("GOOGLETRANSLATE(E453,""en"",""de"")"),"Wählen Sie ein Padding -Problem")</f>
        <v>Wählen Sie ein Padding -Problem</v>
      </c>
    </row>
    <row r="454">
      <c r="A454" s="15" t="s">
        <v>548</v>
      </c>
      <c r="B454" s="15" t="s">
        <v>743</v>
      </c>
      <c r="C454" s="15" t="s">
        <v>92</v>
      </c>
      <c r="D454" s="15" t="s">
        <v>12</v>
      </c>
      <c r="E454" s="16" t="s">
        <v>744</v>
      </c>
      <c r="F454" s="15" t="str">
        <f>IFERROR(__xludf.DUMMYFUNCTION("GOOGLETRANSLATE(E454,""en"", ""ja"")"),"ナビゲーションのためにツールチップを追加/崩壊するアクション")</f>
        <v>ナビゲーションのためにツールチップを追加/崩壊するアクション</v>
      </c>
      <c r="G454" s="15" t="str">
        <f>IFERROR(__xludf.DUMMYFUNCTION("GOOGLETRANSLATE(E454,""en"",""zh-cn"")"),"添加工具提示以进行导航扩展/倒塌动作")</f>
        <v>添加工具提示以进行导航扩展/倒塌动作</v>
      </c>
      <c r="H454" s="15" t="str">
        <f>IFERROR(__xludf.DUMMYFUNCTION("GOOGLETRANSLATE(E454,""en"",""fr"")"),"Ajouter une info-bulle pour la navigation Expan / effondrement")</f>
        <v>Ajouter une info-bulle pour la navigation Expan / effondrement</v>
      </c>
      <c r="I454" s="15" t="str">
        <f>IFERROR(__xludf.DUMMYFUNCTION("GOOGLETRANSLATE(E454,""en"",""de"")"),"Fügen Sie Tooltip für die Navigation Expance/Collapse -Aktion hinzu")</f>
        <v>Fügen Sie Tooltip für die Navigation Expance/Collapse -Aktion hinzu</v>
      </c>
    </row>
    <row r="455">
      <c r="A455" s="15" t="s">
        <v>548</v>
      </c>
      <c r="B455" s="15" t="s">
        <v>745</v>
      </c>
      <c r="C455" s="15" t="s">
        <v>92</v>
      </c>
      <c r="D455" s="15" t="s">
        <v>12</v>
      </c>
      <c r="E455" s="16" t="s">
        <v>746</v>
      </c>
      <c r="F455" s="15" t="str">
        <f>IFERROR(__xludf.DUMMYFUNCTION("GOOGLETRANSLATE(E455,""en"", ""ja"")"),"[Multiple-Select]検索を使用して以前に選択されたアイテムがクリアされます")</f>
        <v>[Multiple-Select]検索を使用して以前に選択されたアイテムがクリアされます</v>
      </c>
      <c r="G455" s="15" t="str">
        <f>IFERROR(__xludf.DUMMYFUNCTION("GOOGLETRANSLATE(E455,""en"",""zh-cn"")"),"[多选择]一旦使用搜索，将清除先前的选定项目")</f>
        <v>[多选择]一旦使用搜索，将清除先前的选定项目</v>
      </c>
      <c r="H455" s="15" t="str">
        <f>IFERROR(__xludf.DUMMYFUNCTION("GOOGLETRANSLATE(E455,""en"",""fr"")"),"[Plusieurs sélections] Les éléments sélectionnés précédents seront effacés une fois à l'aide de la recherche")</f>
        <v>[Plusieurs sélections] Les éléments sélectionnés précédents seront effacés une fois à l'aide de la recherche</v>
      </c>
      <c r="I455" s="15" t="str">
        <f>IFERROR(__xludf.DUMMYFUNCTION("GOOGLETRANSLATE(E455,""en"",""de"")"),"[Mehrfachauswahl] Frühere ausgewählte Elemente werden nach der Suche nach der Suche gelöscht")</f>
        <v>[Mehrfachauswahl] Frühere ausgewählte Elemente werden nach der Suche nach der Suche gelöscht</v>
      </c>
    </row>
    <row r="456">
      <c r="A456" s="15" t="s">
        <v>548</v>
      </c>
      <c r="B456" s="15" t="s">
        <v>747</v>
      </c>
      <c r="C456" s="15" t="s">
        <v>92</v>
      </c>
      <c r="D456" s="15" t="s">
        <v>12</v>
      </c>
      <c r="E456" s="16" t="s">
        <v>748</v>
      </c>
      <c r="F456" s="15" t="str">
        <f>IFERROR(__xludf.DUMMYFUNCTION("GOOGLETRANSLATE(E456,""en"", ""ja"")"),"[研究]スクロールバーの改善")</f>
        <v>[研究]スクロールバーの改善</v>
      </c>
      <c r="G456" s="15" t="str">
        <f>IFERROR(__xludf.DUMMYFUNCTION("GOOGLETRANSLATE(E456,""en"",""zh-cn"")"),"[研究]滚动条的改进")</f>
        <v>[研究]滚动条的改进</v>
      </c>
      <c r="H456" s="15" t="str">
        <f>IFERROR(__xludf.DUMMYFUNCTION("GOOGLETRANSLATE(E456,""en"",""fr"")"),"[Recherche] Amélioration de la barre de défilement")</f>
        <v>[Recherche] Amélioration de la barre de défilement</v>
      </c>
      <c r="I456" s="15" t="str">
        <f>IFERROR(__xludf.DUMMYFUNCTION("GOOGLETRANSLATE(E456,""en"",""de"")"),"[Research] Bastelbalkenverbesserung")</f>
        <v>[Research] Bastelbalkenverbesserung</v>
      </c>
    </row>
    <row r="457">
      <c r="A457" s="15" t="s">
        <v>548</v>
      </c>
      <c r="B457" s="15" t="s">
        <v>749</v>
      </c>
      <c r="C457" s="15" t="s">
        <v>92</v>
      </c>
      <c r="D457" s="15" t="s">
        <v>12</v>
      </c>
      <c r="E457" s="16" t="s">
        <v>750</v>
      </c>
      <c r="F457" s="15" t="str">
        <f>IFERROR(__xludf.DUMMYFUNCTION("GOOGLETRANSLATE(E457,""en"", ""ja"")"),"ナビゲーションのロゴ標準を改善します")</f>
        <v>ナビゲーションのロゴ標準を改善します</v>
      </c>
      <c r="G457" s="15" t="str">
        <f>IFERROR(__xludf.DUMMYFUNCTION("GOOGLETRANSLATE(E457,""en"",""zh-cn"")"),"提高导航的徽标标准")</f>
        <v>提高导航的徽标标准</v>
      </c>
      <c r="H457" s="15" t="str">
        <f>IFERROR(__xludf.DUMMYFUNCTION("GOOGLETRANSLATE(E457,""en"",""fr"")"),"Améliorer la norme du logo dans la navigation")</f>
        <v>Améliorer la norme du logo dans la navigation</v>
      </c>
      <c r="I457" s="15" t="str">
        <f>IFERROR(__xludf.DUMMYFUNCTION("GOOGLETRANSLATE(E457,""en"",""de"")"),"Verbesserung des Logo -Standards in der Navigation")</f>
        <v>Verbesserung des Logo -Standards in der Navigation</v>
      </c>
    </row>
    <row r="458">
      <c r="A458" s="15" t="s">
        <v>548</v>
      </c>
      <c r="B458" s="15" t="s">
        <v>751</v>
      </c>
      <c r="C458" s="15" t="s">
        <v>92</v>
      </c>
      <c r="D458" s="15" t="s">
        <v>12</v>
      </c>
      <c r="E458" s="16" t="s">
        <v>752</v>
      </c>
      <c r="F458" s="15" t="str">
        <f>IFERROR(__xludf.DUMMYFUNCTION("GOOGLETRANSLATE(E458,""en"", ""ja"")"),"複数の選択文言の改善")</f>
        <v>複数の選択文言の改善</v>
      </c>
      <c r="G458" s="15" t="str">
        <f>IFERROR(__xludf.DUMMYFUNCTION("GOOGLETRANSLATE(E458,""en"",""zh-cn"")"),"多个选择措辞改进")</f>
        <v>多个选择措辞改进</v>
      </c>
      <c r="H458" s="15" t="str">
        <f>IFERROR(__xludf.DUMMYFUNCTION("GOOGLETRANSLATE(E458,""en"",""fr"")"),"Amélioration de la formulation de sélection multiple")</f>
        <v>Amélioration de la formulation de sélection multiple</v>
      </c>
      <c r="I458" s="15" t="str">
        <f>IFERROR(__xludf.DUMMYFUNCTION("GOOGLETRANSLATE(E458,""en"",""de"")"),"Mehrfachauswahl -Wortlautverbesserung")</f>
        <v>Mehrfachauswahl -Wortlautverbesserung</v>
      </c>
    </row>
    <row r="459">
      <c r="A459" s="15" t="s">
        <v>548</v>
      </c>
      <c r="B459" s="15" t="s">
        <v>753</v>
      </c>
      <c r="C459" s="15" t="s">
        <v>92</v>
      </c>
      <c r="D459" s="15" t="s">
        <v>12</v>
      </c>
      <c r="E459" s="16" t="s">
        <v>754</v>
      </c>
      <c r="F459" s="15" t="str">
        <f>IFERROR(__xludf.DUMMYFUNCTION("GOOGLETRANSLATE(E459,""en"", ""ja"")"),"[wcag]ボタン")</f>
        <v>[wcag]ボタン</v>
      </c>
      <c r="G459" s="15" t="str">
        <f>IFERROR(__xludf.DUMMYFUNCTION("GOOGLETRANSLATE(E459,""en"",""zh-cn"")"),"[WCAG]按钮")</f>
        <v>[WCAG]按钮</v>
      </c>
      <c r="H459" s="15" t="str">
        <f>IFERROR(__xludf.DUMMYFUNCTION("GOOGLETRANSLATE(E459,""en"",""fr"")"),"Bouton [wcag]")</f>
        <v>Bouton [wcag]</v>
      </c>
      <c r="I459" s="15" t="str">
        <f>IFERROR(__xludf.DUMMYFUNCTION("GOOGLETRANSLATE(E459,""en"",""de"")"),"[WCAG] Taste")</f>
        <v>[WCAG] Taste</v>
      </c>
    </row>
    <row r="460">
      <c r="A460" s="15" t="s">
        <v>548</v>
      </c>
      <c r="B460" s="15" t="s">
        <v>755</v>
      </c>
      <c r="C460" s="15" t="s">
        <v>92</v>
      </c>
      <c r="D460" s="15" t="s">
        <v>12</v>
      </c>
      <c r="E460" s="16" t="s">
        <v>756</v>
      </c>
      <c r="F460" s="15" t="str">
        <f>IFERROR(__xludf.DUMMYFUNCTION("GOOGLETRANSLATE(E460,""en"", ""ja"")"),"[wcag]パンダム")</f>
        <v>[wcag]パンダム</v>
      </c>
      <c r="G460" s="15" t="str">
        <f>IFERROR(__xludf.DUMMYFUNCTION("GOOGLETRANSLATE(E460,""en"",""zh-cn"")"),"[WCAG]面包屑")</f>
        <v>[WCAG]面包屑</v>
      </c>
      <c r="H460" s="15" t="str">
        <f>IFERROR(__xludf.DUMMYFUNCTION("GOOGLETRANSLATE(E460,""en"",""fr"")"),"[Wcag]")</f>
        <v>[Wcag]</v>
      </c>
      <c r="I460" s="15" t="str">
        <f>IFERROR(__xludf.DUMMYFUNCTION("GOOGLETRANSLATE(E460,""en"",""de"")"),"[WCAG] Brotkrumb")</f>
        <v>[WCAG] Brotkrumb</v>
      </c>
    </row>
    <row r="461">
      <c r="A461" s="15" t="s">
        <v>548</v>
      </c>
      <c r="B461" s="15" t="s">
        <v>757</v>
      </c>
      <c r="C461" s="15" t="s">
        <v>92</v>
      </c>
      <c r="D461" s="15" t="s">
        <v>12</v>
      </c>
      <c r="E461" s="16" t="s">
        <v>758</v>
      </c>
      <c r="F461" s="15" t="str">
        <f>IFERROR(__xludf.DUMMYFUNCTION("GOOGLETRANSLATE(E461,""en"", ""ja"")"),"[wcag]エキスパンダー")</f>
        <v>[wcag]エキスパンダー</v>
      </c>
      <c r="G461" s="15" t="str">
        <f>IFERROR(__xludf.DUMMYFUNCTION("GOOGLETRANSLATE(E461,""en"",""zh-cn"")"),"[WCAG]扩展器")</f>
        <v>[WCAG]扩展器</v>
      </c>
      <c r="H461" s="15" t="str">
        <f>IFERROR(__xludf.DUMMYFUNCTION("GOOGLETRANSLATE(E461,""en"",""fr"")"),"[WCAG] Expanseur")</f>
        <v>[WCAG] Expanseur</v>
      </c>
      <c r="I461" s="15" t="str">
        <f>IFERROR(__xludf.DUMMYFUNCTION("GOOGLETRANSLATE(E461,""en"",""de"")"),"[WCAG] Expander")</f>
        <v>[WCAG] Expander</v>
      </c>
    </row>
    <row r="462">
      <c r="A462" s="15" t="s">
        <v>548</v>
      </c>
      <c r="B462" s="15" t="s">
        <v>759</v>
      </c>
      <c r="C462" s="15" t="s">
        <v>92</v>
      </c>
      <c r="D462" s="15" t="s">
        <v>12</v>
      </c>
      <c r="E462" s="16" t="s">
        <v>760</v>
      </c>
      <c r="F462" s="15" t="str">
        <f>IFERROR(__xludf.DUMMYFUNCTION("GOOGLETRANSLATE(E462,""en"", ""ja"")"),"[wcag]スイッチ")</f>
        <v>[wcag]スイッチ</v>
      </c>
      <c r="G462" s="15" t="str">
        <f>IFERROR(__xludf.DUMMYFUNCTION("GOOGLETRANSLATE(E462,""en"",""zh-cn"")"),"[WCAG]开关")</f>
        <v>[WCAG]开关</v>
      </c>
      <c r="H462" s="15" t="str">
        <f>IFERROR(__xludf.DUMMYFUNCTION("GOOGLETRANSLATE(E462,""en"",""fr"")"),"[WCAG] Switch")</f>
        <v>[WCAG] Switch</v>
      </c>
      <c r="I462" s="15" t="str">
        <f>IFERROR(__xludf.DUMMYFUNCTION("GOOGLETRANSLATE(E462,""en"",""de"")"),"[WCAG] Schalter")</f>
        <v>[WCAG] Schalter</v>
      </c>
    </row>
    <row r="463">
      <c r="A463" s="15" t="s">
        <v>548</v>
      </c>
      <c r="B463" s="15" t="s">
        <v>761</v>
      </c>
      <c r="C463" s="15" t="s">
        <v>92</v>
      </c>
      <c r="D463" s="15" t="s">
        <v>12</v>
      </c>
      <c r="E463" s="16" t="s">
        <v>762</v>
      </c>
      <c r="F463" s="15" t="str">
        <f>IFERROR(__xludf.DUMMYFUNCTION("GOOGLETRANSLATE(E463,""en"", ""ja"")"),"[wcag]ツールチップ")</f>
        <v>[wcag]ツールチップ</v>
      </c>
      <c r="G463" s="15" t="str">
        <f>IFERROR(__xludf.DUMMYFUNCTION("GOOGLETRANSLATE(E463,""en"",""zh-cn"")"),"[WCAG]工具提示")</f>
        <v>[WCAG]工具提示</v>
      </c>
      <c r="H463" s="15" t="str">
        <f>IFERROR(__xludf.DUMMYFUNCTION("GOOGLETRANSLATE(E463,""en"",""fr"")"),"[Wcag] info-bulle")</f>
        <v>[Wcag] info-bulle</v>
      </c>
      <c r="I463" s="15" t="str">
        <f>IFERROR(__xludf.DUMMYFUNCTION("GOOGLETRANSLATE(E463,""en"",""de"")"),"[WCAG] Tooltip")</f>
        <v>[WCAG] Tooltip</v>
      </c>
    </row>
    <row r="464">
      <c r="A464" s="15" t="s">
        <v>548</v>
      </c>
      <c r="B464" s="15" t="s">
        <v>763</v>
      </c>
      <c r="C464" s="15" t="s">
        <v>92</v>
      </c>
      <c r="D464" s="15" t="s">
        <v>12</v>
      </c>
      <c r="E464" s="16" t="s">
        <v>764</v>
      </c>
      <c r="F464" s="15" t="str">
        <f>IFERROR(__xludf.DUMMYFUNCTION("GOOGLETRANSLATE(E464,""en"", ""ja"")"),"[wcag]ダイアログ")</f>
        <v>[wcag]ダイアログ</v>
      </c>
      <c r="G464" s="15" t="str">
        <f>IFERROR(__xludf.DUMMYFUNCTION("GOOGLETRANSLATE(E464,""en"",""zh-cn"")"),"[WCAG]对话框")</f>
        <v>[WCAG]对话框</v>
      </c>
      <c r="H464" s="15" t="str">
        <f>IFERROR(__xludf.DUMMYFUNCTION("GOOGLETRANSLATE(E464,""en"",""fr"")"),"[WCAG] Boîte de dialogue")</f>
        <v>[WCAG] Boîte de dialogue</v>
      </c>
      <c r="I464" s="15" t="str">
        <f>IFERROR(__xludf.DUMMYFUNCTION("GOOGLETRANSLATE(E464,""en"",""de"")"),"[WCAG] Dialog")</f>
        <v>[WCAG] Dialog</v>
      </c>
    </row>
    <row r="465">
      <c r="A465" s="15" t="s">
        <v>548</v>
      </c>
      <c r="B465" s="15" t="s">
        <v>765</v>
      </c>
      <c r="C465" s="15" t="s">
        <v>92</v>
      </c>
      <c r="D465" s="15" t="s">
        <v>12</v>
      </c>
      <c r="E465" s="16" t="s">
        <v>766</v>
      </c>
      <c r="F465" s="15" t="str">
        <f>IFERROR(__xludf.DUMMYFUNCTION("GOOGLETRANSLATE(E465,""en"", ""ja"")"),"diag-右上隅にあるxアイコンを削除します。")</f>
        <v>diag-右上隅にあるxアイコンを削除します。</v>
      </c>
      <c r="G465" s="15" t="str">
        <f>IFERROR(__xludf.DUMMYFUNCTION("GOOGLETRANSLATE(E465,""en"",""zh-cn"")"),"diag-卸下右上角的X图标。")</f>
        <v>diag-卸下右上角的X图标。</v>
      </c>
      <c r="H465" s="15" t="str">
        <f>IFERROR(__xludf.DUMMYFUNCTION("GOOGLETRANSLATE(E465,""en"",""fr"")"),"Diag - Retirez l'icône X dans le coin supérieur droit.")</f>
        <v>Diag - Retirez l'icône X dans le coin supérieur droit.</v>
      </c>
      <c r="I465" s="15" t="str">
        <f>IFERROR(__xludf.DUMMYFUNCTION("GOOGLETRANSLATE(E465,""en"",""de"")"),"Diag - Entfernen Sie das X -Symbol in der rechten oberen Ecke.")</f>
        <v>Diag - Entfernen Sie das X -Symbol in der rechten oberen Ecke.</v>
      </c>
    </row>
    <row r="466">
      <c r="A466" s="15" t="s">
        <v>548</v>
      </c>
      <c r="B466" s="15" t="s">
        <v>767</v>
      </c>
      <c r="C466" s="15" t="s">
        <v>92</v>
      </c>
      <c r="D466" s="15" t="s">
        <v>12</v>
      </c>
      <c r="E466" s="16" t="s">
        <v>768</v>
      </c>
      <c r="F466" s="15" t="str">
        <f>IFERROR(__xludf.DUMMYFUNCTION("GOOGLETRANSLATE(E466,""en"", ""ja"")"),"メインナビゲーションにタイトルプロパティを追加します")</f>
        <v>メインナビゲーションにタイトルプロパティを追加します</v>
      </c>
      <c r="G466" s="15" t="str">
        <f>IFERROR(__xludf.DUMMYFUNCTION("GOOGLETRANSLATE(E466,""en"",""zh-cn"")"),"添加主要导航的标题属性")</f>
        <v>添加主要导航的标题属性</v>
      </c>
      <c r="H466" s="15" t="str">
        <f>IFERROR(__xludf.DUMMYFUNCTION("GOOGLETRANSLATE(E466,""en"",""fr"")"),"Ajouter une propriété de titre pour la navigation principale")</f>
        <v>Ajouter une propriété de titre pour la navigation principale</v>
      </c>
      <c r="I466" s="15" t="str">
        <f>IFERROR(__xludf.DUMMYFUNCTION("GOOGLETRANSLATE(E466,""en"",""de"")"),"Fügen Sie die Titeleigenschaft für die Hauptnavigation hinzu")</f>
        <v>Fügen Sie die Titeleigenschaft für die Hauptnavigation hinzu</v>
      </c>
    </row>
    <row r="467">
      <c r="A467" s="15" t="s">
        <v>548</v>
      </c>
      <c r="B467" s="15" t="s">
        <v>769</v>
      </c>
      <c r="C467" s="15" t="s">
        <v>92</v>
      </c>
      <c r="D467" s="15" t="s">
        <v>12</v>
      </c>
      <c r="E467" s="16" t="s">
        <v>770</v>
      </c>
      <c r="F467" s="15" t="str">
        <f>IFERROR(__xludf.DUMMYFUNCTION("GOOGLETRANSLATE(E467,""en"", ""ja"")"),"モーダルページを追加します")</f>
        <v>モーダルページを追加します</v>
      </c>
      <c r="G467" s="15" t="str">
        <f>IFERROR(__xludf.DUMMYFUNCTION("GOOGLETRANSLATE(E467,""en"",""zh-cn"")"),"添加模式页面")</f>
        <v>添加模式页面</v>
      </c>
      <c r="H467" s="15" t="str">
        <f>IFERROR(__xludf.DUMMYFUNCTION("GOOGLETRANSLATE(E467,""en"",""fr"")"),"Ajouter la page modale")</f>
        <v>Ajouter la page modale</v>
      </c>
      <c r="I467" s="15" t="str">
        <f>IFERROR(__xludf.DUMMYFUNCTION("GOOGLETRANSLATE(E467,""en"",""de"")"),"Fügen Sie die modale Seite hinzu")</f>
        <v>Fügen Sie die modale Seite hinzu</v>
      </c>
    </row>
    <row r="468">
      <c r="A468" s="15" t="s">
        <v>548</v>
      </c>
      <c r="B468" s="15" t="s">
        <v>771</v>
      </c>
      <c r="C468" s="15" t="s">
        <v>92</v>
      </c>
      <c r="D468" s="15" t="s">
        <v>12</v>
      </c>
      <c r="E468" s="16" t="s">
        <v>772</v>
      </c>
      <c r="F468" s="15" t="str">
        <f>IFERROR(__xludf.DUMMYFUNCTION("GOOGLETRANSLATE(E468,""en"", ""ja"")"),"ワッフルサポートカスタムIMGアイコン")</f>
        <v>ワッフルサポートカスタムIMGアイコン</v>
      </c>
      <c r="G468" s="15" t="str">
        <f>IFERROR(__xludf.DUMMYFUNCTION("GOOGLETRANSLATE(E468,""en"",""zh-cn"")"),"华夫饼支持自定义IMG图标")</f>
        <v>华夫饼支持自定义IMG图标</v>
      </c>
      <c r="H468" s="15" t="str">
        <f>IFERROR(__xludf.DUMMYFUNCTION("GOOGLETRANSLATE(E468,""en"",""fr"")"),"Icône IMG personnalisée")</f>
        <v>Icône IMG personnalisée</v>
      </c>
      <c r="I468" s="15" t="str">
        <f>IFERROR(__xludf.DUMMYFUNCTION("GOOGLETRANSLATE(E468,""en"",""de"")"),"Waffel unterstützen benutzerdefinierte IMG -Symbol")</f>
        <v>Waffel unterstützen benutzerdefinierte IMG -Symbol</v>
      </c>
    </row>
    <row r="469">
      <c r="A469" s="15" t="s">
        <v>548</v>
      </c>
      <c r="B469" s="15" t="s">
        <v>773</v>
      </c>
      <c r="C469" s="15" t="s">
        <v>92</v>
      </c>
      <c r="D469" s="15" t="s">
        <v>12</v>
      </c>
      <c r="E469" s="16" t="s">
        <v>774</v>
      </c>
      <c r="F469" s="15" t="str">
        <f>IFERROR(__xludf.DUMMYFUNCTION("GOOGLETRANSLATE(E469,""en"", ""ja"")"),"[VPAT]ピッカーのための2つのシナリオ")</f>
        <v>[VPAT]ピッカーのための2つのシナリオ</v>
      </c>
      <c r="G469" s="15" t="str">
        <f>IFERROR(__xludf.DUMMYFUNCTION("GOOGLETRANSLATE(E469,""en"",""zh-cn"")"),"[VPAT]针对人的两个方案")</f>
        <v>[VPAT]针对人的两个方案</v>
      </c>
      <c r="H469" s="15" t="str">
        <f>IFERROR(__xludf.DUMMYFUNCTION("GOOGLETRANSLATE(E469,""en"",""fr"")"),"[VPAT] Deux scénarios pour les personnes Picker")</f>
        <v>[VPAT] Deux scénarios pour les personnes Picker</v>
      </c>
      <c r="I469" s="15" t="str">
        <f>IFERROR(__xludf.DUMMYFUNCTION("GOOGLETRANSLATE(E469,""en"",""de"")"),"[VPAT] Zwei Szenarien für People Picker")</f>
        <v>[VPAT] Zwei Szenarien für People Picker</v>
      </c>
    </row>
    <row r="470">
      <c r="A470" s="15" t="s">
        <v>548</v>
      </c>
      <c r="B470" s="15" t="s">
        <v>775</v>
      </c>
      <c r="C470" s="15" t="s">
        <v>92</v>
      </c>
      <c r="D470" s="15" t="s">
        <v>12</v>
      </c>
      <c r="E470" s="16" t="s">
        <v>776</v>
      </c>
      <c r="F470" s="15" t="str">
        <f>IFERROR(__xludf.DUMMYFUNCTION("GOOGLETRANSLATE(E470,""en"", ""ja"")"),"[WCAG]キーボードの問題を選択します")</f>
        <v>[WCAG]キーボードの問題を選択します</v>
      </c>
      <c r="G470" s="15" t="str">
        <f>IFERROR(__xludf.DUMMYFUNCTION("GOOGLETRANSLATE(E470,""en"",""zh-cn"")"),"[WCAG]选择键盘问题")</f>
        <v>[WCAG]选择键盘问题</v>
      </c>
      <c r="H470" s="15" t="str">
        <f>IFERROR(__xludf.DUMMYFUNCTION("GOOGLETRANSLATE(E470,""en"",""fr"")"),"[WCAG] Sélectionnez des problèmes de clavier")</f>
        <v>[WCAG] Sélectionnez des problèmes de clavier</v>
      </c>
      <c r="I470" s="15" t="str">
        <f>IFERROR(__xludf.DUMMYFUNCTION("GOOGLETRANSLATE(E470,""en"",""de"")"),"[WCAG] Wählen Sie Tastaturprobleme")</f>
        <v>[WCAG] Wählen Sie Tastaturprobleme</v>
      </c>
    </row>
    <row r="471">
      <c r="A471" s="15" t="s">
        <v>548</v>
      </c>
      <c r="B471" s="15" t="s">
        <v>777</v>
      </c>
      <c r="C471" s="15" t="s">
        <v>92</v>
      </c>
      <c r="D471" s="15" t="s">
        <v>12</v>
      </c>
      <c r="E471" s="16" t="s">
        <v>778</v>
      </c>
      <c r="F471" s="15" t="str">
        <f>IFERROR(__xludf.DUMMYFUNCTION("GOOGLETRANSLATE(E471,""en"", ""ja"")"),"[WCAG]ピッカーキーボードの問題")</f>
        <v>[WCAG]ピッカーキーボードの問題</v>
      </c>
      <c r="G471" s="15" t="str">
        <f>IFERROR(__xludf.DUMMYFUNCTION("GOOGLETRANSLATE(E471,""en"",""zh-cn"")"),"[WCAG] People Picker键盘问题")</f>
        <v>[WCAG] People Picker键盘问题</v>
      </c>
      <c r="H471" s="15" t="str">
        <f>IFERROR(__xludf.DUMMYFUNCTION("GOOGLETRANSLATE(E471,""en"",""fr"")"),"[WCAG] Problèmes de clavier de cueilleur de personnes")</f>
        <v>[WCAG] Problèmes de clavier de cueilleur de personnes</v>
      </c>
      <c r="I471" s="15" t="str">
        <f>IFERROR(__xludf.DUMMYFUNCTION("GOOGLETRANSLATE(E471,""en"",""de"")"),"[WCAG] People Picker -Tastaturprobleme")</f>
        <v>[WCAG] People Picker -Tastaturprobleme</v>
      </c>
    </row>
    <row r="472">
      <c r="A472" s="15" t="s">
        <v>548</v>
      </c>
      <c r="B472" s="15" t="s">
        <v>779</v>
      </c>
      <c r="C472" s="15" t="s">
        <v>92</v>
      </c>
      <c r="D472" s="15" t="s">
        <v>12</v>
      </c>
      <c r="E472" s="16" t="s">
        <v>780</v>
      </c>
      <c r="F472" s="15" t="str">
        <f>IFERROR(__xludf.DUMMYFUNCTION("GOOGLETRANSLATE(E472,""en"", ""ja"")"),"[WCAG]日付ピッカーキーボードの問題")</f>
        <v>[WCAG]日付ピッカーキーボードの問題</v>
      </c>
      <c r="G472" s="15" t="str">
        <f>IFERROR(__xludf.DUMMYFUNCTION("GOOGLETRANSLATE(E472,""en"",""zh-cn"")"),"[WCAG]日期选择器键盘问题")</f>
        <v>[WCAG]日期选择器键盘问题</v>
      </c>
      <c r="H472" s="15" t="str">
        <f>IFERROR(__xludf.DUMMYFUNCTION("GOOGLETRANSLATE(E472,""en"",""fr"")"),"[WCAG] Problèmes de clavier de sélecteur de date")</f>
        <v>[WCAG] Problèmes de clavier de sélecteur de date</v>
      </c>
      <c r="I472" s="15" t="str">
        <f>IFERROR(__xludf.DUMMYFUNCTION("GOOGLETRANSLATE(E472,""en"",""de"")"),"[WCAG] Date Picker -Tastaturprobleme")</f>
        <v>[WCAG] Date Picker -Tastaturprobleme</v>
      </c>
    </row>
    <row r="473">
      <c r="A473" s="15" t="s">
        <v>548</v>
      </c>
      <c r="B473" s="15" t="s">
        <v>781</v>
      </c>
      <c r="C473" s="15" t="s">
        <v>92</v>
      </c>
      <c r="D473" s="15" t="s">
        <v>12</v>
      </c>
      <c r="E473" s="16" t="s">
        <v>782</v>
      </c>
      <c r="F473" s="15" t="str">
        <f>IFERROR(__xludf.DUMMYFUNCTION("GOOGLETRANSLATE(E473,""en"", ""ja"")"),"[タイマーピッカー]データをロードできるはずです")</f>
        <v>[タイマーピッカー]データをロードできるはずです</v>
      </c>
      <c r="G473" s="15" t="str">
        <f>IFERROR(__xludf.DUMMYFUNCTION("GOOGLETRANSLATE(E473,""en"",""zh-cn"")"),"[计时器选择器]应该能够加载数据")</f>
        <v>[计时器选择器]应该能够加载数据</v>
      </c>
      <c r="H473" s="15" t="str">
        <f>IFERROR(__xludf.DUMMYFUNCTION("GOOGLETRANSLATE(E473,""en"",""fr"")"),"[Picker de minuterie] devrait être en mesure de charger des données")</f>
        <v>[Picker de minuterie] devrait être en mesure de charger des données</v>
      </c>
      <c r="I473" s="15" t="str">
        <f>IFERROR(__xludf.DUMMYFUNCTION("GOOGLETRANSLATE(E473,""en"",""de"")"),"[Timer Picker] sollte in der Lage sein, Daten zu laden")</f>
        <v>[Timer Picker] sollte in der Lage sein, Daten zu laden</v>
      </c>
    </row>
    <row r="474">
      <c r="A474" s="15" t="s">
        <v>548</v>
      </c>
      <c r="B474" s="15" t="s">
        <v>783</v>
      </c>
      <c r="C474" s="15" t="s">
        <v>92</v>
      </c>
      <c r="D474" s="15" t="s">
        <v>12</v>
      </c>
      <c r="E474" s="16" t="s">
        <v>784</v>
      </c>
      <c r="F474" s="15" t="str">
        <f>IFERROR(__xludf.DUMMYFUNCTION("GOOGLETRANSLATE(E474,""en"", ""ja"")"),"[表]クリックリンクは現在の行を選択しないでください。")</f>
        <v>[表]クリックリンクは現在の行を選択しないでください。</v>
      </c>
      <c r="G474" s="15" t="str">
        <f>IFERROR(__xludf.DUMMYFUNCTION("GOOGLETRANSLATE(E474,""en"",""zh-cn"")"),"[表]单击链接不应选择当前行。")</f>
        <v>[表]单击链接不应选择当前行。</v>
      </c>
      <c r="H474" s="15" t="str">
        <f>IFERROR(__xludf.DUMMYFUNCTION("GOOGLETRANSLATE(E474,""en"",""fr"")"),"[Table] Cliquez sur le lien ne doit pas sélectionner la ligne actuelle.")</f>
        <v>[Table] Cliquez sur le lien ne doit pas sélectionner la ligne actuelle.</v>
      </c>
      <c r="I474" s="15" t="str">
        <f>IFERROR(__xludf.DUMMYFUNCTION("GOOGLETRANSLATE(E474,""en"",""de"")"),"[Tabelle] Klick -Link sollte nicht die aktuelle Zeile auswählen.")</f>
        <v>[Tabelle] Klick -Link sollte nicht die aktuelle Zeile auswählen.</v>
      </c>
    </row>
    <row r="475">
      <c r="A475" s="15" t="s">
        <v>548</v>
      </c>
      <c r="B475" s="15" t="s">
        <v>785</v>
      </c>
      <c r="C475" s="15" t="s">
        <v>92</v>
      </c>
      <c r="D475" s="15" t="s">
        <v>12</v>
      </c>
      <c r="E475" s="16" t="s">
        <v>786</v>
      </c>
      <c r="F475" s="15" t="str">
        <f>IFERROR(__xludf.DUMMYFUNCTION("GOOGLETRANSLATE(E475,""en"", ""ja"")"),"タイトルとコントロールの間隔は4pxでなければなりません")</f>
        <v>タイトルとコントロールの間隔は4pxでなければなりません</v>
      </c>
      <c r="G475" s="15" t="str">
        <f>IFERROR(__xludf.DUMMYFUNCTION("GOOGLETRANSLATE(E475,""en"",""zh-cn"")"),"标题和控制之间的间距应为4px")</f>
        <v>标题和控制之间的间距应为4px</v>
      </c>
      <c r="H475" s="15" t="str">
        <f>IFERROR(__xludf.DUMMYFUNCTION("GOOGLETRANSLATE(E475,""en"",""fr"")"),"L'espacement entre le titre et le contrôle doit être 4px")</f>
        <v>L'espacement entre le titre et le contrôle doit être 4px</v>
      </c>
      <c r="I475" s="15" t="str">
        <f>IFERROR(__xludf.DUMMYFUNCTION("GOOGLETRANSLATE(E475,""en"",""de"")"),"Der Abstand zwischen Titel und Kontrolle sollte 4px sein")</f>
        <v>Der Abstand zwischen Titel und Kontrolle sollte 4px sein</v>
      </c>
    </row>
    <row r="476">
      <c r="A476" s="15" t="s">
        <v>548</v>
      </c>
      <c r="B476" s="15" t="s">
        <v>787</v>
      </c>
      <c r="C476" s="15" t="s">
        <v>92</v>
      </c>
      <c r="D476" s="15" t="s">
        <v>12</v>
      </c>
      <c r="E476" s="16" t="s">
        <v>788</v>
      </c>
      <c r="F476" s="15" t="str">
        <f>IFERROR(__xludf.DUMMYFUNCTION("GOOGLETRANSLATE(E476,""en"", ""ja"")"),"サブメニューを使用したナビゲーションは、アイコンをクリックするときに応答しません")</f>
        <v>サブメニューを使用したナビゲーションは、アイコンをクリックするときに応答しません</v>
      </c>
      <c r="G476" s="15" t="str">
        <f>IFERROR(__xludf.DUMMYFUNCTION("GOOGLETRANSLATE(E476,""en"",""zh-cn"")"),"单击图标时使用子菜单导航无响应")</f>
        <v>单击图标时使用子菜单导航无响应</v>
      </c>
      <c r="H476" s="15" t="str">
        <f>IFERROR(__xludf.DUMMYFUNCTION("GOOGLETRANSLATE(E476,""en"",""fr"")"),"La navigation avec des sous-menus n'a pas de réponse lorsque vous cliquez sur l'icône")</f>
        <v>La navigation avec des sous-menus n'a pas de réponse lorsque vous cliquez sur l'icône</v>
      </c>
      <c r="I476" s="15" t="str">
        <f>IFERROR(__xludf.DUMMYFUNCTION("GOOGLETRANSLATE(E476,""en"",""de"")"),"Die Navigation mit Sub -Menüs reagiert beim Klicken auf Symbol nicht")</f>
        <v>Die Navigation mit Sub -Menüs reagiert beim Klicken auf Symbol nicht</v>
      </c>
    </row>
    <row r="477">
      <c r="A477" s="15" t="s">
        <v>548</v>
      </c>
      <c r="B477" s="15" t="s">
        <v>789</v>
      </c>
      <c r="C477" s="15" t="s">
        <v>92</v>
      </c>
      <c r="D477" s="15" t="s">
        <v>12</v>
      </c>
      <c r="E477" s="16" t="s">
        <v>790</v>
      </c>
      <c r="F477" s="15" t="str">
        <f>IFERROR(__xludf.DUMMYFUNCTION("GOOGLETRANSLATE(E477,""en"", ""ja"")"),"ドラッグすると、テーブル幅が広くなります")</f>
        <v>ドラッグすると、テーブル幅が広くなります</v>
      </c>
      <c r="G477" s="15" t="str">
        <f>IFERROR(__xludf.DUMMYFUNCTION("GOOGLETRANSLATE(E477,""en"",""zh-cn"")"),"拖动时表宽度应该更宽")</f>
        <v>拖动时表宽度应该更宽</v>
      </c>
      <c r="H477" s="15" t="str">
        <f>IFERROR(__xludf.DUMMYFUNCTION("GOOGLETRANSLATE(E477,""en"",""fr"")"),"La largeur du tableau doit être plus large lors de la traînée")</f>
        <v>La largeur du tableau doit être plus large lors de la traînée</v>
      </c>
      <c r="I477" s="15" t="str">
        <f>IFERROR(__xludf.DUMMYFUNCTION("GOOGLETRANSLATE(E477,""en"",""de"")"),"Die Tabellenbreite sollte beim Ziehen breiter sein")</f>
        <v>Die Tabellenbreite sollte beim Ziehen breiter sein</v>
      </c>
    </row>
    <row r="478">
      <c r="A478" s="15" t="s">
        <v>548</v>
      </c>
      <c r="B478" s="15" t="s">
        <v>791</v>
      </c>
      <c r="C478" s="15" t="s">
        <v>92</v>
      </c>
      <c r="D478" s="15" t="s">
        <v>12</v>
      </c>
      <c r="E478" s="16" t="s">
        <v>792</v>
      </c>
      <c r="F478" s="15" t="str">
        <f>IFERROR(__xludf.DUMMYFUNCTION("GOOGLETRANSLATE(E478,""en"", ""ja"")"),"[VPAT] expander：ストレージの内容のためのVPATイベントなし")</f>
        <v>[VPAT] expander：ストレージの内容のためのVPATイベントなし</v>
      </c>
      <c r="G478" s="15" t="str">
        <f>IFERROR(__xludf.DUMMYFUNCTION("GOOGLETRANSLATE(E478,""en"",""zh-cn"")"),"[VPAT]扩展器：没有用于存储内容的VPAT事件")</f>
        <v>[VPAT]扩展器：没有用于存储内容的VPAT事件</v>
      </c>
      <c r="H478" s="15" t="str">
        <f>IFERROR(__xludf.DUMMYFUNCTION("GOOGLETRANSLATE(E478,""en"",""fr"")"),"[VPAT] Expander: pas d'événement VPAT pour le contenu du stockage")</f>
        <v>[VPAT] Expander: pas d'événement VPAT pour le contenu du stockage</v>
      </c>
      <c r="I478" s="15" t="str">
        <f>IFERROR(__xludf.DUMMYFUNCTION("GOOGLETRANSLATE(E478,""en"",""de"")"),"[VPAT] Expander: Kein VPAT -Ereignis für den Speicherinhalt des Speichers")</f>
        <v>[VPAT] Expander: Kein VPAT -Ereignis für den Speicherinhalt des Speichers</v>
      </c>
    </row>
    <row r="479">
      <c r="A479" s="15" t="s">
        <v>548</v>
      </c>
      <c r="B479" s="15" t="s">
        <v>793</v>
      </c>
      <c r="C479" s="15" t="s">
        <v>92</v>
      </c>
      <c r="D479" s="15" t="s">
        <v>12</v>
      </c>
      <c r="E479" s="16" t="s">
        <v>794</v>
      </c>
      <c r="F479" s="15" t="str">
        <f>IFERROR(__xludf.DUMMYFUNCTION("GOOGLETRANSLATE(E479,""en"", ""ja"")"),"[VPAT]バックアップ頻度の変更：タブを押すことで、キャンセル、保存ボタンに集中できません")</f>
        <v>[VPAT]バックアップ頻度の変更：タブを押すことで、キャンセル、保存ボタンに集中できません</v>
      </c>
      <c r="G479" s="15" t="str">
        <f>IFERROR(__xludf.DUMMYFUNCTION("GOOGLETRANSLATE(E479,""en"",""zh-cn"")"),"[VPAT]更改备份频率：不能专注于取消，通过按下来保存按钮")</f>
        <v>[VPAT]更改备份频率：不能专注于取消，通过按下来保存按钮</v>
      </c>
      <c r="H479" s="15" t="str">
        <f>IFERROR(__xludf.DUMMYFUNCTION("GOOGLETRANSLATE(E479,""en"",""fr"")"),"[VPAT] Modifier la fréquence de sauvegarde: Impossible de se concentrer sur Annuler, Enregistrer le bouton en appuyant sur l'onglet")</f>
        <v>[VPAT] Modifier la fréquence de sauvegarde: Impossible de se concentrer sur Annuler, Enregistrer le bouton en appuyant sur l'onglet</v>
      </c>
      <c r="I479" s="15" t="str">
        <f>IFERROR(__xludf.DUMMYFUNCTION("GOOGLETRANSLATE(E479,""en"",""de"")"),"[VPAT] Sicherungsfrequenz ändern: Ich kann mich nicht auf die Abbrechen konzentrieren. Speichern Sie die Taste, indem Sie die Registerkarte drücken")</f>
        <v>[VPAT] Sicherungsfrequenz ändern: Ich kann mich nicht auf die Abbrechen konzentrieren. Speichern Sie die Taste, indem Sie die Registerkarte drücken</v>
      </c>
    </row>
    <row r="480">
      <c r="A480" s="15" t="s">
        <v>548</v>
      </c>
      <c r="B480" s="15" t="s">
        <v>795</v>
      </c>
      <c r="C480" s="15" t="s">
        <v>92</v>
      </c>
      <c r="D480" s="15" t="s">
        <v>12</v>
      </c>
      <c r="E480" s="16" t="s">
        <v>796</v>
      </c>
      <c r="F480" s="15" t="str">
        <f>IFERROR(__xludf.DUMMYFUNCTION("GOOGLETRANSLATE(E480,""en"", ""ja"")"),"[複数の選択]選択された1つのみが選択され、選択したアイテムではなく、選択したアイテムを表示する必要があります")</f>
        <v>[複数の選択]選択された1つのみが選択され、選択したアイテムではなく、選択したアイテムを表示する必要があります</v>
      </c>
      <c r="G480" s="15" t="str">
        <f>IFERROR(__xludf.DUMMYFUNCTION("GOOGLETRANSLATE(E480,""en"",""zh-cn"")"),"[多个选择]仅选择一个，应显示选定的项目，而不是1个选定的项目")</f>
        <v>[多个选择]仅选择一个，应显示选定的项目，而不是1个选定的项目</v>
      </c>
      <c r="H480" s="15" t="str">
        <f>IFERROR(__xludf.DUMMYFUNCTION("GOOGLETRANSLATE(E480,""en"",""fr"")"),"[Plusieurs sélections] Un seul est sélectionné, devrait afficher l'élément sélectionné, pas 1 éléments sélectionnés")</f>
        <v>[Plusieurs sélections] Un seul est sélectionné, devrait afficher l'élément sélectionné, pas 1 éléments sélectionnés</v>
      </c>
      <c r="I480" s="15" t="str">
        <f>IFERROR(__xludf.DUMMYFUNCTION("GOOGLETRANSLATE(E480,""en"",""de"")"),"[Mehrfach ausgewählt] Nur eins wird ausgewählt, sollte das ausgewählte Element anzeigen, nicht 1 ausgewählte Elemente")</f>
        <v>[Mehrfach ausgewählt] Nur eins wird ausgewählt, sollte das ausgewählte Element anzeigen, nicht 1 ausgewählte Elemente</v>
      </c>
    </row>
    <row r="481">
      <c r="A481" s="15" t="s">
        <v>548</v>
      </c>
      <c r="B481" s="15" t="s">
        <v>797</v>
      </c>
      <c r="C481" s="15" t="s">
        <v>92</v>
      </c>
      <c r="D481" s="15" t="s">
        <v>12</v>
      </c>
      <c r="E481" s="16" t="s">
        <v>798</v>
      </c>
      <c r="F481" s="15" t="str">
        <f>IFERROR(__xludf.DUMMYFUNCTION("GOOGLETRANSLATE(E481,""en"", ""ja"")"),"モーダルが表示されると、ページはクリック可能です")</f>
        <v>モーダルが表示されると、ページはクリック可能です</v>
      </c>
      <c r="G481" s="15" t="str">
        <f>IFERROR(__xludf.DUMMYFUNCTION("GOOGLETRANSLATE(E481,""en"",""zh-cn"")"),"当可见模式时，该页面可单击")</f>
        <v>当可见模式时，该页面可单击</v>
      </c>
      <c r="H481" s="15" t="str">
        <f>IFERROR(__xludf.DUMMYFUNCTION("GOOGLETRANSLATE(E481,""en"",""fr"")"),"La page est cliquable lorsqu'un modal est visible")</f>
        <v>La page est cliquable lorsqu'un modal est visible</v>
      </c>
      <c r="I481" s="15" t="str">
        <f>IFERROR(__xludf.DUMMYFUNCTION("GOOGLETRANSLATE(E481,""en"",""de"")"),"Die Seite ist anklickbar, wenn ein Modal sichtbar ist")</f>
        <v>Die Seite ist anklickbar, wenn ein Modal sichtbar ist</v>
      </c>
    </row>
    <row r="482">
      <c r="A482" s="15" t="s">
        <v>548</v>
      </c>
      <c r="B482" s="15" t="s">
        <v>799</v>
      </c>
      <c r="C482" s="15" t="s">
        <v>92</v>
      </c>
      <c r="D482" s="15" t="s">
        <v>12</v>
      </c>
      <c r="E482" s="16" t="s">
        <v>800</v>
      </c>
      <c r="F482" s="15" t="str">
        <f>IFERROR(__xludf.DUMMYFUNCTION("GOOGLETRANSLATE(E482,""en"", ""ja"")"),"[ワッフル]製品がアルファベット順にあることを示す必要があります")</f>
        <v>[ワッフル]製品がアルファベット順にあることを示す必要があります</v>
      </c>
      <c r="G482" s="15" t="str">
        <f>IFERROR(__xludf.DUMMYFUNCTION("GOOGLETRANSLATE(E482,""en"",""zh-cn"")"),"[华夫饼]应显示产品按字母顺序排列")</f>
        <v>[华夫饼]应显示产品按字母顺序排列</v>
      </c>
      <c r="H482" s="15" t="str">
        <f>IFERROR(__xludf.DUMMYFUNCTION("GOOGLETRANSLATE(E482,""en"",""fr"")"),"[Waffle] devrait montrer que les produits sont en ordre alphabétique")</f>
        <v>[Waffle] devrait montrer que les produits sont en ordre alphabétique</v>
      </c>
      <c r="I482" s="15" t="str">
        <f>IFERROR(__xludf.DUMMYFUNCTION("GOOGLETRANSLATE(E482,""en"",""de"")"),"[Waffel] Sollten die Produkte in alphabetischer Reihenfolge zeigen,")</f>
        <v>[Waffel] Sollten die Produkte in alphabetischer Reihenfolge zeigen,</v>
      </c>
    </row>
    <row r="483">
      <c r="A483" s="15" t="s">
        <v>548</v>
      </c>
      <c r="B483" s="15" t="s">
        <v>801</v>
      </c>
      <c r="C483" s="15" t="s">
        <v>92</v>
      </c>
      <c r="D483" s="15" t="s">
        <v>12</v>
      </c>
      <c r="E483" s="16" t="s">
        <v>802</v>
      </c>
      <c r="F483" s="15" t="str">
        <f>IFERROR(__xludf.DUMMYFUNCTION("GOOGLETRANSLATE(E483,""en"", ""ja"")"),"[DMSOフィードバック]ナビゲーションパラメーターの問題")</f>
        <v>[DMSOフィードバック]ナビゲーションパラメーターの問題</v>
      </c>
      <c r="G483" s="15" t="str">
        <f>IFERROR(__xludf.DUMMYFUNCTION("GOOGLETRANSLATE(E483,""en"",""zh-cn"")"),"[DMSO反馈]导航参数问题")</f>
        <v>[DMSO反馈]导航参数问题</v>
      </c>
      <c r="H483" s="15" t="str">
        <f>IFERROR(__xludf.DUMMYFUNCTION("GOOGLETRANSLATE(E483,""en"",""fr"")"),"[Feedback DMSO] Problème des paramètres de navigation")</f>
        <v>[Feedback DMSO] Problème des paramètres de navigation</v>
      </c>
      <c r="I483" s="15" t="str">
        <f>IFERROR(__xludf.DUMMYFUNCTION("GOOGLETRANSLATE(E483,""en"",""de"")"),"[DMSO -Feedback] Navigationsparameter Problem")</f>
        <v>[DMSO -Feedback] Navigationsparameter Problem</v>
      </c>
    </row>
    <row r="484">
      <c r="A484" s="15" t="s">
        <v>548</v>
      </c>
      <c r="B484" s="15" t="s">
        <v>803</v>
      </c>
      <c r="C484" s="15" t="s">
        <v>92</v>
      </c>
      <c r="D484" s="15" t="s">
        <v>12</v>
      </c>
      <c r="E484" s="16" t="s">
        <v>804</v>
      </c>
      <c r="F484" s="15" t="str">
        <f>IFERROR(__xludf.DUMMYFUNCTION("GOOGLETRANSLATE(E484,""en"", ""ja"")"),"ナビゲーションサブメニューのオーバーラップ")</f>
        <v>ナビゲーションサブメニューのオーバーラップ</v>
      </c>
      <c r="G484" s="15" t="str">
        <f>IFERROR(__xludf.DUMMYFUNCTION("GOOGLETRANSLATE(E484,""en"",""zh-cn"")"),"导航子菜单重叠")</f>
        <v>导航子菜单重叠</v>
      </c>
      <c r="H484" s="15" t="str">
        <f>IFERROR(__xludf.DUMMYFUNCTION("GOOGLETRANSLATE(E484,""en"",""fr"")"),"Chevauchement du sous-menu de navigation")</f>
        <v>Chevauchement du sous-menu de navigation</v>
      </c>
      <c r="I484" s="15" t="str">
        <f>IFERROR(__xludf.DUMMYFUNCTION("GOOGLETRANSLATE(E484,""en"",""de"")"),"Navigations -Untermenü überlappen")</f>
        <v>Navigations -Untermenü überlappen</v>
      </c>
    </row>
    <row r="485">
      <c r="A485" s="15" t="s">
        <v>548</v>
      </c>
      <c r="B485" s="15" t="s">
        <v>805</v>
      </c>
      <c r="C485" s="15" t="s">
        <v>92</v>
      </c>
      <c r="D485" s="15" t="s">
        <v>12</v>
      </c>
      <c r="E485" s="16" t="s">
        <v>806</v>
      </c>
      <c r="F485" s="15" t="str">
        <f>IFERROR(__xludf.DUMMYFUNCTION("GOOGLETRANSLATE(E485,""en"", ""ja"")"),"[VPAT]ダイアログ：ボタンのブラックラインは完了していません")</f>
        <v>[VPAT]ダイアログ：ボタンのブラックラインは完了していません</v>
      </c>
      <c r="G485" s="15" t="str">
        <f>IFERROR(__xludf.DUMMYFUNCTION("GOOGLETRANSLATE(E485,""en"",""zh-cn"")"),"[VPAT]对话框：按钮的黑线未完成")</f>
        <v>[VPAT]对话框：按钮的黑线未完成</v>
      </c>
      <c r="H485" s="15" t="str">
        <f>IFERROR(__xludf.DUMMYFUNCTION("GOOGLETRANSLATE(E485,""en"",""fr"")"),"[VPAT] Boîte de dialogue: la ligne noire pour le bouton n'est pas terminée")</f>
        <v>[VPAT] Boîte de dialogue: la ligne noire pour le bouton n'est pas terminée</v>
      </c>
      <c r="I485" s="15" t="str">
        <f>IFERROR(__xludf.DUMMYFUNCTION("GOOGLETRANSLATE(E485,""en"",""de"")"),"[VPAT] Dialog: Blackline für die Schaltfläche ist nicht abgeschlossen")</f>
        <v>[VPAT] Dialog: Blackline für die Schaltfläche ist nicht abgeschlossen</v>
      </c>
    </row>
    <row r="486">
      <c r="A486" s="15" t="s">
        <v>548</v>
      </c>
      <c r="B486" s="15" t="s">
        <v>807</v>
      </c>
      <c r="C486" s="15" t="s">
        <v>92</v>
      </c>
      <c r="D486" s="15" t="s">
        <v>12</v>
      </c>
      <c r="E486" s="16" t="s">
        <v>808</v>
      </c>
      <c r="F486" s="15" t="str">
        <f>IFERROR(__xludf.DUMMYFUNCTION("GOOGLETRANSLATE(E486,""en"", ""ja"")"),"ワッフルには、コンソールのエラーが表示されます")</f>
        <v>ワッフルには、コンソールのエラーが表示されます</v>
      </c>
      <c r="G486" s="15" t="str">
        <f>IFERROR(__xludf.DUMMYFUNCTION("GOOGLETRANSLATE(E486,""en"",""zh-cn"")"),"华夫饼在控制台中显示错误")</f>
        <v>华夫饼在控制台中显示错误</v>
      </c>
      <c r="H486" s="15" t="str">
        <f>IFERROR(__xludf.DUMMYFUNCTION("GOOGLETRANSLATE(E486,""en"",""fr"")"),"Waffle montre des erreurs dans la console")</f>
        <v>Waffle montre des erreurs dans la console</v>
      </c>
      <c r="I486" s="15" t="str">
        <f>IFERROR(__xludf.DUMMYFUNCTION("GOOGLETRANSLATE(E486,""en"",""de"")"),"Waffel zeigt Fehler in der Konsole")</f>
        <v>Waffel zeigt Fehler in der Konsole</v>
      </c>
    </row>
    <row r="487">
      <c r="A487" s="15" t="s">
        <v>548</v>
      </c>
      <c r="B487" s="15" t="s">
        <v>809</v>
      </c>
      <c r="C487" s="15" t="s">
        <v>92</v>
      </c>
      <c r="D487" s="15" t="s">
        <v>12</v>
      </c>
      <c r="E487" s="16" t="s">
        <v>810</v>
      </c>
      <c r="F487" s="15" t="str">
        <f>IFERROR(__xludf.DUMMYFUNCTION("GOOGLETRANSLATE(E487,""en"", ""ja"")"),"ピッカーの基本的な使用法キーボードユーザーの問題を追加します")</f>
        <v>ピッカーの基本的な使用法キーボードユーザーの問題を追加します</v>
      </c>
      <c r="G487" s="15" t="str">
        <f>IFERROR(__xludf.DUMMYFUNCTION("GOOGLETRANSLATE(E487,""en"",""zh-cn"")"),"People Picker基本用法键盘添加用户问题")</f>
        <v>People Picker基本用法键盘添加用户问题</v>
      </c>
      <c r="H487" s="15" t="str">
        <f>IFERROR(__xludf.DUMMYFUNCTION("GOOGLETRANSLATE(E487,""en"",""fr"")"),"PICHER PICKER BASIC USAGE-KEYBOOD Ajouter des problèmes d'utilisateur")</f>
        <v>PICHER PICKER BASIC USAGE-KEYBOOD Ajouter des problèmes d'utilisateur</v>
      </c>
      <c r="I487" s="15" t="str">
        <f>IFERROR(__xludf.DUMMYFUNCTION("GOOGLETRANSLATE(E487,""en"",""de"")"),"People Picker grundlegende Nutzungsteilschritte Fügen Sie Benutzerprobleme hinzu")</f>
        <v>People Picker grundlegende Nutzungsteilschritte Fügen Sie Benutzerprobleme hinzu</v>
      </c>
    </row>
    <row r="488">
      <c r="A488" s="15" t="s">
        <v>548</v>
      </c>
      <c r="B488" s="15" t="s">
        <v>811</v>
      </c>
      <c r="C488" s="15" t="s">
        <v>92</v>
      </c>
      <c r="D488" s="15" t="s">
        <v>12</v>
      </c>
      <c r="E488" s="16" t="s">
        <v>812</v>
      </c>
      <c r="F488" s="15" t="str">
        <f>IFERROR(__xludf.DUMMYFUNCTION("GOOGLETRANSLATE(E488,""en"", ""ja"")"),"[wcag]ワッフル")</f>
        <v>[wcag]ワッフル</v>
      </c>
      <c r="G488" s="15" t="str">
        <f>IFERROR(__xludf.DUMMYFUNCTION("GOOGLETRANSLATE(E488,""en"",""zh-cn"")"),"[WCAG]华夫饼")</f>
        <v>[WCAG]华夫饼</v>
      </c>
      <c r="H488" s="15" t="str">
        <f>IFERROR(__xludf.DUMMYFUNCTION("GOOGLETRANSLATE(E488,""en"",""fr"")"),"[WCAG] Waffle")</f>
        <v>[WCAG] Waffle</v>
      </c>
      <c r="I488" s="15" t="str">
        <f>IFERROR(__xludf.DUMMYFUNCTION("GOOGLETRANSLATE(E488,""en"",""de"")"),"[WCAG] Waffel")</f>
        <v>[WCAG] Waffel</v>
      </c>
    </row>
    <row r="489">
      <c r="A489" s="15" t="s">
        <v>548</v>
      </c>
      <c r="B489" s="15" t="s">
        <v>813</v>
      </c>
      <c r="C489" s="15" t="s">
        <v>92</v>
      </c>
      <c r="D489" s="15" t="s">
        <v>12</v>
      </c>
      <c r="E489" s="16" t="s">
        <v>814</v>
      </c>
      <c r="F489" s="15" t="str">
        <f>IFERROR(__xludf.DUMMYFUNCTION("GOOGLETRANSLATE(E489,""en"", ""ja"")"),"[デートピッカー]テキストの色を無効にする改善。")</f>
        <v>[デートピッカー]テキストの色を無効にする改善。</v>
      </c>
      <c r="G489" s="15" t="str">
        <f>IFERROR(__xludf.DUMMYFUNCTION("GOOGLETRANSLATE(E489,""en"",""zh-cn"")"),"[日期选择器]改进禁用文本颜色。")</f>
        <v>[日期选择器]改进禁用文本颜色。</v>
      </c>
      <c r="H489" s="15" t="str">
        <f>IFERROR(__xludf.DUMMYFUNCTION("GOOGLETRANSLATE(E489,""en"",""fr"")"),"[Picker de date] Améliorez la couleur de texte désactivé.")</f>
        <v>[Picker de date] Améliorez la couleur de texte désactivé.</v>
      </c>
      <c r="I489" s="15" t="str">
        <f>IFERROR(__xludf.DUMMYFUNCTION("GOOGLETRANSLATE(E489,""en"",""de"")"),"[Date Picker] Verbesserung der Deaktivierung der Textfarbe.")</f>
        <v>[Date Picker] Verbesserung der Deaktivierung der Textfarbe.</v>
      </c>
    </row>
    <row r="490">
      <c r="A490" s="15" t="s">
        <v>548</v>
      </c>
      <c r="B490" s="15" t="s">
        <v>815</v>
      </c>
      <c r="C490" s="15" t="s">
        <v>92</v>
      </c>
      <c r="D490" s="15" t="s">
        <v>12</v>
      </c>
      <c r="E490" s="16" t="s">
        <v>816</v>
      </c>
      <c r="F490" s="15" t="str">
        <f>IFERROR(__xludf.DUMMYFUNCTION("GOOGLETRANSLATE(E490,""en"", ""ja"")"),"検索ボックスの幅を改善します")</f>
        <v>検索ボックスの幅を改善します</v>
      </c>
      <c r="G490" s="15" t="str">
        <f>IFERROR(__xludf.DUMMYFUNCTION("GOOGLETRANSLATE(E490,""en"",""zh-cn"")"),"改进搜索框宽度")</f>
        <v>改进搜索框宽度</v>
      </c>
      <c r="H490" s="15" t="str">
        <f>IFERROR(__xludf.DUMMYFUNCTION("GOOGLETRANSLATE(E490,""en"",""fr"")"),"Améliorer la largeur de la boîte de recherche")</f>
        <v>Améliorer la largeur de la boîte de recherche</v>
      </c>
      <c r="I490" s="15" t="str">
        <f>IFERROR(__xludf.DUMMYFUNCTION("GOOGLETRANSLATE(E490,""en"",""de"")"),"Suchfeldbreite verbessern")</f>
        <v>Suchfeldbreite verbessern</v>
      </c>
    </row>
    <row r="491">
      <c r="A491" s="15" t="s">
        <v>548</v>
      </c>
      <c r="B491" s="15" t="s">
        <v>817</v>
      </c>
      <c r="C491" s="15" t="s">
        <v>92</v>
      </c>
      <c r="D491" s="15" t="s">
        <v>12</v>
      </c>
      <c r="E491" s="16" t="s">
        <v>818</v>
      </c>
      <c r="F491" s="15" t="str">
        <f>IFERROR(__xludf.DUMMYFUNCTION("GOOGLETRANSLATE(E491,""en"", ""ja"")"),"Fluent UIをアップグレードします")</f>
        <v>Fluent UIをアップグレードします</v>
      </c>
      <c r="G491" s="15" t="str">
        <f>IFERROR(__xludf.DUMMYFUNCTION("GOOGLETRANSLATE(E491,""en"",""zh-cn"")"),"升级流利的UI")</f>
        <v>升级流利的UI</v>
      </c>
      <c r="H491" s="15" t="str">
        <f>IFERROR(__xludf.DUMMYFUNCTION("GOOGLETRANSLATE(E491,""en"",""fr"")"),"Améliorer l'interface utilisateur courante")</f>
        <v>Améliorer l'interface utilisateur courante</v>
      </c>
      <c r="I491" s="15" t="str">
        <f>IFERROR(__xludf.DUMMYFUNCTION("GOOGLETRANSLATE(E491,""en"",""de"")"),"Aufrüstung der fließenden Benutzeroberfläche")</f>
        <v>Aufrüstung der fließenden Benutzeroberfläche</v>
      </c>
    </row>
    <row r="492">
      <c r="A492" s="15" t="s">
        <v>548</v>
      </c>
      <c r="B492" s="15" t="s">
        <v>819</v>
      </c>
      <c r="C492" s="15" t="s">
        <v>92</v>
      </c>
      <c r="D492" s="15" t="s">
        <v>12</v>
      </c>
      <c r="E492" s="16" t="s">
        <v>820</v>
      </c>
      <c r="F492" s="15" t="str">
        <f>IFERROR(__xludf.DUMMYFUNCTION("GOOGLETRANSLATE(E492,""en"", ""ja"")"),"サポートReact 18")</f>
        <v>サポートReact 18</v>
      </c>
      <c r="G492" s="15" t="str">
        <f>IFERROR(__xludf.DUMMYFUNCTION("GOOGLETRANSLATE(E492,""en"",""zh-cn"")"),"支持反应18")</f>
        <v>支持反应18</v>
      </c>
      <c r="H492" s="15" t="str">
        <f>IFERROR(__xludf.DUMMYFUNCTION("GOOGLETRANSLATE(E492,""en"",""fr"")"),"Support React 18")</f>
        <v>Support React 18</v>
      </c>
      <c r="I492" s="15" t="str">
        <f>IFERROR(__xludf.DUMMYFUNCTION("GOOGLETRANSLATE(E492,""en"",""de"")"),"Unterstützung reagiert 18")</f>
        <v>Unterstützung reagiert 18</v>
      </c>
    </row>
    <row r="493">
      <c r="A493" s="15" t="s">
        <v>548</v>
      </c>
      <c r="B493" s="15" t="s">
        <v>821</v>
      </c>
      <c r="C493" s="15" t="s">
        <v>92</v>
      </c>
      <c r="D493" s="15" t="s">
        <v>12</v>
      </c>
      <c r="E493" s="16" t="s">
        <v>822</v>
      </c>
      <c r="F493" s="15" t="str">
        <f>IFERROR(__xludf.DUMMYFUNCTION("GOOGLETRANSLATE(E493,""en"", ""ja"")"),"ツールチップは完全な文字gを表示できません")</f>
        <v>ツールチップは完全な文字gを表示できません</v>
      </c>
      <c r="G493" s="15" t="str">
        <f>IFERROR(__xludf.DUMMYFUNCTION("GOOGLETRANSLATE(E493,""en"",""zh-cn"")"),"工具提示无法显示完整的字母g")</f>
        <v>工具提示无法显示完整的字母g</v>
      </c>
      <c r="H493" s="15" t="str">
        <f>IFERROR(__xludf.DUMMYFUNCTION("GOOGLETRANSLATE(E493,""en"",""fr"")"),"L'influence ne peut pas afficher la lettre complète g")</f>
        <v>L'influence ne peut pas afficher la lettre complète g</v>
      </c>
      <c r="I493" s="15" t="str">
        <f>IFERROR(__xludf.DUMMYFUNCTION("GOOGLETRANSLATE(E493,""en"",""de"")"),"Tooltip kann keinen vollständigen Buchstaben g anzeigen")</f>
        <v>Tooltip kann keinen vollständigen Buchstaben g anzeigen</v>
      </c>
    </row>
    <row r="494">
      <c r="A494" s="15" t="s">
        <v>548</v>
      </c>
      <c r="B494" s="15" t="s">
        <v>823</v>
      </c>
      <c r="C494" s="15" t="s">
        <v>92</v>
      </c>
      <c r="D494" s="15" t="s">
        <v>12</v>
      </c>
      <c r="E494" s="16" t="s">
        <v>824</v>
      </c>
      <c r="F494" s="15" t="str">
        <f>IFERROR(__xludf.DUMMYFUNCTION("GOOGLETRANSLATE(E494,""en"", ""ja"")"),"ワッフルは、クリック時に表示/非表示にする必要があります")</f>
        <v>ワッフルは、クリック時に表示/非表示にする必要があります</v>
      </c>
      <c r="G494" s="15" t="str">
        <f>IFERROR(__xludf.DUMMYFUNCTION("GOOGLETRANSLATE(E494,""en"",""zh-cn"")"),"华夫饼在单击时应显示/隐藏")</f>
        <v>华夫饼在单击时应显示/隐藏</v>
      </c>
      <c r="H494" s="15" t="str">
        <f>IFERROR(__xludf.DUMMYFUNCTION("GOOGLETRANSLATE(E494,""en"",""fr"")"),"Waffle doit afficher / se cacher lorsque vous cliquez")</f>
        <v>Waffle doit afficher / se cacher lorsque vous cliquez</v>
      </c>
      <c r="I494" s="15" t="str">
        <f>IFERROR(__xludf.DUMMYFUNCTION("GOOGLETRANSLATE(E494,""en"",""de"")"),"Waffel sollte beim Klicken anzeigen/verstecken")</f>
        <v>Waffel sollte beim Klicken anzeigen/verstecken</v>
      </c>
    </row>
    <row r="495">
      <c r="A495" s="15" t="s">
        <v>548</v>
      </c>
      <c r="B495" s="15" t="s">
        <v>825</v>
      </c>
      <c r="C495" s="15" t="s">
        <v>92</v>
      </c>
      <c r="D495" s="15" t="s">
        <v>12</v>
      </c>
      <c r="E495" s="16" t="s">
        <v>826</v>
      </c>
      <c r="F495" s="15" t="str">
        <f>IFERROR(__xludf.DUMMYFUNCTION("GOOGLETRANSLATE(E495,""en"", ""ja"")"),"[タブ] Firefoxスタイルの問題")</f>
        <v>[タブ] Firefoxスタイルの問題</v>
      </c>
      <c r="G495" s="15" t="str">
        <f>IFERROR(__xludf.DUMMYFUNCTION("GOOGLETRANSLATE(E495,""en"",""zh-cn"")"),"[TAB] Firefox风格问题")</f>
        <v>[TAB] Firefox风格问题</v>
      </c>
      <c r="H495" s="15" t="str">
        <f>IFERROR(__xludf.DUMMYFUNCTION("GOOGLETRANSLATE(E495,""en"",""fr"")"),"[Onglet] Problème de style Firefox")</f>
        <v>[Onglet] Problème de style Firefox</v>
      </c>
      <c r="I495" s="15" t="str">
        <f>IFERROR(__xludf.DUMMYFUNCTION("GOOGLETRANSLATE(E495,""en"",""de"")"),"[Tab] Problem im Firefox -Stil")</f>
        <v>[Tab] Problem im Firefox -Stil</v>
      </c>
    </row>
    <row r="496">
      <c r="A496" s="15" t="s">
        <v>548</v>
      </c>
      <c r="B496" s="15" t="s">
        <v>827</v>
      </c>
      <c r="C496" s="15" t="s">
        <v>92</v>
      </c>
      <c r="D496" s="15" t="s">
        <v>12</v>
      </c>
      <c r="E496" s="16" t="s">
        <v>828</v>
      </c>
      <c r="F496" s="15" t="str">
        <f>IFERROR(__xludf.DUMMYFUNCTION("GOOGLETRANSLATE(E496,""en"", ""ja"")"),"[新しいUI]ジョブモニター検索応答なしでクリックXをクリックします")</f>
        <v>[新しいUI]ジョブモニター検索応答なしでクリックXをクリックします</v>
      </c>
      <c r="G496" s="15" t="str">
        <f>IFERROR(__xludf.DUMMYFUNCTION("GOOGLETRANSLATE(E496,""en"",""zh-cn"")"),"[new UI]作业监视器搜索单击X，无响应")</f>
        <v>[new UI]作业监视器搜索单击X，无响应</v>
      </c>
      <c r="H496" s="15" t="str">
        <f>IFERROR(__xludf.DUMMYFUNCTION("GOOGLETRANSLATE(E496,""en"",""fr"")"),"[Nouveau interface utilisateur] Recherche de moniteur de travail Cliquez sur X sans réponse")</f>
        <v>[Nouveau interface utilisateur] Recherche de moniteur de travail Cliquez sur X sans réponse</v>
      </c>
      <c r="I496" s="15" t="str">
        <f>IFERROR(__xludf.DUMMYFUNCTION("GOOGLETRANSLATE(E496,""en"",""de"")"),"[Neue Benutzeroberfläche] Jobmonitor -Suche Klicken Sie auf X ohne antworten")</f>
        <v>[Neue Benutzeroberfläche] Jobmonitor -Suche Klicken Sie auf X ohne antworten</v>
      </c>
    </row>
    <row r="497">
      <c r="A497" s="15" t="s">
        <v>548</v>
      </c>
      <c r="B497" s="15" t="s">
        <v>829</v>
      </c>
      <c r="C497" s="15" t="s">
        <v>92</v>
      </c>
      <c r="D497" s="15" t="s">
        <v>12</v>
      </c>
      <c r="E497" s="16" t="s">
        <v>830</v>
      </c>
      <c r="F497" s="15" t="str">
        <f>IFERROR(__xludf.DUMMYFUNCTION("GOOGLETRANSLATE(E497,""en"", ""ja"")"),"[テーブル]ユーザーインラインプレビュー - より多くのパネルのマージンが正しくありません")</f>
        <v>[テーブル]ユーザーインラインプレビュー - より多くのパネルのマージンが正しくありません</v>
      </c>
      <c r="G497" s="15" t="str">
        <f>IFERROR(__xludf.DUMMYFUNCTION("GOOGLETRANSLATE(E497,""en"",""zh-cn"")"),"[表]用户内线预览 - 更多面板的边距不正确")</f>
        <v>[表]用户内线预览 - 更多面板的边距不正确</v>
      </c>
      <c r="H497" s="15" t="str">
        <f>IFERROR(__xludf.DUMMYFUNCTION("GOOGLETRANSLATE(E497,""en"",""fr"")"),"[Table] Aperçu en ligne de l'utilisateur - La marge de plus de panneau n'est pas correcte")</f>
        <v>[Table] Aperçu en ligne de l'utilisateur - La marge de plus de panneau n'est pas correcte</v>
      </c>
      <c r="I497" s="15" t="str">
        <f>IFERROR(__xludf.DUMMYFUNCTION("GOOGLETRANSLATE(E497,""en"",""de"")"),"[Tabelle] Benutzerinline -Vorschau - Der Rand von mehr Panel ist nicht korrekt")</f>
        <v>[Tabelle] Benutzerinline -Vorschau - Der Rand von mehr Panel ist nicht korrekt</v>
      </c>
    </row>
    <row r="498">
      <c r="A498" s="15" t="s">
        <v>548</v>
      </c>
      <c r="B498" s="15" t="s">
        <v>831</v>
      </c>
      <c r="C498" s="15" t="s">
        <v>92</v>
      </c>
      <c r="D498" s="15" t="s">
        <v>12</v>
      </c>
      <c r="E498" s="16" t="s">
        <v>832</v>
      </c>
      <c r="F498" s="15" t="str">
        <f>IFERROR(__xludf.DUMMYFUNCTION("GOOGLETRANSLATE(E498,""en"", ""ja"")"),"言葉遣い")</f>
        <v>言葉遣い</v>
      </c>
      <c r="G498" s="15" t="str">
        <f>IFERROR(__xludf.DUMMYFUNCTION("GOOGLETRANSLATE(E498,""en"",""zh-cn"")"),"措辞")</f>
        <v>措辞</v>
      </c>
      <c r="H498" s="15" t="str">
        <f>IFERROR(__xludf.DUMMYFUNCTION("GOOGLETRANSLATE(E498,""en"",""fr"")"),"Formulation")</f>
        <v>Formulation</v>
      </c>
      <c r="I498" s="15" t="str">
        <f>IFERROR(__xludf.DUMMYFUNCTION("GOOGLETRANSLATE(E498,""en"",""de"")"),"Wortlaut")</f>
        <v>Wortlaut</v>
      </c>
    </row>
    <row r="499">
      <c r="A499" s="15" t="s">
        <v>548</v>
      </c>
      <c r="B499" s="15" t="s">
        <v>833</v>
      </c>
      <c r="C499" s="15" t="s">
        <v>92</v>
      </c>
      <c r="D499" s="15" t="s">
        <v>12</v>
      </c>
      <c r="E499" s="16" t="s">
        <v>834</v>
      </c>
      <c r="F499" s="15" t="str">
        <f>IFERROR(__xludf.DUMMYFUNCTION("GOOGLETRANSLATE(E499,""en"", ""ja"")"),"カスタマイズされた通知の色のニーズは変わります")</f>
        <v>カスタマイズされた通知の色のニーズは変わります</v>
      </c>
      <c r="G499" s="15" t="str">
        <f>IFERROR(__xludf.DUMMYFUNCTION("GOOGLETRANSLATE(E499,""en"",""zh-cn"")"),"定制通知颜色需求更改")</f>
        <v>定制通知颜色需求更改</v>
      </c>
      <c r="H499" s="15" t="str">
        <f>IFERROR(__xludf.DUMMYFUNCTION("GOOGLETRANSLATE(E499,""en"",""fr"")"),"Couleur de notification personnalisée doit changer")</f>
        <v>Couleur de notification personnalisée doit changer</v>
      </c>
      <c r="I499" s="15" t="str">
        <f>IFERROR(__xludf.DUMMYFUNCTION("GOOGLETRANSLATE(E499,""en"",""de"")"),"Customized Benachrichtigungsfarbe Bedürfnisse ändern sich")</f>
        <v>Customized Benachrichtigungsfarbe Bedürfnisse ändern sich</v>
      </c>
    </row>
    <row r="500">
      <c r="A500" s="15" t="s">
        <v>548</v>
      </c>
      <c r="B500" s="15" t="s">
        <v>835</v>
      </c>
      <c r="C500" s="15" t="s">
        <v>92</v>
      </c>
      <c r="D500" s="15" t="s">
        <v>12</v>
      </c>
      <c r="E500" s="16" t="s">
        <v>836</v>
      </c>
      <c r="F500" s="15" t="str">
        <f>IFERROR(__xludf.DUMMYFUNCTION("GOOGLETRANSLATE(E500,""en"", ""ja"")"),"ボタンフォーカスステータスは、キーボードのみである必要があります")</f>
        <v>ボタンフォーカスステータスは、キーボードのみである必要があります</v>
      </c>
      <c r="G500" s="15" t="str">
        <f>IFERROR(__xludf.DUMMYFUNCTION("GOOGLETRANSLATE(E500,""en"",""zh-cn"")"),"按钮焦点状态应仅适用于键盘")</f>
        <v>按钮焦点状态应仅适用于键盘</v>
      </c>
      <c r="H500" s="15" t="str">
        <f>IFERROR(__xludf.DUMMYFUNCTION("GOOGLETRANSLATE(E500,""en"",""fr"")"),"L'état de mise au point des bouton doit être uniquement pour le clavier")</f>
        <v>L'état de mise au point des bouton doit être uniquement pour le clavier</v>
      </c>
      <c r="I500" s="15" t="str">
        <f>IFERROR(__xludf.DUMMYFUNCTION("GOOGLETRANSLATE(E500,""en"",""de"")"),"Der Button Focus -Status sollte nur für die Tastatur erfolgen")</f>
        <v>Der Button Focus -Status sollte nur für die Tastatur erfolgen</v>
      </c>
    </row>
    <row r="501">
      <c r="A501" s="15" t="s">
        <v>548</v>
      </c>
      <c r="B501" s="15" t="s">
        <v>837</v>
      </c>
      <c r="C501" s="15" t="s">
        <v>92</v>
      </c>
      <c r="D501" s="15" t="s">
        <v>12</v>
      </c>
      <c r="E501" s="16" t="s">
        <v>838</v>
      </c>
      <c r="F501" s="15" t="str">
        <f>IFERROR(__xludf.DUMMYFUNCTION("GOOGLETRANSLATE(E501,""en"", ""ja"")"),"コンテキストメニューアイコンの色は正しくありません")</f>
        <v>コンテキストメニューアイコンの色は正しくありません</v>
      </c>
      <c r="G501" s="15" t="str">
        <f>IFERROR(__xludf.DUMMYFUNCTION("GOOGLETRANSLATE(E501,""en"",""zh-cn"")"),"上下文菜单图标颜色不正确")</f>
        <v>上下文菜单图标颜色不正确</v>
      </c>
      <c r="H501" s="15" t="str">
        <f>IFERROR(__xludf.DUMMYFUNCTION("GOOGLETRANSLATE(E501,""en"",""fr"")"),"La couleur de l'icône du menu contextuel n'est pas correct")</f>
        <v>La couleur de l'icône du menu contextuel n'est pas correct</v>
      </c>
      <c r="I501" s="15" t="str">
        <f>IFERROR(__xludf.DUMMYFUNCTION("GOOGLETRANSLATE(E501,""en"",""de"")"),"Das Kontextmenü -Symbolfarbe ist nicht korrekt")</f>
        <v>Das Kontextmenü -Symbolfarbe ist nicht korrekt</v>
      </c>
    </row>
    <row r="502">
      <c r="A502" s="15" t="s">
        <v>548</v>
      </c>
      <c r="B502" s="15" t="s">
        <v>839</v>
      </c>
      <c r="C502" s="15" t="s">
        <v>92</v>
      </c>
      <c r="D502" s="15" t="s">
        <v>12</v>
      </c>
      <c r="E502" s="16" t="s">
        <v>840</v>
      </c>
      <c r="F502" s="15" t="str">
        <f>IFERROR(__xludf.DUMMYFUNCTION("GOOGLETRANSLATE(E502,""en"", ""ja"")"),"ルートブレッドムは、パディング左を除去する必要があります")</f>
        <v>ルートブレッドムは、パディング左を除去する必要があります</v>
      </c>
      <c r="G502" s="15" t="str">
        <f>IFERROR(__xludf.DUMMYFUNCTION("GOOGLETRANSLATE(E502,""en"",""zh-cn"")"),"根面包屑应删除左填充")</f>
        <v>根面包屑应删除左填充</v>
      </c>
      <c r="H502" s="15" t="str">
        <f>IFERROR(__xludf.DUMMYFUNCTION("GOOGLETRANSLATE(E502,""en"",""fr"")"),"La chapelure de la racine devrait éliminer le rembourrage à gauche")</f>
        <v>La chapelure de la racine devrait éliminer le rembourrage à gauche</v>
      </c>
      <c r="I502" s="15" t="str">
        <f>IFERROR(__xludf.DUMMYFUNCTION("GOOGLETRANSLATE(E502,""en"",""de"")"),"Wurzelbrotcrumb sollte Polsterlinks entfernen")</f>
        <v>Wurzelbrotcrumb sollte Polsterlinks entfernen</v>
      </c>
    </row>
    <row r="503">
      <c r="A503" s="15" t="s">
        <v>548</v>
      </c>
      <c r="B503" s="15" t="s">
        <v>841</v>
      </c>
      <c r="C503" s="15" t="s">
        <v>92</v>
      </c>
      <c r="D503" s="15" t="s">
        <v>12</v>
      </c>
      <c r="E503" s="16" t="s">
        <v>842</v>
      </c>
      <c r="F503" s="15" t="str">
        <f>IFERROR(__xludf.DUMMYFUNCTION("GOOGLETRANSLATE(E503,""en"", ""ja"")"),"カーソルポインターの問題")</f>
        <v>カーソルポインターの問題</v>
      </c>
      <c r="G503" s="15" t="str">
        <f>IFERROR(__xludf.DUMMYFUNCTION("GOOGLETRANSLATE(E503,""en"",""zh-cn"")"),"光标指针问题")</f>
        <v>光标指针问题</v>
      </c>
      <c r="H503" s="15" t="str">
        <f>IFERROR(__xludf.DUMMYFUNCTION("GOOGLETRANSLATE(E503,""en"",""fr"")"),"Problème du pointeur du curseur")</f>
        <v>Problème du pointeur du curseur</v>
      </c>
      <c r="I503" s="15" t="str">
        <f>IFERROR(__xludf.DUMMYFUNCTION("GOOGLETRANSLATE(E503,""en"",""de"")"),"Cursorzeiger -Problem")</f>
        <v>Cursorzeiger -Problem</v>
      </c>
    </row>
    <row r="504">
      <c r="A504" s="15" t="s">
        <v>548</v>
      </c>
      <c r="B504" s="15" t="s">
        <v>843</v>
      </c>
      <c r="C504" s="15" t="s">
        <v>92</v>
      </c>
      <c r="D504" s="15" t="s">
        <v>12</v>
      </c>
      <c r="E504" s="16" t="s">
        <v>844</v>
      </c>
      <c r="F504" s="15" t="str">
        <f>IFERROR(__xludf.DUMMYFUNCTION("GOOGLETRANSLATE(E504,""en"", ""ja"")"),"ラジオボタンスペースの問題")</f>
        <v>ラジオボタンスペースの問題</v>
      </c>
      <c r="G504" s="15" t="str">
        <f>IFERROR(__xludf.DUMMYFUNCTION("GOOGLETRANSLATE(E504,""en"",""zh-cn"")"),"广播按钮空间问题")</f>
        <v>广播按钮空间问题</v>
      </c>
      <c r="H504" s="15" t="str">
        <f>IFERROR(__xludf.DUMMYFUNCTION("GOOGLETRANSLATE(E504,""en"",""fr"")"),"Problème d'espace radio-bouton")</f>
        <v>Problème d'espace radio-bouton</v>
      </c>
      <c r="I504" s="15" t="str">
        <f>IFERROR(__xludf.DUMMYFUNCTION("GOOGLETRANSLATE(E504,""en"",""de"")"),"Optionsknopfraum Problem")</f>
        <v>Optionsknopfraum Problem</v>
      </c>
    </row>
    <row r="505">
      <c r="A505" s="15" t="s">
        <v>548</v>
      </c>
      <c r="B505" s="15" t="s">
        <v>845</v>
      </c>
      <c r="C505" s="15" t="s">
        <v>92</v>
      </c>
      <c r="D505" s="15" t="s">
        <v>12</v>
      </c>
      <c r="E505" s="16" t="s">
        <v>846</v>
      </c>
      <c r="F505" s="15" t="str">
        <f>IFERROR(__xludf.DUMMYFUNCTION("GOOGLETRANSLATE(E505,""en"", ""ja"")"),"日付ピッカーは現在の日を強調する必要があります")</f>
        <v>日付ピッカーは現在の日を強調する必要があります</v>
      </c>
      <c r="G505" s="15" t="str">
        <f>IFERROR(__xludf.DUMMYFUNCTION("GOOGLETRANSLATE(E505,""en"",""zh-cn"")"),"日期选择者应突出显示当前一天")</f>
        <v>日期选择者应突出显示当前一天</v>
      </c>
      <c r="H505" s="15" t="str">
        <f>IFERROR(__xludf.DUMMYFUNCTION("GOOGLETRANSLATE(E505,""en"",""fr"")"),"Picker Date devrait mettre en évidence la journée en cours")</f>
        <v>Picker Date devrait mettre en évidence la journée en cours</v>
      </c>
      <c r="I505" s="15" t="str">
        <f>IFERROR(__xludf.DUMMYFUNCTION("GOOGLETRANSLATE(E505,""en"",""de"")"),"Date Picker sollte den aktuellen Tag hervorheben")</f>
        <v>Date Picker sollte den aktuellen Tag hervorheben</v>
      </c>
    </row>
    <row r="506">
      <c r="A506" s="15" t="s">
        <v>548</v>
      </c>
      <c r="B506" s="15" t="s">
        <v>847</v>
      </c>
      <c r="C506" s="15" t="s">
        <v>92</v>
      </c>
      <c r="D506" s="15" t="s">
        <v>12</v>
      </c>
      <c r="E506" s="16" t="s">
        <v>848</v>
      </c>
      <c r="F506" s="15" t="str">
        <f>IFERROR(__xludf.DUMMYFUNCTION("GOOGLETRANSLATE(E506,""en"", ""ja"")"),"ウィザードステップの説明説明は13pxでなければなりません")</f>
        <v>ウィザードステップの説明説明は13pxでなければなりません</v>
      </c>
      <c r="G506" s="15" t="str">
        <f>IFERROR(__xludf.DUMMYFUNCTION("GOOGLETRANSLATE(E506,""en"",""zh-cn"")"),"向导步骤描述应为13px")</f>
        <v>向导步骤描述应为13px</v>
      </c>
      <c r="H506" s="15" t="str">
        <f>IFERROR(__xludf.DUMMYFUNCTION("GOOGLETRANSLATE(E506,""en"",""fr"")"),"Étape de l'assistant Description Description doit être 13px")</f>
        <v>Étape de l'assistant Description Description doit être 13px</v>
      </c>
      <c r="I506" s="15" t="str">
        <f>IFERROR(__xludf.DUMMYFUNCTION("GOOGLETRANSLATE(E506,""en"",""de"")"),"Assistentschritt Beschreibung sollte 13px sein")</f>
        <v>Assistentschritt Beschreibung sollte 13px sein</v>
      </c>
    </row>
    <row r="507">
      <c r="A507" s="15" t="s">
        <v>548</v>
      </c>
      <c r="B507" s="15" t="s">
        <v>849</v>
      </c>
      <c r="C507" s="15" t="s">
        <v>92</v>
      </c>
      <c r="D507" s="15" t="s">
        <v>12</v>
      </c>
      <c r="E507" s="16" t="s">
        <v>850</v>
      </c>
      <c r="F507" s="15" t="str">
        <f>IFERROR(__xludf.DUMMYFUNCTION("GOOGLETRANSLATE(E507,""en"", ""ja"")"),"リンクをクリックしてから集中しないでください")</f>
        <v>リンクをクリックしてから集中しないでください</v>
      </c>
      <c r="G507" s="15" t="str">
        <f>IFERROR(__xludf.DUMMYFUNCTION("GOOGLETRANSLATE(E507,""en"",""zh-cn"")"),"单击后不应集中链接")</f>
        <v>单击后不应集中链接</v>
      </c>
      <c r="H507" s="15" t="str">
        <f>IFERROR(__xludf.DUMMYFUNCTION("GOOGLETRANSLATE(E507,""en"",""fr"")"),"Le lien ne doit pas être concentré après avoir cliqué")</f>
        <v>Le lien ne doit pas être concentré après avoir cliqué</v>
      </c>
      <c r="I507" s="15" t="str">
        <f>IFERROR(__xludf.DUMMYFUNCTION("GOOGLETRANSLATE(E507,""en"",""de"")"),"Der Link sollte nach dem Klicken nicht fokussiert werden")</f>
        <v>Der Link sollte nach dem Klicken nicht fokussiert werden</v>
      </c>
    </row>
    <row r="508">
      <c r="A508" s="15" t="s">
        <v>548</v>
      </c>
      <c r="B508" s="15" t="s">
        <v>851</v>
      </c>
      <c r="C508" s="15" t="s">
        <v>92</v>
      </c>
      <c r="D508" s="15" t="s">
        <v>12</v>
      </c>
      <c r="E508" s="16" t="s">
        <v>852</v>
      </c>
      <c r="F508" s="15" t="str">
        <f>IFERROR(__xludf.DUMMYFUNCTION("GOOGLETRANSLATE(E508,""en"", ""ja"")"),"ラジオボタンスタイルの問題")</f>
        <v>ラジオボタンスタイルの問題</v>
      </c>
      <c r="G508" s="15" t="str">
        <f>IFERROR(__xludf.DUMMYFUNCTION("GOOGLETRANSLATE(E508,""en"",""zh-cn"")"),"广播按钮样式问题")</f>
        <v>广播按钮样式问题</v>
      </c>
      <c r="H508" s="15" t="str">
        <f>IFERROR(__xludf.DUMMYFUNCTION("GOOGLETRANSLATE(E508,""en"",""fr"")"),"Problème de style de bouton radio")</f>
        <v>Problème de style de bouton radio</v>
      </c>
      <c r="I508" s="15" t="str">
        <f>IFERROR(__xludf.DUMMYFUNCTION("GOOGLETRANSLATE(E508,""en"",""de"")"),"Optionsknopfstil -Problem")</f>
        <v>Optionsknopfstil -Problem</v>
      </c>
    </row>
    <row r="509">
      <c r="A509" s="15" t="s">
        <v>548</v>
      </c>
      <c r="B509" s="15" t="s">
        <v>853</v>
      </c>
      <c r="C509" s="15" t="s">
        <v>92</v>
      </c>
      <c r="D509" s="15" t="s">
        <v>12</v>
      </c>
      <c r="E509" s="16" t="s">
        <v>854</v>
      </c>
      <c r="F509" s="15" t="str">
        <f>IFERROR(__xludf.DUMMYFUNCTION("GOOGLETRANSLATE(E509,""en"", ""ja"")"),"チェックボックスはテキストの色を無効にします")</f>
        <v>チェックボックスはテキストの色を無効にします</v>
      </c>
      <c r="G509" s="15" t="str">
        <f>IFERROR(__xludf.DUMMYFUNCTION("GOOGLETRANSLATE(E509,""en"",""zh-cn"")"),"复选框禁用文本颜色")</f>
        <v>复选框禁用文本颜色</v>
      </c>
      <c r="H509" s="15" t="str">
        <f>IFERROR(__xludf.DUMMYFUNCTION("GOOGLETRANSLATE(E509,""en"",""fr"")"),"Cocher la boîte à désactiver la couleur du texte")</f>
        <v>Cocher la boîte à désactiver la couleur du texte</v>
      </c>
      <c r="I509" s="15" t="str">
        <f>IFERROR(__xludf.DUMMYFUNCTION("GOOGLETRANSLATE(E509,""en"",""de"")"),"Kontrollkästchen Textfarbe deaktivieren")</f>
        <v>Kontrollkästchen Textfarbe deaktivieren</v>
      </c>
    </row>
    <row r="510">
      <c r="A510" s="15" t="s">
        <v>548</v>
      </c>
      <c r="B510" s="15" t="s">
        <v>855</v>
      </c>
      <c r="C510" s="15" t="s">
        <v>92</v>
      </c>
      <c r="D510" s="15" t="s">
        <v>12</v>
      </c>
      <c r="E510" s="16" t="s">
        <v>856</v>
      </c>
      <c r="F510" s="15" t="str">
        <f>IFERROR(__xludf.DUMMYFUNCTION("GOOGLETRANSLATE(E510,""en"", ""ja"")"),"チェックボックススペースの問題")</f>
        <v>チェックボックススペースの問題</v>
      </c>
      <c r="G510" s="15" t="str">
        <f>IFERROR(__xludf.DUMMYFUNCTION("GOOGLETRANSLATE(E510,""en"",""zh-cn"")"),"复选框空间问题")</f>
        <v>复选框空间问题</v>
      </c>
      <c r="H510" s="15" t="str">
        <f>IFERROR(__xludf.DUMMYFUNCTION("GOOGLETRANSLATE(E510,""en"",""fr"")"),"Vérifier le problème de l'espace")</f>
        <v>Vérifier le problème de l'espace</v>
      </c>
      <c r="I510" s="15" t="str">
        <f>IFERROR(__xludf.DUMMYFUNCTION("GOOGLETRANSLATE(E510,""en"",""de"")"),"Kontrollkästchen Space Problem")</f>
        <v>Kontrollkästchen Space Problem</v>
      </c>
    </row>
    <row r="511">
      <c r="A511" s="15" t="s">
        <v>548</v>
      </c>
      <c r="B511" s="15" t="s">
        <v>857</v>
      </c>
      <c r="C511" s="15" t="s">
        <v>92</v>
      </c>
      <c r="D511" s="15" t="s">
        <v>12</v>
      </c>
      <c r="E511" s="16" t="s">
        <v>858</v>
      </c>
      <c r="F511" s="15" t="str">
        <f>IFERROR(__xludf.DUMMYFUNCTION("GOOGLETRANSLATE(E511,""en"", ""ja"")"),"ブレッドクランブディスプレイの問題")</f>
        <v>ブレッドクランブディスプレイの問題</v>
      </c>
      <c r="G511" s="15" t="str">
        <f>IFERROR(__xludf.DUMMYFUNCTION("GOOGLETRANSLATE(E511,""en"",""zh-cn"")"),"面包屑展示问题")</f>
        <v>面包屑展示问题</v>
      </c>
      <c r="H511" s="15" t="str">
        <f>IFERROR(__xludf.DUMMYFUNCTION("GOOGLETRANSLATE(E511,""en"",""fr"")"),"Problème d'affichage de la naissance")</f>
        <v>Problème d'affichage de la naissance</v>
      </c>
      <c r="I511" s="15" t="str">
        <f>IFERROR(__xludf.DUMMYFUNCTION("GOOGLETRANSLATE(E511,""en"",""de"")"),"Breadcrumb Display -Problem")</f>
        <v>Breadcrumb Display -Problem</v>
      </c>
    </row>
    <row r="512">
      <c r="A512" s="15" t="s">
        <v>548</v>
      </c>
      <c r="B512" s="15" t="s">
        <v>859</v>
      </c>
      <c r="C512" s="15" t="s">
        <v>92</v>
      </c>
      <c r="D512" s="15" t="s">
        <v>12</v>
      </c>
      <c r="E512" s="16" t="s">
        <v>860</v>
      </c>
      <c r="F512" s="15" t="str">
        <f>IFERROR(__xludf.DUMMYFUNCTION("GOOGLETRANSLATE(E512,""en"", ""ja"")"),"[VPAT]ボタンを無効にします")</f>
        <v>[VPAT]ボタンを無効にします</v>
      </c>
      <c r="G512" s="15" t="str">
        <f>IFERROR(__xludf.DUMMYFUNCTION("GOOGLETRANSLATE(E512,""en"",""zh-cn"")"),"[VPAT]禁用按钮")</f>
        <v>[VPAT]禁用按钮</v>
      </c>
      <c r="H512" s="15" t="str">
        <f>IFERROR(__xludf.DUMMYFUNCTION("GOOGLETRANSLATE(E512,""en"",""fr"")"),"[VPAT] Désactiver le bouton")</f>
        <v>[VPAT] Désactiver le bouton</v>
      </c>
      <c r="I512" s="15" t="str">
        <f>IFERROR(__xludf.DUMMYFUNCTION("GOOGLETRANSLATE(E512,""en"",""de"")"),"[VPAT] Taste deaktivieren")</f>
        <v>[VPAT] Taste deaktivieren</v>
      </c>
    </row>
    <row r="513">
      <c r="A513" s="15" t="s">
        <v>548</v>
      </c>
      <c r="B513" s="15" t="s">
        <v>861</v>
      </c>
      <c r="C513" s="15" t="s">
        <v>92</v>
      </c>
      <c r="D513" s="15" t="s">
        <v>12</v>
      </c>
      <c r="E513" s="16" t="s">
        <v>862</v>
      </c>
      <c r="F513" s="15" t="str">
        <f>IFERROR(__xludf.DUMMYFUNCTION("GOOGLETRANSLATE(E513,""en"", ""ja"")"),"タブの前にテストチューブアイコンを削除します")</f>
        <v>タブの前にテストチューブアイコンを削除します</v>
      </c>
      <c r="G513" s="15" t="str">
        <f>IFERROR(__xludf.DUMMYFUNCTION("GOOGLETRANSLATE(E513,""en"",""zh-cn"")"),"在选项卡之前卸下试管图标")</f>
        <v>在选项卡之前卸下试管图标</v>
      </c>
      <c r="H513" s="15" t="str">
        <f>IFERROR(__xludf.DUMMYFUNCTION("GOOGLETRANSLATE(E513,""en"",""fr"")"),"Retirez l'icône du tube à essai avant l'onglet")</f>
        <v>Retirez l'icône du tube à essai avant l'onglet</v>
      </c>
      <c r="I513" s="15" t="str">
        <f>IFERROR(__xludf.DUMMYFUNCTION("GOOGLETRANSLATE(E513,""en"",""de"")"),"Entfernen Sie das Testrohrsymbol vor der Registerkarte")</f>
        <v>Entfernen Sie das Testrohrsymbol vor der Registerkarte</v>
      </c>
    </row>
    <row r="514">
      <c r="A514" s="15" t="s">
        <v>548</v>
      </c>
      <c r="B514" s="15" t="s">
        <v>863</v>
      </c>
      <c r="C514" s="15" t="s">
        <v>92</v>
      </c>
      <c r="D514" s="15" t="s">
        <v>12</v>
      </c>
      <c r="E514" s="16" t="s">
        <v>864</v>
      </c>
      <c r="F514" s="15" t="str">
        <f>IFERROR(__xludf.DUMMYFUNCTION("GOOGLETRANSLATE(E514,""en"", ""ja"")"),"Tempickerの前にテストチューブアイコンを取り外します")</f>
        <v>Tempickerの前にテストチューブアイコンを取り外します</v>
      </c>
      <c r="G514" s="15" t="str">
        <f>IFERROR(__xludf.DUMMYFUNCTION("GOOGLETRANSLATE(E514,""en"",""zh-cn"")"),"在钟纸之前卸下试管图标")</f>
        <v>在钟纸之前卸下试管图标</v>
      </c>
      <c r="H514" s="15" t="str">
        <f>IFERROR(__xludf.DUMMYFUNCTION("GOOGLETRANSLATE(E514,""en"",""fr"")"),"Retirez l'icône du tube à essai avant Timepicker")</f>
        <v>Retirez l'icône du tube à essai avant Timepicker</v>
      </c>
      <c r="I514" s="15" t="str">
        <f>IFERROR(__xludf.DUMMYFUNCTION("GOOGLETRANSLATE(E514,""en"",""de"")"),"Entfernen Sie das Testrohrsymbol vor TimePicker")</f>
        <v>Entfernen Sie das Testrohrsymbol vor TimePicker</v>
      </c>
    </row>
    <row r="515">
      <c r="A515" s="15" t="s">
        <v>548</v>
      </c>
      <c r="B515" s="15" t="s">
        <v>865</v>
      </c>
      <c r="C515" s="15" t="s">
        <v>92</v>
      </c>
      <c r="D515" s="15" t="s">
        <v>12</v>
      </c>
      <c r="E515" s="16" t="s">
        <v>866</v>
      </c>
      <c r="F515" s="15" t="str">
        <f>IFERROR(__xludf.DUMMYFUNCTION("GOOGLETRANSLATE(E515,""en"", ""ja"")"),"エキスパンダーの前にテストチューブアイコンを取り外します")</f>
        <v>エキスパンダーの前にテストチューブアイコンを取り外します</v>
      </c>
      <c r="G515" s="15" t="str">
        <f>IFERROR(__xludf.DUMMYFUNCTION("GOOGLETRANSLATE(E515,""en"",""zh-cn"")"),"在扩展器之前删除试管图标")</f>
        <v>在扩展器之前删除试管图标</v>
      </c>
      <c r="H515" s="15" t="str">
        <f>IFERROR(__xludf.DUMMYFUNCTION("GOOGLETRANSLATE(E515,""en"",""fr"")"),"Retirez l'icône du tube à essai avant l'expanseur")</f>
        <v>Retirez l'icône du tube à essai avant l'expanseur</v>
      </c>
      <c r="I515" s="15" t="str">
        <f>IFERROR(__xludf.DUMMYFUNCTION("GOOGLETRANSLATE(E515,""en"",""de"")"),"Entfernen Sie das Testrohrsymbol vor Expander")</f>
        <v>Entfernen Sie das Testrohrsymbol vor Expander</v>
      </c>
    </row>
    <row r="516">
      <c r="A516" s="15" t="s">
        <v>548</v>
      </c>
      <c r="B516" s="15" t="s">
        <v>867</v>
      </c>
      <c r="C516" s="15" t="s">
        <v>92</v>
      </c>
      <c r="D516" s="15" t="s">
        <v>12</v>
      </c>
      <c r="E516" s="16" t="s">
        <v>868</v>
      </c>
      <c r="F516" s="15" t="str">
        <f>IFERROR(__xludf.DUMMYFUNCTION("GOOGLETRANSLATE(E516,""en"", ""ja"")"),"[テーブル]テーブルにもっと多くの人を追加します")</f>
        <v>[テーブル]テーブルにもっと多くの人を追加します</v>
      </c>
      <c r="G516" s="15" t="str">
        <f>IFERROR(__xludf.DUMMYFUNCTION("GOOGLETRANSLATE(E516,""en"",""zh-cn"")"),"[表]在表中添加更多人")</f>
        <v>[表]在表中添加更多人</v>
      </c>
      <c r="H516" s="15" t="str">
        <f>IFERROR(__xludf.DUMMYFUNCTION("GOOGLETRANSLATE(E516,""en"",""fr"")"),"[Table] Ajouter plus de personnes dans la table")</f>
        <v>[Table] Ajouter plus de personnes dans la table</v>
      </c>
      <c r="I516" s="15" t="str">
        <f>IFERROR(__xludf.DUMMYFUNCTION("GOOGLETRANSLATE(E516,""en"",""de"")"),"[Tabelle] Fügen Sie weitere Personen in die Tabelle hinzu")</f>
        <v>[Tabelle] Fügen Sie weitere Personen in die Tabelle hinzu</v>
      </c>
    </row>
    <row r="517">
      <c r="A517" s="15" t="s">
        <v>548</v>
      </c>
      <c r="B517" s="15" t="s">
        <v>869</v>
      </c>
      <c r="C517" s="15" t="s">
        <v>92</v>
      </c>
      <c r="D517" s="15" t="s">
        <v>12</v>
      </c>
      <c r="E517" s="16" t="s">
        <v>870</v>
      </c>
      <c r="F517" s="15" t="str">
        <f>IFERROR(__xludf.DUMMYFUNCTION("GOOGLETRANSLATE(E517,""en"", ""ja"")"),"単一のファイルブラウザ")</f>
        <v>単一のファイルブラウザ</v>
      </c>
      <c r="G517" s="15" t="str">
        <f>IFERROR(__xludf.DUMMYFUNCTION("GOOGLETRANSLATE(E517,""en"",""zh-cn"")"),"单文件浏览器")</f>
        <v>单文件浏览器</v>
      </c>
      <c r="H517" s="15" t="str">
        <f>IFERROR(__xludf.DUMMYFUNCTION("GOOGLETRANSLATE(E517,""en"",""fr"")"),"Navigateur de fichiers unique")</f>
        <v>Navigateur de fichiers unique</v>
      </c>
      <c r="I517" s="15" t="str">
        <f>IFERROR(__xludf.DUMMYFUNCTION("GOOGLETRANSLATE(E517,""en"",""de"")"),"Einzeldateibrowser")</f>
        <v>Einzeldateibrowser</v>
      </c>
    </row>
    <row r="518">
      <c r="A518" s="15" t="s">
        <v>548</v>
      </c>
      <c r="B518" s="15" t="s">
        <v>871</v>
      </c>
      <c r="C518" s="15" t="s">
        <v>92</v>
      </c>
      <c r="D518" s="15" t="s">
        <v>12</v>
      </c>
      <c r="E518" s="16" t="s">
        <v>872</v>
      </c>
      <c r="F518" s="15" t="str">
        <f>IFERROR(__xludf.DUMMYFUNCTION("GOOGLETRANSLATE(E518,""en"", ""ja"")"),"ビジーボタンテキストを追加します")</f>
        <v>ビジーボタンテキストを追加します</v>
      </c>
      <c r="G518" s="15" t="str">
        <f>IFERROR(__xludf.DUMMYFUNCTION("GOOGLETRANSLATE(E518,""en"",""zh-cn"")"),"繁忙的按钮添加文字")</f>
        <v>繁忙的按钮添加文字</v>
      </c>
      <c r="H518" s="15" t="str">
        <f>IFERROR(__xludf.DUMMYFUNCTION("GOOGLETRANSLATE(E518,""en"",""fr"")"),"Bouton occupé Ajouter du texte")</f>
        <v>Bouton occupé Ajouter du texte</v>
      </c>
      <c r="I518" s="15" t="str">
        <f>IFERROR(__xludf.DUMMYFUNCTION("GOOGLETRANSLATE(E518,""en"",""de"")"),"Beschäftigte Schaltfläche Text hinzufügen")</f>
        <v>Beschäftigte Schaltfläche Text hinzufügen</v>
      </c>
    </row>
    <row r="519">
      <c r="A519" s="15" t="s">
        <v>548</v>
      </c>
      <c r="B519" s="15" t="s">
        <v>873</v>
      </c>
      <c r="C519" s="15" t="s">
        <v>92</v>
      </c>
      <c r="D519" s="15" t="s">
        <v>12</v>
      </c>
      <c r="E519" s="16" t="s">
        <v>874</v>
      </c>
      <c r="F519" s="15" t="str">
        <f>IFERROR(__xludf.DUMMYFUNCTION("GOOGLETRANSLATE(E519,""en"", ""ja"")"),"選択したサブナビゲーションアイテムを強調表示します")</f>
        <v>選択したサブナビゲーションアイテムを強調表示します</v>
      </c>
      <c r="G519" s="15" t="str">
        <f>IFERROR(__xludf.DUMMYFUNCTION("GOOGLETRANSLATE(E519,""en"",""zh-cn"")"),"突出显示选定的子导航项目")</f>
        <v>突出显示选定的子导航项目</v>
      </c>
      <c r="H519" s="15" t="str">
        <f>IFERROR(__xludf.DUMMYFUNCTION("GOOGLETRANSLATE(E519,""en"",""fr"")"),"Mettre en surbrillance l'élément sous-navigation sélectionné")</f>
        <v>Mettre en surbrillance l'élément sous-navigation sélectionné</v>
      </c>
      <c r="I519" s="15" t="str">
        <f>IFERROR(__xludf.DUMMYFUNCTION("GOOGLETRANSLATE(E519,""en"",""de"")"),"Highlight ausgewählte Sub -Navigation -Element")</f>
        <v>Highlight ausgewählte Sub -Navigation -Element</v>
      </c>
    </row>
    <row r="520">
      <c r="A520" s="15" t="s">
        <v>548</v>
      </c>
      <c r="B520" s="15" t="s">
        <v>875</v>
      </c>
      <c r="C520" s="15" t="s">
        <v>92</v>
      </c>
      <c r="D520" s="15" t="s">
        <v>12</v>
      </c>
      <c r="E520" s="16" t="s">
        <v>876</v>
      </c>
      <c r="F520" s="15" t="str">
        <f>IFERROR(__xludf.DUMMYFUNCTION("GOOGLETRANSLATE(E520,""en"", ""ja"")"),"デモサイトにデザイナーAllure Standardリンクを追加します")</f>
        <v>デモサイトにデザイナーAllure Standardリンクを追加します</v>
      </c>
      <c r="G520" s="15" t="str">
        <f>IFERROR(__xludf.DUMMYFUNCTION("GOOGLETRANSLATE(E520,""en"",""zh-cn"")"),"在演示网站中添加设计人员魅力标准链接")</f>
        <v>在演示网站中添加设计人员魅力标准链接</v>
      </c>
      <c r="H520" s="15" t="str">
        <f>IFERROR(__xludf.DUMMYFUNCTION("GOOGLETRANSLATE(E520,""en"",""fr"")"),"Ajouter le lien standard de concepteur Allure dans le site de démonstration")</f>
        <v>Ajouter le lien standard de concepteur Allure dans le site de démonstration</v>
      </c>
      <c r="I520" s="15" t="str">
        <f>IFERROR(__xludf.DUMMYFUNCTION("GOOGLETRANSLATE(E520,""en"",""de"")"),"Fügen Sie Designer Allure Standard Link auf der Demo -Site hinzu")</f>
        <v>Fügen Sie Designer Allure Standard Link auf der Demo -Site hinzu</v>
      </c>
    </row>
    <row r="521">
      <c r="A521" s="15" t="s">
        <v>548</v>
      </c>
      <c r="B521" s="15" t="s">
        <v>877</v>
      </c>
      <c r="C521" s="15" t="s">
        <v>92</v>
      </c>
      <c r="D521" s="15" t="s">
        <v>12</v>
      </c>
      <c r="E521" s="16" t="s">
        <v>878</v>
      </c>
      <c r="F521" s="15" t="str">
        <f>IFERROR(__xludf.DUMMYFUNCTION("GOOGLETRANSLATE(E521,""en"", ""ja"")"),"[表]行のテキストを選択できます")</f>
        <v>[表]行のテキストを選択できます</v>
      </c>
      <c r="G521" s="15" t="str">
        <f>IFERROR(__xludf.DUMMYFUNCTION("GOOGLETRANSLATE(E521,""en"",""zh-cn"")"),"[表]可以选择行文本")</f>
        <v>[表]可以选择行文本</v>
      </c>
      <c r="H521" s="15" t="str">
        <f>IFERROR(__xludf.DUMMYFUNCTION("GOOGLETRANSLATE(E521,""en"",""fr"")"),"[Table] Le texte de la ligne peut être sélectionné")</f>
        <v>[Table] Le texte de la ligne peut être sélectionné</v>
      </c>
      <c r="I521" s="15" t="str">
        <f>IFERROR(__xludf.DUMMYFUNCTION("GOOGLETRANSLATE(E521,""en"",""de"")"),"[Tabelle] Zeilentext können ausgewählt werden")</f>
        <v>[Tabelle] Zeilentext können ausgewählt werden</v>
      </c>
    </row>
    <row r="522">
      <c r="A522" s="15" t="s">
        <v>548</v>
      </c>
      <c r="B522" s="15" t="s">
        <v>879</v>
      </c>
      <c r="C522" s="15" t="s">
        <v>92</v>
      </c>
      <c r="D522" s="15" t="s">
        <v>12</v>
      </c>
      <c r="E522" s="16" t="s">
        <v>880</v>
      </c>
      <c r="F522" s="15" t="str">
        <f>IFERROR(__xludf.DUMMYFUNCTION("GOOGLETRANSLATE(E522,""en"", ""ja"")"),"プレースホルダーテキストを交換します")</f>
        <v>プレースホルダーテキストを交換します</v>
      </c>
      <c r="G522" s="15" t="str">
        <f>IFERROR(__xludf.DUMMYFUNCTION("GOOGLETRANSLATE(E522,""en"",""zh-cn"")"),"更换占位符文字")</f>
        <v>更换占位符文字</v>
      </c>
      <c r="H522" s="15" t="str">
        <f>IFERROR(__xludf.DUMMYFUNCTION("GOOGLETRANSLATE(E522,""en"",""fr"")"),"Remplacer le texte de l'espace réservé")</f>
        <v>Remplacer le texte de l'espace réservé</v>
      </c>
      <c r="I522" s="15" t="str">
        <f>IFERROR(__xludf.DUMMYFUNCTION("GOOGLETRANSLATE(E522,""en"",""de"")"),"Ersetzen Sie den Platzhaltertext")</f>
        <v>Ersetzen Sie den Platzhaltertext</v>
      </c>
    </row>
    <row r="523">
      <c r="A523" s="15" t="s">
        <v>548</v>
      </c>
      <c r="B523" s="15" t="s">
        <v>881</v>
      </c>
      <c r="C523" s="15" t="s">
        <v>92</v>
      </c>
      <c r="D523" s="15" t="s">
        <v>12</v>
      </c>
      <c r="E523" s="16" t="s">
        <v>882</v>
      </c>
      <c r="F523" s="15" t="str">
        <f>IFERROR(__xludf.DUMMYFUNCTION("GOOGLETRANSLATE(E523,""en"", ""ja"")"),"DIAGには常に却下ボタンが必要です")</f>
        <v>DIAGには常に却下ボタンが必要です</v>
      </c>
      <c r="G523" s="15" t="str">
        <f>IFERROR(__xludf.DUMMYFUNCTION("GOOGLETRANSLATE(E523,""en"",""zh-cn"")"),"戴格应该总是有一个解散按钮")</f>
        <v>戴格应该总是有一个解散按钮</v>
      </c>
      <c r="H523" s="15" t="str">
        <f>IFERROR(__xludf.DUMMYFUNCTION("GOOGLETRANSLATE(E523,""en"",""fr"")"),"Diag devrait toujours avoir un bouton de rejet")</f>
        <v>Diag devrait toujours avoir un bouton de rejet</v>
      </c>
      <c r="I523" s="15" t="str">
        <f>IFERROR(__xludf.DUMMYFUNCTION("GOOGLETRANSLATE(E523,""en"",""de"")"),"Diag sollte immer eine Entlassungstaste haben")</f>
        <v>Diag sollte immer eine Entlassungstaste haben</v>
      </c>
    </row>
    <row r="524">
      <c r="A524" s="15" t="s">
        <v>548</v>
      </c>
      <c r="B524" s="15" t="s">
        <v>883</v>
      </c>
      <c r="C524" s="15" t="s">
        <v>92</v>
      </c>
      <c r="D524" s="15" t="s">
        <v>12</v>
      </c>
      <c r="E524" s="16" t="s">
        <v>884</v>
      </c>
      <c r="F524" s="15" t="str">
        <f>IFERROR(__xludf.DUMMYFUNCTION("GOOGLETRANSLATE(E524,""en"", ""ja"")"),"キーボード付きの日付範囲選択範囲")</f>
        <v>キーボード付きの日付範囲選択範囲</v>
      </c>
      <c r="G524" s="15" t="str">
        <f>IFERROR(__xludf.DUMMYFUNCTION("GOOGLETRANSLATE(E524,""en"",""zh-cn"")"),"日期范围选择键盘选择范围")</f>
        <v>日期范围选择键盘选择范围</v>
      </c>
      <c r="H524" s="15" t="str">
        <f>IFERROR(__xludf.DUMMYFUNCTION("GOOGLETRANSLATE(E524,""en"",""fr"")"),"Date Range Sélectionnez la plage avec le clavier")</f>
        <v>Date Range Sélectionnez la plage avec le clavier</v>
      </c>
      <c r="I524" s="15" t="str">
        <f>IFERROR(__xludf.DUMMYFUNCTION("GOOGLETRANSLATE(E524,""en"",""de"")"),"Datumsbereich Wählen Sie Reichweite mit Tastatur aus")</f>
        <v>Datumsbereich Wählen Sie Reichweite mit Tastatur aus</v>
      </c>
    </row>
    <row r="525">
      <c r="A525" s="15" t="s">
        <v>548</v>
      </c>
      <c r="B525" s="15" t="s">
        <v>885</v>
      </c>
      <c r="C525" s="15" t="s">
        <v>92</v>
      </c>
      <c r="D525" s="15" t="s">
        <v>12</v>
      </c>
      <c r="E525" s="16" t="s">
        <v>886</v>
      </c>
      <c r="F525" s="15" t="str">
        <f>IFERROR(__xludf.DUMMYFUNCTION("GOOGLETRANSLATE(E525,""en"", ""ja"")"),"あまりにも多くのアイテムがあるポケットベルの問題")</f>
        <v>あまりにも多くのアイテムがあるポケットベルの問題</v>
      </c>
      <c r="G525" s="15" t="str">
        <f>IFERROR(__xludf.DUMMYFUNCTION("GOOGLETRANSLATE(E525,""en"",""zh-cn"")"),"Pager问题太多了")</f>
        <v>Pager问题太多了</v>
      </c>
      <c r="H525" s="15" t="str">
        <f>IFERROR(__xludf.DUMMYFUNCTION("GOOGLETRANSLATE(E525,""en"",""fr"")"),"Problème du téléavertisseur avec trop d'articles")</f>
        <v>Problème du téléavertisseur avec trop d'articles</v>
      </c>
      <c r="I525" s="15" t="str">
        <f>IFERROR(__xludf.DUMMYFUNCTION("GOOGLETRANSLATE(E525,""en"",""de"")"),"Pager Problem mit zu vielen Artikeln")</f>
        <v>Pager Problem mit zu vielen Artikeln</v>
      </c>
    </row>
    <row r="526">
      <c r="A526" s="15" t="s">
        <v>548</v>
      </c>
      <c r="B526" s="15" t="s">
        <v>887</v>
      </c>
      <c r="C526" s="15" t="s">
        <v>92</v>
      </c>
      <c r="D526" s="15" t="s">
        <v>12</v>
      </c>
      <c r="E526" s="16" t="s">
        <v>888</v>
      </c>
      <c r="F526" s="15" t="str">
        <f>IFERROR(__xludf.DUMMYFUNCTION("GOOGLETRANSLATE(E526,""en"", ""ja"")"),"クローン -  [Alita -11699]パフォーマンスの問題")</f>
        <v>クローン -  [Alita -11699]パフォーマンスの問題</v>
      </c>
      <c r="G526" s="15" t="str">
        <f>IFERROR(__xludf.DUMMYFUNCTION("GOOGLETRANSLATE(E526,""en"",""zh-cn"")"),"克隆 -  [Alita -11699]性能问题")</f>
        <v>克隆 -  [Alita -11699]性能问题</v>
      </c>
      <c r="H526" s="15" t="str">
        <f>IFERROR(__xludf.DUMMYFUNCTION("GOOGLETRANSLATE(E526,""en"",""fr"")"),"CLONE - [ALITA-11699] PROCESSION PROCESSION")</f>
        <v>CLONE - [ALITA-11699] PROCESSION PROCESSION</v>
      </c>
      <c r="I526" s="15" t="str">
        <f>IFERROR(__xludf.DUMMYFUNCTION("GOOGLETRANSLATE(E526,""en"",""de"")"),"Klon - [Alita -11699] Leistungsproblem")</f>
        <v>Klon - [Alita -11699] Leistungsproblem</v>
      </c>
    </row>
    <row r="527">
      <c r="A527" s="15" t="s">
        <v>548</v>
      </c>
      <c r="B527" s="15" t="s">
        <v>889</v>
      </c>
      <c r="C527" s="15" t="s">
        <v>92</v>
      </c>
      <c r="D527" s="15" t="s">
        <v>12</v>
      </c>
      <c r="E527" s="16" t="s">
        <v>890</v>
      </c>
      <c r="F527" s="15" t="str">
        <f>IFERROR(__xludf.DUMMYFUNCTION("GOOGLETRANSLATE(E527,""en"", ""ja"")"),"検索ボックスのパフォーマンスの問題")</f>
        <v>検索ボックスのパフォーマンスの問題</v>
      </c>
      <c r="G527" s="15" t="str">
        <f>IFERROR(__xludf.DUMMYFUNCTION("GOOGLETRANSLATE(E527,""en"",""zh-cn"")"),"搜索框性能问题")</f>
        <v>搜索框性能问题</v>
      </c>
      <c r="H527" s="15" t="str">
        <f>IFERROR(__xludf.DUMMYFUNCTION("GOOGLETRANSLATE(E527,""en"",""fr"")"),"Problème de performance de la boîte de recherche")</f>
        <v>Problème de performance de la boîte de recherche</v>
      </c>
      <c r="I527" s="15" t="str">
        <f>IFERROR(__xludf.DUMMYFUNCTION("GOOGLETRANSLATE(E527,""en"",""de"")"),"Suchkasten -Leistungsproblem")</f>
        <v>Suchkasten -Leistungsproblem</v>
      </c>
    </row>
    <row r="528">
      <c r="A528" s="15" t="s">
        <v>548</v>
      </c>
      <c r="B528" s="15" t="s">
        <v>891</v>
      </c>
      <c r="C528" s="15" t="s">
        <v>92</v>
      </c>
      <c r="D528" s="15" t="s">
        <v>12</v>
      </c>
      <c r="E528" s="16" t="s">
        <v>892</v>
      </c>
      <c r="F528" s="15" t="str">
        <f>IFERROR(__xludf.DUMMYFUNCTION("GOOGLETRANSLATE(E528,""en"", ""ja"")"),"[wcag]ポップオーバー - 節化センター")</f>
        <v>[wcag]ポップオーバー - 節化センター</v>
      </c>
      <c r="G528" s="15" t="str">
        <f>IFERROR(__xludf.DUMMYFUNCTION("GOOGLETRANSLATE(E528,""en"",""zh-cn"")"),"[WCAG]弹出通知中心")</f>
        <v>[WCAG]弹出通知中心</v>
      </c>
      <c r="H528" s="15" t="str">
        <f>IFERROR(__xludf.DUMMYFUNCTION("GOOGLETRANSLATE(E528,""en"",""fr"")"),"[WCAG] Popover-Notification Center")</f>
        <v>[WCAG] Popover-Notification Center</v>
      </c>
      <c r="I528" s="15" t="str">
        <f>IFERROR(__xludf.DUMMYFUNCTION("GOOGLETRANSLATE(E528,""en"",""de"")"),"[WCAG] Popover-Notification Center")</f>
        <v>[WCAG] Popover-Notification Center</v>
      </c>
    </row>
    <row r="529">
      <c r="A529" s="15" t="s">
        <v>548</v>
      </c>
      <c r="B529" s="15" t="s">
        <v>893</v>
      </c>
      <c r="C529" s="15" t="s">
        <v>92</v>
      </c>
      <c r="D529" s="15" t="s">
        <v>12</v>
      </c>
      <c r="E529" s="16" t="s">
        <v>894</v>
      </c>
      <c r="F529" s="15" t="str">
        <f>IFERROR(__xludf.DUMMYFUNCTION("GOOGLETRANSLATE(E529,""en"", ""ja"")"),"ナビゲーションアニメーション効果を改善します")</f>
        <v>ナビゲーションアニメーション効果を改善します</v>
      </c>
      <c r="G529" s="15" t="str">
        <f>IFERROR(__xludf.DUMMYFUNCTION("GOOGLETRANSLATE(E529,""en"",""zh-cn"")"),"改善导航动画效果")</f>
        <v>改善导航动画效果</v>
      </c>
      <c r="H529" s="15" t="str">
        <f>IFERROR(__xludf.DUMMYFUNCTION("GOOGLETRANSLATE(E529,""en"",""fr"")"),"Améliorer l'effet d'animation de navigation")</f>
        <v>Améliorer l'effet d'animation de navigation</v>
      </c>
      <c r="I529" s="15" t="str">
        <f>IFERROR(__xludf.DUMMYFUNCTION("GOOGLETRANSLATE(E529,""en"",""de"")"),"Verbesserung der Navigationsanimationseffekt")</f>
        <v>Verbesserung der Navigationsanimationseffekt</v>
      </c>
    </row>
    <row r="530">
      <c r="A530" s="15" t="s">
        <v>548</v>
      </c>
      <c r="B530" s="15" t="s">
        <v>895</v>
      </c>
      <c r="C530" s="15" t="s">
        <v>92</v>
      </c>
      <c r="D530" s="15" t="s">
        <v>12</v>
      </c>
      <c r="E530" s="16" t="s">
        <v>896</v>
      </c>
      <c r="F530" s="15" t="str">
        <f>IFERROR(__xludf.DUMMYFUNCTION("GOOGLETRANSLATE(E530,""en"", ""ja"")"),"何らかの理由を説明するために、ボタンを無効にするボタンにはツールチップ/タイトルが必要です")</f>
        <v>何らかの理由を説明するために、ボタンを無効にするボタンにはツールチップ/タイトルが必要です</v>
      </c>
      <c r="G530" s="15" t="str">
        <f>IFERROR(__xludf.DUMMYFUNCTION("GOOGLETRANSLATE(E530,""en"",""zh-cn"")"),"禁用按钮应该具有工具提示/标题来描述某些原因")</f>
        <v>禁用按钮应该具有工具提示/标题来描述某些原因</v>
      </c>
      <c r="H530" s="15" t="str">
        <f>IFERROR(__xludf.DUMMYFUNCTION("GOOGLETRANSLATE(E530,""en"",""fr"")"),"Le bouton Désactiver devrait avoir une info-bulle / titre pour décrire une raison")</f>
        <v>Le bouton Désactiver devrait avoir une info-bulle / titre pour décrire une raison</v>
      </c>
      <c r="I530" s="15" t="str">
        <f>IFERROR(__xludf.DUMMYFUNCTION("GOOGLETRANSLATE(E530,""en"",""de"")"),"Deaktivieren Sie die Schaltfläche sollte einen Tooltip/Titel haben, um einen Grund zu beschreiben")</f>
        <v>Deaktivieren Sie die Schaltfläche sollte einen Tooltip/Titel haben, um einen Grund zu beschreiben</v>
      </c>
    </row>
    <row r="531">
      <c r="A531" s="15" t="s">
        <v>548</v>
      </c>
      <c r="B531" s="15" t="s">
        <v>897</v>
      </c>
      <c r="C531" s="15" t="s">
        <v>92</v>
      </c>
      <c r="D531" s="15" t="s">
        <v>12</v>
      </c>
      <c r="E531" s="16" t="s">
        <v>898</v>
      </c>
      <c r="F531" s="15" t="str">
        <f>IFERROR(__xludf.DUMMYFUNCTION("GOOGLETRANSLATE(E531,""en"", ""ja"")"),"[進行状況]静的進行状況UIの問題")</f>
        <v>[進行状況]静的進行状況UIの問題</v>
      </c>
      <c r="G531" s="15" t="str">
        <f>IFERROR(__xludf.DUMMYFUNCTION("GOOGLETRANSLATE(E531,""en"",""zh-cn"")"),"[进度]静态进度UI问题")</f>
        <v>[进度]静态进度UI问题</v>
      </c>
      <c r="H531" s="15" t="str">
        <f>IFERROR(__xludf.DUMMYFUNCTION("GOOGLETRANSLATE(E531,""en"",""fr"")"),"[Progrès] Problèmes d'interface utilisateur de progrès statique")</f>
        <v>[Progrès] Problèmes d'interface utilisateur de progrès statique</v>
      </c>
      <c r="I531" s="15" t="str">
        <f>IFERROR(__xludf.DUMMYFUNCTION("GOOGLETRANSLATE(E531,""en"",""de"")"),"[Fortschritt] Statische Fortschritts -UI -Probleme")</f>
        <v>[Fortschritt] Statische Fortschritts -UI -Probleme</v>
      </c>
    </row>
    <row r="532">
      <c r="A532" s="15" t="s">
        <v>548</v>
      </c>
      <c r="B532" s="15" t="s">
        <v>899</v>
      </c>
      <c r="C532" s="15" t="s">
        <v>92</v>
      </c>
      <c r="D532" s="15" t="s">
        <v>12</v>
      </c>
      <c r="E532" s="16" t="s">
        <v>900</v>
      </c>
      <c r="F532" s="15" t="str">
        <f>IFERROR(__xludf.DUMMYFUNCTION("GOOGLETRANSLATE(E532,""en"", ""ja"")"),"グローバル検索和言語拥挤")</f>
        <v>グローバル検索和言語拥挤</v>
      </c>
      <c r="G532" s="15" t="str">
        <f>IFERROR(__xludf.DUMMYFUNCTION("GOOGLETRANSLATE(E532,""en"",""zh-cn"")"),"全局搜索和语言拥挤")</f>
        <v>全局搜索和语言拥挤</v>
      </c>
      <c r="H532" s="15" t="str">
        <f>IFERROR(__xludf.DUMMYFUNCTION("GOOGLETRANSLATE(E532,""en"",""fr"")"),"Recherche globale 和 Langue 拥挤")</f>
        <v>Recherche globale 和 Langue 拥挤</v>
      </c>
      <c r="I532" s="15" t="str">
        <f>IFERROR(__xludf.DUMMYFUNCTION("GOOGLETRANSLATE(E532,""en"",""de"")"),"Globale Suche 和 Sprache 拥挤")</f>
        <v>Globale Suche 和 Sprache 拥挤</v>
      </c>
    </row>
    <row r="533">
      <c r="A533" s="15" t="s">
        <v>548</v>
      </c>
      <c r="B533" s="15" t="s">
        <v>901</v>
      </c>
      <c r="C533" s="15" t="s">
        <v>92</v>
      </c>
      <c r="D533" s="15" t="s">
        <v>12</v>
      </c>
      <c r="E533" s="16" t="s">
        <v>902</v>
      </c>
      <c r="F533" s="15" t="str">
        <f>IFERROR(__xludf.DUMMYFUNCTION("GOOGLETRANSLATE(E533,""en"", ""ja"")"),"ウィザードは生産の準備ができています")</f>
        <v>ウィザードは生産の準備ができています</v>
      </c>
      <c r="G533" s="15" t="str">
        <f>IFERROR(__xludf.DUMMYFUNCTION("GOOGLETRANSLATE(E533,""en"",""zh-cn"")"),"向导已经准备好生产")</f>
        <v>向导已经准备好生产</v>
      </c>
      <c r="H533" s="15" t="str">
        <f>IFERROR(__xludf.DUMMYFUNCTION("GOOGLETRANSLATE(E533,""en"",""fr"")"),"Wizard est prêt pour la production")</f>
        <v>Wizard est prêt pour la production</v>
      </c>
      <c r="I533" s="15" t="str">
        <f>IFERROR(__xludf.DUMMYFUNCTION("GOOGLETRANSLATE(E533,""en"",""de"")"),"Assistent ist bereit für die Produktion")</f>
        <v>Assistent ist bereit für die Produktion</v>
      </c>
    </row>
    <row r="534">
      <c r="A534" s="15" t="s">
        <v>548</v>
      </c>
      <c r="B534" s="15" t="s">
        <v>903</v>
      </c>
      <c r="C534" s="15" t="s">
        <v>92</v>
      </c>
      <c r="D534" s="15" t="s">
        <v>12</v>
      </c>
      <c r="E534" s="16" t="s">
        <v>904</v>
      </c>
      <c r="F534" s="15" t="str">
        <f>IFERROR(__xludf.DUMMYFUNCTION("GOOGLETRANSLATE(E534,""en"", ""ja"")"),"静的進行性UIの問題")</f>
        <v>静的進行性UIの問題</v>
      </c>
      <c r="G534" s="15" t="str">
        <f>IFERROR(__xludf.DUMMYFUNCTION("GOOGLETRANSLATE(E534,""en"",""zh-cn"")"),"静态进度UI问题")</f>
        <v>静态进度UI问题</v>
      </c>
      <c r="H534" s="15" t="str">
        <f>IFERROR(__xludf.DUMMYFUNCTION("GOOGLETRANSLATE(E534,""en"",""fr"")"),"Problème d'interface utilisateur statique")</f>
        <v>Problème d'interface utilisateur statique</v>
      </c>
      <c r="I534" s="15" t="str">
        <f>IFERROR(__xludf.DUMMYFUNCTION("GOOGLETRANSLATE(E534,""en"",""de"")"),"Statische Fortschritts -UI -Ausgabe")</f>
        <v>Statische Fortschritts -UI -Ausgabe</v>
      </c>
    </row>
    <row r="535">
      <c r="A535" s="15" t="s">
        <v>548</v>
      </c>
      <c r="B535" s="15" t="s">
        <v>905</v>
      </c>
      <c r="C535" s="15" t="s">
        <v>92</v>
      </c>
      <c r="D535" s="15" t="s">
        <v>12</v>
      </c>
      <c r="E535" s="16" t="s">
        <v>906</v>
      </c>
      <c r="F535" s="15" t="str">
        <f>IFERROR(__xludf.DUMMYFUNCTION("GOOGLETRANSLATE(E535,""en"", ""ja"")"),"[WCAG]ナビゲーション问题")</f>
        <v>[WCAG]ナビゲーション问题</v>
      </c>
      <c r="G535" s="15" t="str">
        <f>IFERROR(__xludf.DUMMYFUNCTION("GOOGLETRANSLATE(E535,""en"",""zh-cn"")"),"[WCAG]导航问题")</f>
        <v>[WCAG]导航问题</v>
      </c>
      <c r="H535" s="15" t="str">
        <f>IFERROR(__xludf.DUMMYFUNCTION("GOOGLETRANSLATE(E535,""en"",""fr"")"),"[WCAG] Navigation 问题")</f>
        <v>[WCAG] Navigation 问题</v>
      </c>
      <c r="I535" s="15" t="str">
        <f>IFERROR(__xludf.DUMMYFUNCTION("GOOGLETRANSLATE(E535,""en"",""de"")"),"[WCAG] Navigation 问题")</f>
        <v>[WCAG] Navigation 问题</v>
      </c>
    </row>
    <row r="536">
      <c r="A536" s="15" t="s">
        <v>548</v>
      </c>
      <c r="B536" s="15" t="s">
        <v>907</v>
      </c>
      <c r="C536" s="15" t="s">
        <v>92</v>
      </c>
      <c r="D536" s="15" t="s">
        <v>12</v>
      </c>
      <c r="E536" s="16" t="s">
        <v>908</v>
      </c>
      <c r="F536" s="15" t="str">
        <f>IFERROR(__xludf.DUMMYFUNCTION("GOOGLETRANSLATE(E536,""en"", ""ja"")"),"テーブル最初の列スペースの問題")</f>
        <v>テーブル最初の列スペースの問題</v>
      </c>
      <c r="G536" s="15" t="str">
        <f>IFERROR(__xludf.DUMMYFUNCTION("GOOGLETRANSLATE(E536,""en"",""zh-cn"")"),"表第一列空间问题")</f>
        <v>表第一列空间问题</v>
      </c>
      <c r="H536" s="15" t="str">
        <f>IFERROR(__xludf.DUMMYFUNCTION("GOOGLETRANSLATE(E536,""en"",""fr"")"),"Tableau du premier problème d'espace de colonne")</f>
        <v>Tableau du premier problème d'espace de colonne</v>
      </c>
      <c r="I536" s="15" t="str">
        <f>IFERROR(__xludf.DUMMYFUNCTION("GOOGLETRANSLATE(E536,""en"",""de"")"),"Tabelle erster Spaltenraum Problem")</f>
        <v>Tabelle erster Spaltenraum Problem</v>
      </c>
    </row>
    <row r="537">
      <c r="A537" s="15" t="s">
        <v>548</v>
      </c>
      <c r="B537" s="15" t="s">
        <v>909</v>
      </c>
      <c r="C537" s="15" t="s">
        <v>92</v>
      </c>
      <c r="D537" s="15" t="s">
        <v>12</v>
      </c>
      <c r="E537" s="16" t="s">
        <v>910</v>
      </c>
      <c r="F537" s="15" t="str">
        <f>IFERROR(__xludf.DUMMYFUNCTION("GOOGLETRANSLATE(E537,""en"", ""ja"")"),"タブスペースの問題")</f>
        <v>タブスペースの問題</v>
      </c>
      <c r="G537" s="15" t="str">
        <f>IFERROR(__xludf.DUMMYFUNCTION("GOOGLETRANSLATE(E537,""en"",""zh-cn"")"),"标签空间问题")</f>
        <v>标签空间问题</v>
      </c>
      <c r="H537" s="15" t="str">
        <f>IFERROR(__xludf.DUMMYFUNCTION("GOOGLETRANSLATE(E537,""en"",""fr"")"),"Problème d'espace d'onglet")</f>
        <v>Problème d'espace d'onglet</v>
      </c>
      <c r="I537" s="15" t="str">
        <f>IFERROR(__xludf.DUMMYFUNCTION("GOOGLETRANSLATE(E537,""en"",""de"")"),"Registerkartenraum Problem")</f>
        <v>Registerkartenraum Problem</v>
      </c>
    </row>
    <row r="538">
      <c r="A538" s="15" t="s">
        <v>548</v>
      </c>
      <c r="B538" s="15" t="s">
        <v>911</v>
      </c>
      <c r="C538" s="15" t="s">
        <v>92</v>
      </c>
      <c r="D538" s="15" t="s">
        <v>12</v>
      </c>
      <c r="E538" s="16" t="s">
        <v>912</v>
      </c>
      <c r="F538" s="15" t="str">
        <f>IFERROR(__xludf.DUMMYFUNCTION("GOOGLETRANSLATE(E538,""en"", ""ja"")"),"ピッカーの結果の問題")</f>
        <v>ピッカーの結果の問題</v>
      </c>
      <c r="G538" s="15" t="str">
        <f>IFERROR(__xludf.DUMMYFUNCTION("GOOGLETRANSLATE(E538,""en"",""zh-cn"")"),"人选择者结果问题")</f>
        <v>人选择者结果问题</v>
      </c>
      <c r="H538" s="15" t="str">
        <f>IFERROR(__xludf.DUMMYFUNCTION("GOOGLETRANSLATE(E538,""en"",""fr"")"),"Problème de résultat du cueilleur")</f>
        <v>Problème de résultat du cueilleur</v>
      </c>
      <c r="I538" s="15" t="str">
        <f>IFERROR(__xludf.DUMMYFUNCTION("GOOGLETRANSLATE(E538,""en"",""de"")"),"People Picker -Ergebnisausgabe")</f>
        <v>People Picker -Ergebnisausgabe</v>
      </c>
    </row>
    <row r="539">
      <c r="A539" s="15" t="s">
        <v>548</v>
      </c>
      <c r="B539" s="15" t="s">
        <v>913</v>
      </c>
      <c r="C539" s="15" t="s">
        <v>92</v>
      </c>
      <c r="D539" s="15" t="s">
        <v>12</v>
      </c>
      <c r="E539" s="16" t="s">
        <v>914</v>
      </c>
      <c r="F539" s="15" t="str">
        <f>IFERROR(__xludf.DUMMYFUNCTION("GOOGLETRANSLATE(E539,""en"", ""ja"")"),"パネルカーソルの問題")</f>
        <v>パネルカーソルの問題</v>
      </c>
      <c r="G539" s="15" t="str">
        <f>IFERROR(__xludf.DUMMYFUNCTION("GOOGLETRANSLATE(E539,""en"",""zh-cn"")"),"面板光标问题")</f>
        <v>面板光标问题</v>
      </c>
      <c r="H539" s="15" t="str">
        <f>IFERROR(__xludf.DUMMYFUNCTION("GOOGLETRANSLATE(E539,""en"",""fr"")"),"Problème du curseur du panneau")</f>
        <v>Problème du curseur du panneau</v>
      </c>
      <c r="I539" s="15" t="str">
        <f>IFERROR(__xludf.DUMMYFUNCTION("GOOGLETRANSLATE(E539,""en"",""de"")"),"Panel Cursor -Problem")</f>
        <v>Panel Cursor -Problem</v>
      </c>
    </row>
    <row r="540">
      <c r="A540" s="15" t="s">
        <v>548</v>
      </c>
      <c r="B540" s="15" t="s">
        <v>915</v>
      </c>
      <c r="C540" s="15" t="s">
        <v>92</v>
      </c>
      <c r="D540" s="15" t="s">
        <v>12</v>
      </c>
      <c r="E540" s="16" t="s">
        <v>916</v>
      </c>
      <c r="F540" s="15" t="str">
        <f>IFERROR(__xludf.DUMMYFUNCTION("GOOGLETRANSLATE(E540,""en"", ""ja"")"),"クリックしないとカーソルが変更されていないパン塊")</f>
        <v>クリックしないとカーソルが変更されていないパン塊</v>
      </c>
      <c r="G540" s="15" t="str">
        <f>IFERROR(__xludf.DUMMYFUNCTION("GOOGLETRANSLATE(E540,""en"",""zh-cn"")"),"当不可单击时，没有光标的面包屑，没有光标")</f>
        <v>当不可单击时，没有光标的面包屑，没有光标</v>
      </c>
      <c r="H540" s="15" t="str">
        <f>IFERROR(__xludf.DUMMYFUNCTION("GOOGLETRANSLATE(E540,""en"",""fr"")"),"Chrum de pain sans changement de curseur lorsqu'il n'est pas cliquable")</f>
        <v>Chrum de pain sans changement de curseur lorsqu'il n'est pas cliquable</v>
      </c>
      <c r="I540" s="15" t="str">
        <f>IFERROR(__xludf.DUMMYFUNCTION("GOOGLETRANSLATE(E540,""en"",""de"")"),"Breadcrumb ohne Cursoränderung, wenn nicht anklickbar ist")</f>
        <v>Breadcrumb ohne Cursoränderung, wenn nicht anklickbar ist</v>
      </c>
    </row>
    <row r="541">
      <c r="A541" s="15" t="s">
        <v>548</v>
      </c>
      <c r="B541" s="15" t="s">
        <v>917</v>
      </c>
      <c r="C541" s="15" t="s">
        <v>92</v>
      </c>
      <c r="D541" s="15" t="s">
        <v>12</v>
      </c>
      <c r="E541" s="16" t="s">
        <v>918</v>
      </c>
      <c r="F541" s="15" t="str">
        <f>IFERROR(__xludf.DUMMYFUNCTION("GOOGLETRANSLATE(E541,""en"", ""ja"")"),"ピッカーのための2つのシナリオ")</f>
        <v>ピッカーのための2つのシナリオ</v>
      </c>
      <c r="G541" s="15" t="str">
        <f>IFERROR(__xludf.DUMMYFUNCTION("GOOGLETRANSLATE(E541,""en"",""zh-cn"")"),"选择人的两种情况")</f>
        <v>选择人的两种情况</v>
      </c>
      <c r="H541" s="15" t="str">
        <f>IFERROR(__xludf.DUMMYFUNCTION("GOOGLETRANSLATE(E541,""en"",""fr"")"),"Deux scénarios pour les personnes Picker")</f>
        <v>Deux scénarios pour les personnes Picker</v>
      </c>
      <c r="I541" s="15" t="str">
        <f>IFERROR(__xludf.DUMMYFUNCTION("GOOGLETRANSLATE(E541,""en"",""de"")"),"Zwei Szenarien für People Picker")</f>
        <v>Zwei Szenarien für People Picker</v>
      </c>
    </row>
    <row r="542">
      <c r="A542" s="15" t="s">
        <v>548</v>
      </c>
      <c r="B542" s="15" t="s">
        <v>919</v>
      </c>
      <c r="C542" s="15" t="s">
        <v>92</v>
      </c>
      <c r="D542" s="15" t="s">
        <v>12</v>
      </c>
      <c r="E542" s="16" t="s">
        <v>920</v>
      </c>
      <c r="F542" s="15" t="str">
        <f>IFERROR(__xludf.DUMMYFUNCTION("GOOGLETRANSLATE(E542,""en"", ""ja"")"),"People Picker内のアドレス帳アイコンを削除します")</f>
        <v>People Picker内のアドレス帳アイコンを削除します</v>
      </c>
      <c r="G542" s="15" t="str">
        <f>IFERROR(__xludf.DUMMYFUNCTION("GOOGLETRANSLATE(E542,""en"",""zh-cn"")"),"在People Picker中删除通讯簿图标")</f>
        <v>在People Picker中删除通讯簿图标</v>
      </c>
      <c r="H542" s="15" t="str">
        <f>IFERROR(__xludf.DUMMYFUNCTION("GOOGLETRANSLATE(E542,""en"",""fr"")"),"Supprimer l'icône du carnet d'adresses au sein des personnes Picker")</f>
        <v>Supprimer l'icône du carnet d'adresses au sein des personnes Picker</v>
      </c>
      <c r="I542" s="15" t="str">
        <f>IFERROR(__xludf.DUMMYFUNCTION("GOOGLETRANSLATE(E542,""en"",""de"")"),"Entfernen Sie das Adressbuchsymbol in People Picker")</f>
        <v>Entfernen Sie das Adressbuchsymbol in People Picker</v>
      </c>
    </row>
    <row r="543">
      <c r="A543" s="15" t="s">
        <v>548</v>
      </c>
      <c r="B543" s="15" t="s">
        <v>921</v>
      </c>
      <c r="C543" s="15" t="s">
        <v>92</v>
      </c>
      <c r="D543" s="15" t="s">
        <v>12</v>
      </c>
      <c r="E543" s="16" t="s">
        <v>922</v>
      </c>
      <c r="F543" s="15" t="str">
        <f>IFERROR(__xludf.DUMMYFUNCTION("GOOGLETRANSLATE(E543,""en"", ""ja"")"),"[wcag]日付ピッカー")</f>
        <v>[wcag]日付ピッカー</v>
      </c>
      <c r="G543" s="15" t="str">
        <f>IFERROR(__xludf.DUMMYFUNCTION("GOOGLETRANSLATE(E543,""en"",""zh-cn"")"),"[WCAG]日期选择器")</f>
        <v>[WCAG]日期选择器</v>
      </c>
      <c r="H543" s="15" t="str">
        <f>IFERROR(__xludf.DUMMYFUNCTION("GOOGLETRANSLATE(E543,""en"",""fr"")"),"[WCAG] Picker de date")</f>
        <v>[WCAG] Picker de date</v>
      </c>
      <c r="I543" s="15" t="str">
        <f>IFERROR(__xludf.DUMMYFUNCTION("GOOGLETRANSLATE(E543,""en"",""de"")"),"[WCAG] Date Picker")</f>
        <v>[WCAG] Date Picker</v>
      </c>
    </row>
    <row r="544">
      <c r="A544" s="15" t="s">
        <v>548</v>
      </c>
      <c r="B544" s="15" t="s">
        <v>923</v>
      </c>
      <c r="C544" s="15" t="s">
        <v>92</v>
      </c>
      <c r="D544" s="15" t="s">
        <v>12</v>
      </c>
      <c r="E544" s="16" t="s">
        <v>924</v>
      </c>
      <c r="F544" s="15" t="str">
        <f>IFERROR(__xludf.DUMMYFUNCTION("GOOGLETRANSLATE(E544,""en"", ""ja"")"),"[WCAG]ピッパーピッカー")</f>
        <v>[WCAG]ピッパーピッカー</v>
      </c>
      <c r="G544" s="15" t="str">
        <f>IFERROR(__xludf.DUMMYFUNCTION("GOOGLETRANSLATE(E544,""en"",""zh-cn"")"),"[WCAG]人民选择者")</f>
        <v>[WCAG]人民选择者</v>
      </c>
      <c r="H544" s="15" t="str">
        <f>IFERROR(__xludf.DUMMYFUNCTION("GOOGLETRANSLATE(E544,""en"",""fr"")"),"[Wcag] Picker de personnes")</f>
        <v>[Wcag] Picker de personnes</v>
      </c>
      <c r="I544" s="15" t="str">
        <f>IFERROR(__xludf.DUMMYFUNCTION("GOOGLETRANSLATE(E544,""en"",""de"")"),"[WCAG] People Picker")</f>
        <v>[WCAG] People Picker</v>
      </c>
    </row>
    <row r="545">
      <c r="A545" s="15" t="s">
        <v>548</v>
      </c>
      <c r="B545" s="15" t="s">
        <v>925</v>
      </c>
      <c r="C545" s="15" t="s">
        <v>92</v>
      </c>
      <c r="D545" s="15" t="s">
        <v>12</v>
      </c>
      <c r="E545" s="16" t="s">
        <v>926</v>
      </c>
      <c r="F545" s="15" t="str">
        <f>IFERROR(__xludf.DUMMYFUNCTION("GOOGLETRANSLATE(E545,""en"", ""ja"")"),"[wcag] select")</f>
        <v>[wcag] select</v>
      </c>
      <c r="G545" s="15" t="str">
        <f>IFERROR(__xludf.DUMMYFUNCTION("GOOGLETRANSLATE(E545,""en"",""zh-cn"")"),"[WCAG]选择")</f>
        <v>[WCAG]选择</v>
      </c>
      <c r="H545" s="15" t="str">
        <f>IFERROR(__xludf.DUMMYFUNCTION("GOOGLETRANSLATE(E545,""en"",""fr"")"),"[WCAG] Sélectionnez")</f>
        <v>[WCAG] Sélectionnez</v>
      </c>
      <c r="I545" s="15" t="str">
        <f>IFERROR(__xludf.DUMMYFUNCTION("GOOGLETRANSLATE(E545,""en"",""de"")"),"[WCAG] Wählen Sie")</f>
        <v>[WCAG] Wählen Sie</v>
      </c>
    </row>
    <row r="546">
      <c r="A546" s="15" t="s">
        <v>548</v>
      </c>
      <c r="B546" s="15" t="s">
        <v>927</v>
      </c>
      <c r="C546" s="15" t="s">
        <v>92</v>
      </c>
      <c r="D546" s="15" t="s">
        <v>12</v>
      </c>
      <c r="E546" s="16" t="s">
        <v>928</v>
      </c>
      <c r="F546" s="15" t="str">
        <f>IFERROR(__xludf.DUMMYFUNCTION("GOOGLETRANSLATE(E546,""en"", ""ja"")"),"[wcag]タイムピッカー")</f>
        <v>[wcag]タイムピッカー</v>
      </c>
      <c r="G546" s="15" t="str">
        <f>IFERROR(__xludf.DUMMYFUNCTION("GOOGLETRANSLATE(E546,""en"",""zh-cn"")"),"[WCAG]时间选择器")</f>
        <v>[WCAG]时间选择器</v>
      </c>
      <c r="H546" s="15" t="str">
        <f>IFERROR(__xludf.DUMMYFUNCTION("GOOGLETRANSLATE(E546,""en"",""fr"")"),"[WCAG] Picker à temps")</f>
        <v>[WCAG] Picker à temps</v>
      </c>
      <c r="I546" s="15" t="str">
        <f>IFERROR(__xludf.DUMMYFUNCTION("GOOGLETRANSLATE(E546,""en"",""de"")"),"[WCAG] Zeitpicker")</f>
        <v>[WCAG] Zeitpicker</v>
      </c>
    </row>
    <row r="547">
      <c r="A547" s="15" t="s">
        <v>548</v>
      </c>
      <c r="B547" s="15" t="s">
        <v>929</v>
      </c>
      <c r="C547" s="15" t="s">
        <v>92</v>
      </c>
      <c r="D547" s="15" t="s">
        <v>12</v>
      </c>
      <c r="E547" s="16" t="s">
        <v>930</v>
      </c>
      <c r="F547" s="15" t="str">
        <f>IFERROR(__xludf.DUMMYFUNCTION("GOOGLETRANSLATE(E547,""en"", ""ja"")"),"[wcag]カルーセル")</f>
        <v>[wcag]カルーセル</v>
      </c>
      <c r="G547" s="15" t="str">
        <f>IFERROR(__xludf.DUMMYFUNCTION("GOOGLETRANSLATE(E547,""en"",""zh-cn"")"),"[WCAG]旋转木马")</f>
        <v>[WCAG]旋转木马</v>
      </c>
      <c r="H547" s="15" t="str">
        <f>IFERROR(__xludf.DUMMYFUNCTION("GOOGLETRANSLATE(E547,""en"",""fr"")"),"[WCAG] Carrousel")</f>
        <v>[WCAG] Carrousel</v>
      </c>
      <c r="I547" s="15" t="str">
        <f>IFERROR(__xludf.DUMMYFUNCTION("GOOGLETRANSLATE(E547,""en"",""de"")"),"[WCAG] Karussell")</f>
        <v>[WCAG] Karussell</v>
      </c>
    </row>
    <row r="548">
      <c r="A548" s="15" t="s">
        <v>548</v>
      </c>
      <c r="B548" s="15" t="s">
        <v>931</v>
      </c>
      <c r="C548" s="15" t="s">
        <v>92</v>
      </c>
      <c r="D548" s="15" t="s">
        <v>12</v>
      </c>
      <c r="E548" s="16" t="s">
        <v>932</v>
      </c>
      <c r="F548" s="15" t="str">
        <f>IFERROR(__xludf.DUMMYFUNCTION("GOOGLETRANSLATE(E548,""en"", ""ja"")"),"[パネル]追加パネルを追加します")</f>
        <v>[パネル]追加パネルを追加します</v>
      </c>
      <c r="G548" s="15" t="str">
        <f>IFERROR(__xludf.DUMMYFUNCTION("GOOGLETRANSLATE(E548,""en"",""zh-cn"")"),"[面板]添加额外的面板")</f>
        <v>[面板]添加额外的面板</v>
      </c>
      <c r="H548" s="15" t="str">
        <f>IFERROR(__xludf.DUMMYFUNCTION("GOOGLETRANSLATE(E548,""en"",""fr"")"),"[Panneau] Ajouter un panneau supplémentaire")</f>
        <v>[Panneau] Ajouter un panneau supplémentaire</v>
      </c>
      <c r="I548" s="15" t="str">
        <f>IFERROR(__xludf.DUMMYFUNCTION("GOOGLETRANSLATE(E548,""en"",""de"")"),"[Panel] zusätzliches Panel hinzufügen")</f>
        <v>[Panel] zusätzliches Panel hinzufügen</v>
      </c>
    </row>
    <row r="549">
      <c r="A549" s="15" t="s">
        <v>548</v>
      </c>
      <c r="B549" s="15" t="s">
        <v>933</v>
      </c>
      <c r="C549" s="15" t="s">
        <v>92</v>
      </c>
      <c r="D549" s="15" t="s">
        <v>12</v>
      </c>
      <c r="E549" s="16" t="s">
        <v>934</v>
      </c>
      <c r="F549" s="15" t="str">
        <f>IFERROR(__xludf.DUMMYFUNCTION("GOOGLETRANSLATE(E549,""en"", ""ja"")"),"[選択]シングルドロップダウンリストに明確な機能を追加する")</f>
        <v>[選択]シングルドロップダウンリストに明確な機能を追加する</v>
      </c>
      <c r="G549" s="15" t="str">
        <f>IFERROR(__xludf.DUMMYFUNCTION("GOOGLETRANSLATE(E549,""en"",""zh-cn"")"),"[选择]为单个下拉列表添加清晰的功能")</f>
        <v>[选择]为单个下拉列表添加清晰的功能</v>
      </c>
      <c r="H549" s="15" t="str">
        <f>IFERROR(__xludf.DUMMYFUNCTION("GOOGLETRANSLATE(E549,""en"",""fr"")"),"[SELECT] Ajoutez une fonctionnalité claire pour la liste déroulante unique")</f>
        <v>[SELECT] Ajoutez une fonctionnalité claire pour la liste déroulante unique</v>
      </c>
      <c r="I549" s="15" t="str">
        <f>IFERROR(__xludf.DUMMYFUNCTION("GOOGLETRANSLATE(E549,""en"",""de"")"),"[Wählen Sie] eine klare Funktion für eine einzelne Dropdown -Liste hinzufügen")</f>
        <v>[Wählen Sie] eine klare Funktion für eine einzelne Dropdown -Liste hinzufügen</v>
      </c>
    </row>
    <row r="550">
      <c r="A550" s="15" t="s">
        <v>548</v>
      </c>
      <c r="B550" s="15" t="s">
        <v>935</v>
      </c>
      <c r="C550" s="15" t="s">
        <v>92</v>
      </c>
      <c r="D550" s="15" t="s">
        <v>12</v>
      </c>
      <c r="E550" s="16" t="s">
        <v>936</v>
      </c>
      <c r="F550" s="15" t="str">
        <f>IFERROR(__xludf.DUMMYFUNCTION("GOOGLETRANSLATE(E550,""en"", ""ja"")"),"[WCAG]警告とエラーのアイコンと色の変更")</f>
        <v>[WCAG]警告とエラーのアイコンと色の変更</v>
      </c>
      <c r="G550" s="15" t="str">
        <f>IFERROR(__xludf.DUMMYFUNCTION("GOOGLETRANSLATE(E550,""en"",""zh-cn"")"),"[WCAG]警告和错误图标和颜色变化")</f>
        <v>[WCAG]警告和错误图标和颜色变化</v>
      </c>
      <c r="H550" s="15" t="str">
        <f>IFERROR(__xludf.DUMMYFUNCTION("GOOGLETRANSLATE(E550,""en"",""fr"")"),"[WCAG] Icône d'avertissement et d'erreur et modifications de couleur")</f>
        <v>[WCAG] Icône d'avertissement et d'erreur et modifications de couleur</v>
      </c>
      <c r="I550" s="15" t="str">
        <f>IFERROR(__xludf.DUMMYFUNCTION("GOOGLETRANSLATE(E550,""en"",""de"")"),"[WCAG] Warn- und Fehlersymbol und Farbänderungen")</f>
        <v>[WCAG] Warn- und Fehlersymbol und Farbänderungen</v>
      </c>
    </row>
    <row r="551">
      <c r="A551" s="15" t="s">
        <v>548</v>
      </c>
      <c r="B551" s="15" t="s">
        <v>937</v>
      </c>
      <c r="C551" s="15" t="s">
        <v>92</v>
      </c>
      <c r="D551" s="15" t="s">
        <v>12</v>
      </c>
      <c r="E551" s="16" t="s">
        <v>938</v>
      </c>
      <c r="F551" s="15" t="str">
        <f>IFERROR(__xludf.DUMMYFUNCTION("GOOGLETRANSLATE(E551,""en"", ""ja"")"),"一般的な国コードを追加します")</f>
        <v>一般的な国コードを追加します</v>
      </c>
      <c r="G551" s="15" t="str">
        <f>IFERROR(__xludf.DUMMYFUNCTION("GOOGLETRANSLATE(E551,""en"",""zh-cn"")"),"添加共同的国家代码")</f>
        <v>添加共同的国家代码</v>
      </c>
      <c r="H551" s="15" t="str">
        <f>IFERROR(__xludf.DUMMYFUNCTION("GOOGLETRANSLATE(E551,""en"",""fr"")"),"Ajouter des codes de pays communs")</f>
        <v>Ajouter des codes de pays communs</v>
      </c>
      <c r="I551" s="15" t="str">
        <f>IFERROR(__xludf.DUMMYFUNCTION("GOOGLETRANSLATE(E551,""en"",""de"")"),"Fügen Sie gemeinsame Ländercodes hinzu")</f>
        <v>Fügen Sie gemeinsame Ländercodes hinzu</v>
      </c>
    </row>
    <row r="552">
      <c r="A552" s="15" t="s">
        <v>548</v>
      </c>
      <c r="B552" s="15" t="s">
        <v>939</v>
      </c>
      <c r="C552" s="15" t="s">
        <v>92</v>
      </c>
      <c r="D552" s="15" t="s">
        <v>12</v>
      </c>
      <c r="E552" s="16" t="s">
        <v>940</v>
      </c>
      <c r="F552" s="15" t="str">
        <f>IFERROR(__xludf.DUMMYFUNCTION("GOOGLETRANSLATE(E552,""en"", ""ja"")"),"[表]カスタムテーブルスタイルの問題")</f>
        <v>[表]カスタムテーブルスタイルの問題</v>
      </c>
      <c r="G552" s="15" t="str">
        <f>IFERROR(__xludf.DUMMYFUNCTION("GOOGLETRANSLATE(E552,""en"",""zh-cn"")"),"[表]自定义表样式问题")</f>
        <v>[表]自定义表样式问题</v>
      </c>
      <c r="H552" s="15" t="str">
        <f>IFERROR(__xludf.DUMMYFUNCTION("GOOGLETRANSLATE(E552,""en"",""fr"")"),"[Table] Problème de style de table personnalisé")</f>
        <v>[Table] Problème de style de table personnalisé</v>
      </c>
      <c r="I552" s="15" t="str">
        <f>IFERROR(__xludf.DUMMYFUNCTION("GOOGLETRANSLATE(E552,""en"",""de"")"),"[Tabelle] Ausgabe des benutzerdefinierten Tabellenstils")</f>
        <v>[Tabelle] Ausgabe des benutzerdefinierten Tabellenstils</v>
      </c>
    </row>
    <row r="553">
      <c r="A553" s="15" t="s">
        <v>548</v>
      </c>
      <c r="B553" s="15" t="s">
        <v>941</v>
      </c>
      <c r="C553" s="15" t="s">
        <v>92</v>
      </c>
      <c r="D553" s="15" t="s">
        <v>12</v>
      </c>
      <c r="E553" s="16" t="s">
        <v>942</v>
      </c>
      <c r="F553" s="15" t="str">
        <f>IFERROR(__xludf.DUMMYFUNCTION("GOOGLETRANSLATE(E553,""en"", ""ja"")"),"[選択]すべての機能を備えた複数")</f>
        <v>[選択]すべての機能を備えた複数</v>
      </c>
      <c r="G553" s="15" t="str">
        <f>IFERROR(__xludf.DUMMYFUNCTION("GOOGLETRANSLATE(E553,""en"",""zh-cn"")"),"[选择]多个功能")</f>
        <v>[选择]多个功能</v>
      </c>
      <c r="H553" s="15" t="str">
        <f>IFERROR(__xludf.DUMMYFUNCTION("GOOGLETRANSLATE(E553,""en"",""fr"")"),"[SELECT] multiple avec toutes les fonctionnalités")</f>
        <v>[SELECT] multiple avec toutes les fonctionnalités</v>
      </c>
      <c r="I553" s="15" t="str">
        <f>IFERROR(__xludf.DUMMYFUNCTION("GOOGLETRANSLATE(E553,""en"",""de"")"),"[SELECT] Multiple mit allen Funktionen")</f>
        <v>[SELECT] Multiple mit allen Funktionen</v>
      </c>
    </row>
    <row r="554">
      <c r="A554" s="15" t="s">
        <v>548</v>
      </c>
      <c r="B554" s="15" t="s">
        <v>943</v>
      </c>
      <c r="C554" s="15" t="s">
        <v>92</v>
      </c>
      <c r="D554" s="15" t="s">
        <v>12</v>
      </c>
      <c r="E554" s="16" t="s">
        <v>944</v>
      </c>
      <c r="F554" s="15" t="str">
        <f>IFERROR(__xludf.DUMMYFUNCTION("GOOGLETRANSLATE(E554,""en"", ""ja"")"),"ボーダーカラーの問題を無効にします")</f>
        <v>ボーダーカラーの問題を無効にします</v>
      </c>
      <c r="G554" s="15" t="str">
        <f>IFERROR(__xludf.DUMMYFUNCTION("GOOGLETRANSLATE(E554,""en"",""zh-cn"")"),"禁用边界颜色问题")</f>
        <v>禁用边界颜色问题</v>
      </c>
      <c r="H554" s="15" t="str">
        <f>IFERROR(__xludf.DUMMYFUNCTION("GOOGLETRANSLATE(E554,""en"",""fr"")"),"Désactiver le problème de la couleur des frontières")</f>
        <v>Désactiver le problème de la couleur des frontières</v>
      </c>
      <c r="I554" s="15" t="str">
        <f>IFERROR(__xludf.DUMMYFUNCTION("GOOGLETRANSLATE(E554,""en"",""de"")"),"Deaktivieren Sie das Problem der Grenzfarbe")</f>
        <v>Deaktivieren Sie das Problem der Grenzfarbe</v>
      </c>
    </row>
    <row r="555">
      <c r="A555" s="15" t="s">
        <v>548</v>
      </c>
      <c r="B555" s="15" t="s">
        <v>945</v>
      </c>
      <c r="C555" s="15" t="s">
        <v>92</v>
      </c>
      <c r="D555" s="15" t="s">
        <v>12</v>
      </c>
      <c r="E555" s="16" t="s">
        <v>946</v>
      </c>
      <c r="F555" s="15" t="str">
        <f>IFERROR(__xludf.DUMMYFUNCTION("GOOGLETRANSLATE(E555,""en"", ""ja"")"),"[選択]ドロップダウンパディング左は12pxでなければなりません")</f>
        <v>[選択]ドロップダウンパディング左は12pxでなければなりません</v>
      </c>
      <c r="G555" s="15" t="str">
        <f>IFERROR(__xludf.DUMMYFUNCTION("GOOGLETRANSLATE(E555,""en"",""zh-cn"")"),"[选择]下拉式填充左应为12px")</f>
        <v>[选择]下拉式填充左应为12px</v>
      </c>
      <c r="H555" s="15" t="str">
        <f>IFERROR(__xludf.DUMMYFUNCTION("GOOGLETRANSLATE(E555,""en"",""fr"")"),"[SELECT] Le padding en dalton-gauche doit être de 12px")</f>
        <v>[SELECT] Le padding en dalton-gauche doit être de 12px</v>
      </c>
      <c r="I555" s="15" t="str">
        <f>IFERROR(__xludf.DUMMYFUNCTION("GOOGLETRANSLATE(E555,""en"",""de"")"),"[SELECT] Dropdown-Padding-Links sollte 12px sein")</f>
        <v>[SELECT] Dropdown-Padding-Links sollte 12px sein</v>
      </c>
    </row>
    <row r="556">
      <c r="A556" s="15" t="s">
        <v>548</v>
      </c>
      <c r="B556" s="15" t="s">
        <v>947</v>
      </c>
      <c r="C556" s="15" t="s">
        <v>92</v>
      </c>
      <c r="D556" s="15" t="s">
        <v>12</v>
      </c>
      <c r="E556" s="16" t="s">
        <v>948</v>
      </c>
      <c r="F556" s="15" t="str">
        <f>IFERROR(__xludf.DUMMYFUNCTION("GOOGLETRANSLATE(E556,""en"", ""ja"")"),"現在のステップフォントサイズはウィザードで大胆な効果を持つ必要があります")</f>
        <v>現在のステップフォントサイズはウィザードで大胆な効果を持つ必要があります</v>
      </c>
      <c r="G556" s="15" t="str">
        <f>IFERROR(__xludf.DUMMYFUNCTION("GOOGLETRANSLATE(E556,""en"",""zh-cn"")"),"当前的步骤字体大小在向导中应该具有大胆的效果")</f>
        <v>当前的步骤字体大小在向导中应该具有大胆的效果</v>
      </c>
      <c r="H556" s="15" t="str">
        <f>IFERROR(__xludf.DUMMYFUNCTION("GOOGLETRANSLATE(E556,""en"",""fr"")"),"La taille de la police à pas actuelle devrait avoir un effet audacieux dans l'assistant")</f>
        <v>La taille de la police à pas actuelle devrait avoir un effet audacieux dans l'assistant</v>
      </c>
      <c r="I556" s="15" t="str">
        <f>IFERROR(__xludf.DUMMYFUNCTION("GOOGLETRANSLATE(E556,""en"",""de"")"),"Aktuelle Schrittschriftgröße sollte im Assistenten einen kräftigen Effekt haben")</f>
        <v>Aktuelle Schrittschriftgröße sollte im Assistenten einen kräftigen Effekt haben</v>
      </c>
    </row>
    <row r="557">
      <c r="A557" s="15" t="s">
        <v>548</v>
      </c>
      <c r="B557" s="15" t="s">
        <v>949</v>
      </c>
      <c r="C557" s="15" t="s">
        <v>92</v>
      </c>
      <c r="D557" s="15" t="s">
        <v>12</v>
      </c>
      <c r="E557" s="16" t="s">
        <v>950</v>
      </c>
      <c r="F557" s="15" t="str">
        <f>IFERROR(__xludf.DUMMYFUNCTION("GOOGLETRANSLATE(E557,""en"", ""ja"")"),"ウィザードは「進行中の説明」パラメーターを公開する必要があります")</f>
        <v>ウィザードは「進行中の説明」パラメーターを公開する必要があります</v>
      </c>
      <c r="G557" s="15" t="str">
        <f>IFERROR(__xludf.DUMMYFUNCTION("GOOGLETRANSLATE(E557,""en"",""zh-cn"")"),"向导应公开“正在进行的描述”参数")</f>
        <v>向导应公开“正在进行的描述”参数</v>
      </c>
      <c r="H557" s="15" t="str">
        <f>IFERROR(__xludf.DUMMYFUNCTION("GOOGLETRANSLATE(E557,""en"",""fr"")"),"L'assistant doit exposer le paramètre «In Progress Description»")</f>
        <v>L'assistant doit exposer le paramètre «In Progress Description»</v>
      </c>
      <c r="I557" s="15" t="str">
        <f>IFERROR(__xludf.DUMMYFUNCTION("GOOGLETRANSLATE(E557,""en"",""de"")"),"Der Assistent sollte den Parameter „In Progress Beschreibung“ freilegen")</f>
        <v>Der Assistent sollte den Parameter „In Progress Beschreibung“ freilegen</v>
      </c>
    </row>
    <row r="558">
      <c r="A558" s="15" t="s">
        <v>548</v>
      </c>
      <c r="B558" s="15" t="s">
        <v>951</v>
      </c>
      <c r="C558" s="15" t="s">
        <v>92</v>
      </c>
      <c r="D558" s="15" t="s">
        <v>12</v>
      </c>
      <c r="E558" s="16" t="s">
        <v>952</v>
      </c>
      <c r="F558" s="15" t="str">
        <f>IFERROR(__xludf.DUMMYFUNCTION("GOOGLETRANSLATE(E558,""en"", ""ja"")"),"[TimePicker]バックアップ周波数の相互作用の問題を変更します")</f>
        <v>[TimePicker]バックアップ周波数の相互作用の問題を変更します</v>
      </c>
      <c r="G558" s="15" t="str">
        <f>IFERROR(__xludf.DUMMYFUNCTION("GOOGLETRANSLATE(E558,""en"",""zh-cn"")"),"[TimePicker]更改备份频率交互问题")</f>
        <v>[TimePicker]更改备份频率交互问题</v>
      </c>
      <c r="H558" s="15" t="str">
        <f>IFERROR(__xludf.DUMMYFUNCTION("GOOGLETRANSLATE(E558,""en"",""fr"")"),"[TimePicker] Modifier le problème d'interaction de fréquence de sauvegarde")</f>
        <v>[TimePicker] Modifier le problème d'interaction de fréquence de sauvegarde</v>
      </c>
      <c r="I558" s="15" t="str">
        <f>IFERROR(__xludf.DUMMYFUNCTION("GOOGLETRANSLATE(E558,""en"",""de"")"),"[TimePicker] Problem mit der Sicherungsfrequenzwechselung ändern")</f>
        <v>[TimePicker] Problem mit der Sicherungsfrequenzwechselung ändern</v>
      </c>
    </row>
    <row r="559">
      <c r="A559" s="15" t="s">
        <v>548</v>
      </c>
      <c r="B559" s="15" t="s">
        <v>953</v>
      </c>
      <c r="C559" s="15" t="s">
        <v>92</v>
      </c>
      <c r="D559" s="15" t="s">
        <v>12</v>
      </c>
      <c r="E559" s="16" t="s">
        <v>954</v>
      </c>
      <c r="F559" s="15" t="str">
        <f>IFERROR(__xludf.DUMMYFUNCTION("GOOGLETRANSLATE(E559,""en"", ""ja"")"),"[カレンダー]コントロールを追加します")</f>
        <v>[カレンダー]コントロールを追加します</v>
      </c>
      <c r="G559" s="15" t="str">
        <f>IFERROR(__xludf.DUMMYFUNCTION("GOOGLETRANSLATE(E559,""en"",""zh-cn"")"),"[日历]添加控制")</f>
        <v>[日历]添加控制</v>
      </c>
      <c r="H559" s="15" t="str">
        <f>IFERROR(__xludf.DUMMYFUNCTION("GOOGLETRANSLATE(E559,""en"",""fr"")"),"[Calendrier] Ajouter un contrôle")</f>
        <v>[Calendrier] Ajouter un contrôle</v>
      </c>
      <c r="I559" s="15" t="str">
        <f>IFERROR(__xludf.DUMMYFUNCTION("GOOGLETRANSLATE(E559,""en"",""de"")"),"[Kalender] Kontrolle hinzufügen")</f>
        <v>[Kalender] Kontrolle hinzufügen</v>
      </c>
    </row>
    <row r="560">
      <c r="A560" s="15" t="s">
        <v>548</v>
      </c>
      <c r="B560" s="15" t="s">
        <v>955</v>
      </c>
      <c r="C560" s="15" t="s">
        <v>92</v>
      </c>
      <c r="D560" s="15" t="s">
        <v>12</v>
      </c>
      <c r="E560" s="16" t="s">
        <v>956</v>
      </c>
      <c r="F560" s="15" t="str">
        <f>IFERROR(__xludf.DUMMYFUNCTION("GOOGLETRANSLATE(E560,""en"", ""ja"")"),"[フィルター]コントロールを追加します")</f>
        <v>[フィルター]コントロールを追加します</v>
      </c>
      <c r="G560" s="15" t="str">
        <f>IFERROR(__xludf.DUMMYFUNCTION("GOOGLETRANSLATE(E560,""en"",""zh-cn"")"),"[过滤器]添加控制")</f>
        <v>[过滤器]添加控制</v>
      </c>
      <c r="H560" s="15" t="str">
        <f>IFERROR(__xludf.DUMMYFUNCTION("GOOGLETRANSLATE(E560,""en"",""fr"")"),"[Filtre] Ajouter un contrôle")</f>
        <v>[Filtre] Ajouter un contrôle</v>
      </c>
      <c r="I560" s="15" t="str">
        <f>IFERROR(__xludf.DUMMYFUNCTION("GOOGLETRANSLATE(E560,""en"",""de"")"),"[Filter] Kontrolle hinzufügen")</f>
        <v>[Filter] Kontrolle hinzufügen</v>
      </c>
    </row>
    <row r="561">
      <c r="A561" s="15" t="s">
        <v>548</v>
      </c>
      <c r="B561" s="15" t="s">
        <v>957</v>
      </c>
      <c r="C561" s="15" t="s">
        <v>92</v>
      </c>
      <c r="D561" s="15" t="s">
        <v>12</v>
      </c>
      <c r="E561" s="16" t="s">
        <v>958</v>
      </c>
      <c r="F561" s="15" t="str">
        <f>IFERROR(__xludf.DUMMYFUNCTION("GOOGLETRANSLATE(E561,""en"", ""ja"")"),"[表]コンパクトテーブルを追加します")</f>
        <v>[表]コンパクトテーブルを追加します</v>
      </c>
      <c r="G561" s="15" t="str">
        <f>IFERROR(__xludf.DUMMYFUNCTION("GOOGLETRANSLATE(E561,""en"",""zh-cn"")"),"[表]添加紧凑型表")</f>
        <v>[表]添加紧凑型表</v>
      </c>
      <c r="H561" s="15" t="str">
        <f>IFERROR(__xludf.DUMMYFUNCTION("GOOGLETRANSLATE(E561,""en"",""fr"")"),"[Table] Ajouter un tableau compact")</f>
        <v>[Table] Ajouter un tableau compact</v>
      </c>
      <c r="I561" s="15" t="str">
        <f>IFERROR(__xludf.DUMMYFUNCTION("GOOGLETRANSLATE(E561,""en"",""de"")"),"[Tabelle] Kompakttabelle hinzufügen")</f>
        <v>[Tabelle] Kompakttabelle hinzufügen</v>
      </c>
    </row>
    <row r="562">
      <c r="A562" s="15" t="s">
        <v>548</v>
      </c>
      <c r="B562" s="15" t="s">
        <v>959</v>
      </c>
      <c r="C562" s="15" t="s">
        <v>92</v>
      </c>
      <c r="D562" s="15" t="s">
        <v>12</v>
      </c>
      <c r="E562" s="16" t="s">
        <v>960</v>
      </c>
      <c r="F562" s="15" t="str">
        <f>IFERROR(__xludf.DUMMYFUNCTION("GOOGLETRANSLATE(E562,""en"", ""ja"")"),"[進行状況]ラインの進行状況バー")</f>
        <v>[進行状況]ラインの進行状況バー</v>
      </c>
      <c r="G562" s="15" t="str">
        <f>IFERROR(__xludf.DUMMYFUNCTION("GOOGLETRANSLATE(E562,""en"",""zh-cn"")"),"[进度]线进度栏")</f>
        <v>[进度]线进度栏</v>
      </c>
      <c r="H562" s="15" t="str">
        <f>IFERROR(__xludf.DUMMYFUNCTION("GOOGLETRANSLATE(E562,""en"",""fr"")"),"[Progrès] Bar de progression de ligne")</f>
        <v>[Progrès] Bar de progression de ligne</v>
      </c>
      <c r="I562" s="15" t="str">
        <f>IFERROR(__xludf.DUMMYFUNCTION("GOOGLETRANSLATE(E562,""en"",""de"")"),"[Fortschritt] Linienfortschrittsbalken")</f>
        <v>[Fortschritt] Linienfortschrittsbalken</v>
      </c>
    </row>
    <row r="563">
      <c r="A563" s="15" t="s">
        <v>548</v>
      </c>
      <c r="B563" s="15" t="s">
        <v>961</v>
      </c>
      <c r="C563" s="15" t="s">
        <v>92</v>
      </c>
      <c r="D563" s="15" t="s">
        <v>12</v>
      </c>
      <c r="E563" s="16" t="s">
        <v>962</v>
      </c>
      <c r="F563" s="15" t="str">
        <f>IFERROR(__xludf.DUMMYFUNCTION("GOOGLETRANSLATE(E563,""en"", ""ja"")"),"[進行状況]サークルの進行")</f>
        <v>[進行状況]サークルの進行</v>
      </c>
      <c r="G563" s="15" t="str">
        <f>IFERROR(__xludf.DUMMYFUNCTION("GOOGLETRANSLATE(E563,""en"",""zh-cn"")"),"[进度]圈子进度")</f>
        <v>[进度]圈子进度</v>
      </c>
      <c r="H563" s="15" t="str">
        <f>IFERROR(__xludf.DUMMYFUNCTION("GOOGLETRANSLATE(E563,""en"",""fr"")"),"[Progrès] Progrès du cercle")</f>
        <v>[Progrès] Progrès du cercle</v>
      </c>
      <c r="I563" s="15" t="str">
        <f>IFERROR(__xludf.DUMMYFUNCTION("GOOGLETRANSLATE(E563,""en"",""de"")"),"[Fortschritt] Kreisfortschritt")</f>
        <v>[Fortschritt] Kreisfortschritt</v>
      </c>
    </row>
    <row r="564">
      <c r="A564" s="15" t="s">
        <v>548</v>
      </c>
      <c r="B564" s="15" t="s">
        <v>963</v>
      </c>
      <c r="C564" s="15" t="s">
        <v>92</v>
      </c>
      <c r="D564" s="15" t="s">
        <v>12</v>
      </c>
      <c r="E564" s="16" t="s">
        <v>964</v>
      </c>
      <c r="F564" s="15" t="str">
        <f>IFERROR(__xludf.DUMMYFUNCTION("GOOGLETRANSLATE(E564,""en"", ""ja"")"),"[進行状況]静的進行")</f>
        <v>[進行状況]静的進行</v>
      </c>
      <c r="G564" s="15" t="str">
        <f>IFERROR(__xludf.DUMMYFUNCTION("GOOGLETRANSLATE(E564,""en"",""zh-cn"")"),"[进度]静态进度")</f>
        <v>[进度]静态进度</v>
      </c>
      <c r="H564" s="15" t="str">
        <f>IFERROR(__xludf.DUMMYFUNCTION("GOOGLETRANSLATE(E564,""en"",""fr"")"),"[Progrès] Progrès statique")</f>
        <v>[Progrès] Progrès statique</v>
      </c>
      <c r="I564" s="15" t="str">
        <f>IFERROR(__xludf.DUMMYFUNCTION("GOOGLETRANSLATE(E564,""en"",""de"")"),"[Fortschritt] Statische Fortschritte")</f>
        <v>[Fortschritt] Statische Fortschritte</v>
      </c>
    </row>
    <row r="565">
      <c r="A565" s="15" t="s">
        <v>548</v>
      </c>
      <c r="B565" s="15" t="s">
        <v>965</v>
      </c>
      <c r="C565" s="15" t="s">
        <v>92</v>
      </c>
      <c r="D565" s="15" t="s">
        <v>12</v>
      </c>
      <c r="E565" s="16" t="s">
        <v>966</v>
      </c>
      <c r="F565" s="15" t="str">
        <f>IFERROR(__xludf.DUMMYFUNCTION("GOOGLETRANSLATE(E565,""en"", ""ja"")"),"[WCAG]ナビゲーション")</f>
        <v>[WCAG]ナビゲーション</v>
      </c>
      <c r="G565" s="15" t="str">
        <f>IFERROR(__xludf.DUMMYFUNCTION("GOOGLETRANSLATE(E565,""en"",""zh-cn"")"),"[WCAG]导航")</f>
        <v>[WCAG]导航</v>
      </c>
      <c r="H565" s="15" t="str">
        <f>IFERROR(__xludf.DUMMYFUNCTION("GOOGLETRANSLATE(E565,""en"",""fr"")"),"[WCAG] Navigation")</f>
        <v>[WCAG] Navigation</v>
      </c>
      <c r="I565" s="15" t="str">
        <f>IFERROR(__xludf.DUMMYFUNCTION("GOOGLETRANSLATE(E565,""en"",""de"")"),"[WCAG] Navigation")</f>
        <v>[WCAG] Navigation</v>
      </c>
    </row>
    <row r="566">
      <c r="A566" s="15" t="s">
        <v>548</v>
      </c>
      <c r="B566" s="15" t="s">
        <v>967</v>
      </c>
      <c r="C566" s="15" t="s">
        <v>92</v>
      </c>
      <c r="D566" s="15" t="s">
        <v>12</v>
      </c>
      <c r="E566" s="16" t="s">
        <v>968</v>
      </c>
      <c r="F566" s="15" t="str">
        <f>IFERROR(__xludf.DUMMYFUNCTION("GOOGLETRANSLATE(E566,""en"", ""ja"")"),"[wcag]タブ")</f>
        <v>[wcag]タブ</v>
      </c>
      <c r="G566" s="15" t="str">
        <f>IFERROR(__xludf.DUMMYFUNCTION("GOOGLETRANSLATE(E566,""en"",""zh-cn"")"),"[WCAG]选项卡")</f>
        <v>[WCAG]选项卡</v>
      </c>
      <c r="H566" s="15" t="str">
        <f>IFERROR(__xludf.DUMMYFUNCTION("GOOGLETRANSLATE(E566,""en"",""fr"")"),"Onglet [wcag]")</f>
        <v>Onglet [wcag]</v>
      </c>
      <c r="I566" s="15" t="str">
        <f>IFERROR(__xludf.DUMMYFUNCTION("GOOGLETRANSLATE(E566,""en"",""de"")"),"[WCAG] Registerkarte")</f>
        <v>[WCAG] Registerkarte</v>
      </c>
    </row>
    <row r="567">
      <c r="A567" s="15" t="s">
        <v>548</v>
      </c>
      <c r="B567" s="15" t="s">
        <v>969</v>
      </c>
      <c r="C567" s="15" t="s">
        <v>92</v>
      </c>
      <c r="D567" s="15" t="s">
        <v>12</v>
      </c>
      <c r="E567" s="16" t="s">
        <v>970</v>
      </c>
      <c r="F567" s="15" t="str">
        <f>IFERROR(__xludf.DUMMYFUNCTION("GOOGLETRANSLATE(E567,""en"", ""ja"")"),"[WCAG]チェックボックス")</f>
        <v>[WCAG]チェックボックス</v>
      </c>
      <c r="G567" s="15" t="str">
        <f>IFERROR(__xludf.DUMMYFUNCTION("GOOGLETRANSLATE(E567,""en"",""zh-cn"")"),"[WCAG]复选框")</f>
        <v>[WCAG]复选框</v>
      </c>
      <c r="H567" s="15" t="str">
        <f>IFERROR(__xludf.DUMMYFUNCTION("GOOGLETRANSLATE(E567,""en"",""fr"")"),"[WCAG] Box")</f>
        <v>[WCAG] Box</v>
      </c>
      <c r="I567" s="15" t="str">
        <f>IFERROR(__xludf.DUMMYFUNCTION("GOOGLETRANSLATE(E567,""en"",""de"")"),"[WCAG] Kontrollkiste")</f>
        <v>[WCAG] Kontrollkiste</v>
      </c>
    </row>
    <row r="568">
      <c r="A568" s="15" t="s">
        <v>548</v>
      </c>
      <c r="B568" s="15" t="s">
        <v>971</v>
      </c>
      <c r="C568" s="15" t="s">
        <v>92</v>
      </c>
      <c r="D568" s="15" t="s">
        <v>12</v>
      </c>
      <c r="E568" s="16" t="s">
        <v>972</v>
      </c>
      <c r="F568" s="15" t="str">
        <f>IFERROR(__xludf.DUMMYFUNCTION("GOOGLETRANSLATE(E568,""en"", ""ja"")"),"[wcag]入力")</f>
        <v>[wcag]入力</v>
      </c>
      <c r="G568" s="15" t="str">
        <f>IFERROR(__xludf.DUMMYFUNCTION("GOOGLETRANSLATE(E568,""en"",""zh-cn"")"),"[WCAG]输入")</f>
        <v>[WCAG]输入</v>
      </c>
      <c r="H568" s="15" t="str">
        <f>IFERROR(__xludf.DUMMYFUNCTION("GOOGLETRANSLATE(E568,""en"",""fr"")"),"[Wcag] entrée")</f>
        <v>[Wcag] entrée</v>
      </c>
      <c r="I568" s="15" t="str">
        <f>IFERROR(__xludf.DUMMYFUNCTION("GOOGLETRANSLATE(E568,""en"",""de"")"),"[WCAG] Eingabe")</f>
        <v>[WCAG] Eingabe</v>
      </c>
    </row>
    <row r="569">
      <c r="A569" s="15" t="s">
        <v>548</v>
      </c>
      <c r="B569" s="15" t="s">
        <v>973</v>
      </c>
      <c r="C569" s="15" t="s">
        <v>92</v>
      </c>
      <c r="D569" s="15" t="s">
        <v>12</v>
      </c>
      <c r="E569" s="16" t="s">
        <v>974</v>
      </c>
      <c r="F569" s="15" t="str">
        <f>IFERROR(__xludf.DUMMYFUNCTION("GOOGLETRANSLATE(E569,""en"", ""ja"")"),"[WCAG]ラジオボタン")</f>
        <v>[WCAG]ラジオボタン</v>
      </c>
      <c r="G569" s="15" t="str">
        <f>IFERROR(__xludf.DUMMYFUNCTION("GOOGLETRANSLATE(E569,""en"",""zh-cn"")"),"[WCAG]广播按钮")</f>
        <v>[WCAG]广播按钮</v>
      </c>
      <c r="H569" s="15" t="str">
        <f>IFERROR(__xludf.DUMMYFUNCTION("GOOGLETRANSLATE(E569,""en"",""fr"")"),"Bouton radio [WCAG]")</f>
        <v>Bouton radio [WCAG]</v>
      </c>
      <c r="I569" s="15" t="str">
        <f>IFERROR(__xludf.DUMMYFUNCTION("GOOGLETRANSLATE(E569,""en"",""de"")"),"[WCAG] -Modr -Schaltfläche")</f>
        <v>[WCAG] -Modr -Schaltfläche</v>
      </c>
    </row>
    <row r="570">
      <c r="A570" s="15" t="s">
        <v>548</v>
      </c>
      <c r="B570" s="15" t="s">
        <v>975</v>
      </c>
      <c r="C570" s="15" t="s">
        <v>92</v>
      </c>
      <c r="D570" s="15" t="s">
        <v>12</v>
      </c>
      <c r="E570" s="16" t="s">
        <v>976</v>
      </c>
      <c r="F570" s="15" t="str">
        <f>IFERROR(__xludf.DUMMYFUNCTION("GOOGLETRANSLATE(E570,""en"", ""ja"")"),"[ワッフル]製品を切り替えます")</f>
        <v>[ワッフル]製品を切り替えます</v>
      </c>
      <c r="G570" s="15" t="str">
        <f>IFERROR(__xludf.DUMMYFUNCTION("GOOGLETRANSLATE(E570,""en"",""zh-cn"")"),"[华夫饼]开关产品")</f>
        <v>[华夫饼]开关产品</v>
      </c>
      <c r="H570" s="15" t="str">
        <f>IFERROR(__xludf.DUMMYFUNCTION("GOOGLETRANSLATE(E570,""en"",""fr"")"),"[Waffle] Commutateur Produit")</f>
        <v>[Waffle] Commutateur Produit</v>
      </c>
      <c r="I570" s="15" t="str">
        <f>IFERROR(__xludf.DUMMYFUNCTION("GOOGLETRANSLATE(E570,""en"",""de"")"),"[Waffel] Produkt wechseln")</f>
        <v>[Waffel] Produkt wechseln</v>
      </c>
    </row>
    <row r="571">
      <c r="A571" s="15" t="s">
        <v>548</v>
      </c>
      <c r="B571" s="15" t="s">
        <v>977</v>
      </c>
      <c r="C571" s="15" t="s">
        <v>92</v>
      </c>
      <c r="D571" s="15" t="s">
        <v>12</v>
      </c>
      <c r="E571" s="16" t="s">
        <v>978</v>
      </c>
      <c r="F571" s="15" t="str">
        <f>IFERROR(__xludf.DUMMYFUNCTION("GOOGLETRANSLATE(E571,""en"", ""ja"")"),"[Na]]サブナビゲーション間の間隔を調整する")</f>
        <v>[Na]]サブナビゲーション間の間隔を調整する</v>
      </c>
      <c r="G571" s="15" t="str">
        <f>IFERROR(__xludf.DUMMYFUNCTION("GOOGLETRANSLATE(E571,""en"",""zh-cn"")"),"[NA]]调整子导航之间的间距")</f>
        <v>[NA]]调整子导航之间的间距</v>
      </c>
      <c r="H571" s="15" t="str">
        <f>IFERROR(__xludf.DUMMYFUNCTION("GOOGLETRANSLATE(E571,""en"",""fr"")"),"[NA]] ajuster l'espacement entre les sous-navigations")</f>
        <v>[NA]] ajuster l'espacement entre les sous-navigations</v>
      </c>
      <c r="I571" s="15" t="str">
        <f>IFERROR(__xludf.DUMMYFUNCTION("GOOGLETRANSLATE(E571,""en"",""de"")"),"[NA]] Passen Sie den Abstand zwischen Sub -Navigationen an")</f>
        <v>[NA]] Passen Sie den Abstand zwischen Sub -Navigationen an</v>
      </c>
    </row>
    <row r="572">
      <c r="A572" s="15" t="s">
        <v>548</v>
      </c>
      <c r="B572" s="15" t="s">
        <v>979</v>
      </c>
      <c r="C572" s="15" t="s">
        <v>92</v>
      </c>
      <c r="D572" s="15" t="s">
        <v>12</v>
      </c>
      <c r="E572" s="16" t="s">
        <v>980</v>
      </c>
      <c r="F572" s="15" t="str">
        <f>IFERROR(__xludf.DUMMYFUNCTION("GOOGLETRANSLATE(E572,""en"", ""ja"")"),"[Buttongroup]別のボタンのデモを追加：アイコンボタングループ")</f>
        <v>[Buttongroup]別のボタンのデモを追加：アイコンボタングループ</v>
      </c>
      <c r="G572" s="15" t="str">
        <f>IFERROR(__xludf.DUMMYFUNCTION("GOOGLETRANSLATE(E572,""en"",""zh-cn"")"),"[buttongroup]添加另一个按钮演示：图标按钮组")</f>
        <v>[buttongroup]添加另一个按钮演示：图标按钮组</v>
      </c>
      <c r="H572" s="15" t="str">
        <f>IFERROR(__xludf.DUMMYFUNCTION("GOOGLETRANSLATE(E572,""en"",""fr"")"),"[Buttongroup] Ajouter une autre démo de bouton: groupe de bouton d'icône")</f>
        <v>[Buttongroup] Ajouter une autre démo de bouton: groupe de bouton d'icône</v>
      </c>
      <c r="I572" s="15" t="str">
        <f>IFERROR(__xludf.DUMMYFUNCTION("GOOGLETRANSLATE(E572,""en"",""de"")"),"[Buttongroup] Fügen Sie eine weitere Taste hinzu, Demo: Symbolknopfgruppe")</f>
        <v>[Buttongroup] Fügen Sie eine weitere Taste hinzu, Demo: Symbolknopfgruppe</v>
      </c>
    </row>
    <row r="573">
      <c r="A573" s="15" t="s">
        <v>548</v>
      </c>
      <c r="B573" s="15" t="s">
        <v>981</v>
      </c>
      <c r="C573" s="15" t="s">
        <v>92</v>
      </c>
      <c r="D573" s="15" t="s">
        <v>12</v>
      </c>
      <c r="E573" s="16" t="s">
        <v>982</v>
      </c>
      <c r="F573" s="15" t="str">
        <f>IFERROR(__xludf.DUMMYFUNCTION("GOOGLETRANSLATE(E573,""en"", ""ja"")"),"デフォルトのI18N用語をサポートします")</f>
        <v>デフォルトのI18N用語をサポートします</v>
      </c>
      <c r="G573" s="15" t="str">
        <f>IFERROR(__xludf.DUMMYFUNCTION("GOOGLETRANSLATE(E573,""en"",""zh-cn"")"),"支持默认I18N术语")</f>
        <v>支持默认I18N术语</v>
      </c>
      <c r="H573" s="15" t="str">
        <f>IFERROR(__xludf.DUMMYFUNCTION("GOOGLETRANSLATE(E573,""en"",""fr"")"),"Prise en charge des termes i18n par défaut")</f>
        <v>Prise en charge des termes i18n par défaut</v>
      </c>
      <c r="I573" s="15" t="str">
        <f>IFERROR(__xludf.DUMMYFUNCTION("GOOGLETRANSLATE(E573,""en"",""de"")"),"Unterstützen Sie die Standardbegriffe i18n")</f>
        <v>Unterstützen Sie die Standardbegriffe i18n</v>
      </c>
    </row>
    <row r="574">
      <c r="A574" s="15" t="s">
        <v>548</v>
      </c>
      <c r="B574" s="15" t="s">
        <v>983</v>
      </c>
      <c r="C574" s="15" t="s">
        <v>92</v>
      </c>
      <c r="D574" s="15" t="s">
        <v>12</v>
      </c>
      <c r="E574" s="16" t="s">
        <v>984</v>
      </c>
      <c r="F574" s="15" t="str">
        <f>IFERROR(__xludf.DUMMYFUNCTION("GOOGLETRANSLATE(E574,""en"", ""ja"")"),"一般的な製品を追加します")</f>
        <v>一般的な製品を追加します</v>
      </c>
      <c r="G574" s="15" t="str">
        <f>IFERROR(__xludf.DUMMYFUNCTION("GOOGLETRANSLATE(E574,""en"",""zh-cn"")"),"添加常见产品")</f>
        <v>添加常见产品</v>
      </c>
      <c r="H574" s="15" t="str">
        <f>IFERROR(__xludf.DUMMYFUNCTION("GOOGLETRANSLATE(E574,""en"",""fr"")"),"Ajouter un produit commun")</f>
        <v>Ajouter un produit commun</v>
      </c>
      <c r="I574" s="15" t="str">
        <f>IFERROR(__xludf.DUMMYFUNCTION("GOOGLETRANSLATE(E574,""en"",""de"")"),"Fügen Sie gemeinsames Produkt hinzu")</f>
        <v>Fügen Sie gemeinsames Produkt hinzu</v>
      </c>
    </row>
    <row r="575">
      <c r="A575" s="15" t="s">
        <v>548</v>
      </c>
      <c r="B575" s="15" t="s">
        <v>985</v>
      </c>
      <c r="C575" s="15" t="s">
        <v>92</v>
      </c>
      <c r="D575" s="15" t="s">
        <v>12</v>
      </c>
      <c r="E575" s="16" t="s">
        <v>986</v>
      </c>
      <c r="F575" s="15" t="str">
        <f>IFERROR(__xludf.DUMMYFUNCTION("GOOGLETRANSLATE(E575,""en"", ""ja"")"),"人々のピッカーの背景の問題")</f>
        <v>人々のピッカーの背景の問題</v>
      </c>
      <c r="G575" s="15" t="str">
        <f>IFERROR(__xludf.DUMMYFUNCTION("GOOGLETRANSLATE(E575,""en"",""zh-cn"")"),"人们选择者背景问题")</f>
        <v>人们选择者背景问题</v>
      </c>
      <c r="H575" s="15" t="str">
        <f>IFERROR(__xludf.DUMMYFUNCTION("GOOGLETRANSLATE(E575,""en"",""fr"")"),"Problème de fond de cueilleur")</f>
        <v>Problème de fond de cueilleur</v>
      </c>
      <c r="I575" s="15" t="str">
        <f>IFERROR(__xludf.DUMMYFUNCTION("GOOGLETRANSLATE(E575,""en"",""de"")"),"People Picker Hintergrundproblem")</f>
        <v>People Picker Hintergrundproblem</v>
      </c>
    </row>
    <row r="576">
      <c r="A576" s="15" t="s">
        <v>548</v>
      </c>
      <c r="B576" s="15" t="s">
        <v>987</v>
      </c>
      <c r="C576" s="15" t="s">
        <v>92</v>
      </c>
      <c r="D576" s="15" t="s">
        <v>12</v>
      </c>
      <c r="E576" s="16" t="s">
        <v>988</v>
      </c>
      <c r="F576" s="15" t="str">
        <f>IFERROR(__xludf.DUMMYFUNCTION("GOOGLETRANSLATE(E576,""en"", ""ja"")"),"[fileuploader]長いファイル名の問題")</f>
        <v>[fileuploader]長いファイル名の問題</v>
      </c>
      <c r="G576" s="15" t="str">
        <f>IFERROR(__xludf.DUMMYFUNCTION("GOOGLETRANSLATE(E576,""en"",""zh-cn"")"),"[fileUploader]长文件名问题")</f>
        <v>[fileUploader]长文件名问题</v>
      </c>
      <c r="H576" s="15" t="str">
        <f>IFERROR(__xludf.DUMMYFUNCTION("GOOGLETRANSLATE(E576,""en"",""fr"")"),"[FileUploader] Problème de nom de fichier long")</f>
        <v>[FileUploader] Problème de nom de fichier long</v>
      </c>
      <c r="I576" s="15" t="str">
        <f>IFERROR(__xludf.DUMMYFUNCTION("GOOGLETRANSLATE(E576,""en"",""de"")"),"[FileUlader] Langdateiname Ausgabe")</f>
        <v>[FileUlader] Langdateiname Ausgabe</v>
      </c>
    </row>
    <row r="577">
      <c r="A577" s="15" t="s">
        <v>548</v>
      </c>
      <c r="B577" s="15" t="s">
        <v>989</v>
      </c>
      <c r="C577" s="15" t="s">
        <v>92</v>
      </c>
      <c r="D577" s="15" t="s">
        <v>12</v>
      </c>
      <c r="E577" s="16" t="s">
        <v>990</v>
      </c>
      <c r="F577" s="15" t="str">
        <f>IFERROR(__xludf.DUMMYFUNCTION("GOOGLETRANSLATE(E577,""en"", ""ja"")"),"[ナビゲーションメニュー]ライトモードのサブメニューの問題")</f>
        <v>[ナビゲーションメニュー]ライトモードのサブメニューの問題</v>
      </c>
      <c r="G577" s="15" t="str">
        <f>IFERROR(__xludf.DUMMYFUNCTION("GOOGLETRANSLATE(E577,""en"",""zh-cn"")"),"[导航菜单]光模式子菜单问题")</f>
        <v>[导航菜单]光模式子菜单问题</v>
      </c>
      <c r="H577" s="15" t="str">
        <f>IFERROR(__xludf.DUMMYFUNCTION("GOOGLETRANSLATE(E577,""en"",""fr"")"),"[Menu de navigation] Issue de sous-menu en mode lumière")</f>
        <v>[Menu de navigation] Issue de sous-menu en mode lumière</v>
      </c>
      <c r="I577" s="15" t="str">
        <f>IFERROR(__xludf.DUMMYFUNCTION("GOOGLETRANSLATE(E577,""en"",""de"")"),"[Navigationsmenü] Light -Modus -Submenü Probleme")</f>
        <v>[Navigationsmenü] Light -Modus -Submenü Probleme</v>
      </c>
    </row>
    <row r="578">
      <c r="A578" s="15" t="s">
        <v>548</v>
      </c>
      <c r="B578" s="15" t="s">
        <v>991</v>
      </c>
      <c r="C578" s="15" t="s">
        <v>92</v>
      </c>
      <c r="D578" s="15" t="s">
        <v>12</v>
      </c>
      <c r="E578" s="16" t="s">
        <v>992</v>
      </c>
      <c r="F578" s="15" t="str">
        <f>IFERROR(__xludf.DUMMYFUNCTION("GOOGLETRANSLATE(E578,""en"", ""ja"")"),"[パネル]閉じるボタンアライメントの問題")</f>
        <v>[パネル]閉じるボタンアライメントの問題</v>
      </c>
      <c r="G578" s="15" t="str">
        <f>IFERROR(__xludf.DUMMYFUNCTION("GOOGLETRANSLATE(E578,""en"",""zh-cn"")"),"[面板]关闭按钮对齐问题")</f>
        <v>[面板]关闭按钮对齐问题</v>
      </c>
      <c r="H578" s="15" t="str">
        <f>IFERROR(__xludf.DUMMYFUNCTION("GOOGLETRANSLATE(E578,""en"",""fr"")"),"[Panneau] Problème d'alignement du bouton de fermeture")</f>
        <v>[Panneau] Problème d'alignement du bouton de fermeture</v>
      </c>
      <c r="I578" s="15" t="str">
        <f>IFERROR(__xludf.DUMMYFUNCTION("GOOGLETRANSLATE(E578,""en"",""de"")"),"[Panel] Schaltfläche Schließen")</f>
        <v>[Panel] Schaltfläche Schließen</v>
      </c>
    </row>
    <row r="579">
      <c r="A579" s="15" t="s">
        <v>548</v>
      </c>
      <c r="B579" s="15" t="s">
        <v>993</v>
      </c>
      <c r="C579" s="15" t="s">
        <v>92</v>
      </c>
      <c r="D579" s="15" t="s">
        <v>12</v>
      </c>
      <c r="E579" s="16" t="s">
        <v>994</v>
      </c>
      <c r="F579" s="15" t="str">
        <f>IFERROR(__xludf.DUMMYFUNCTION("GOOGLETRANSLATE(E579,""en"", ""ja"")"),"デザインの原則テキストスタイルの問題")</f>
        <v>デザインの原則テキストスタイルの問題</v>
      </c>
      <c r="G579" s="15" t="str">
        <f>IFERROR(__xludf.DUMMYFUNCTION("GOOGLETRANSLATE(E579,""en"",""zh-cn"")"),"设计主要文本样式问题")</f>
        <v>设计主要文本样式问题</v>
      </c>
      <c r="H579" s="15" t="str">
        <f>IFERROR(__xludf.DUMMYFUNCTION("GOOGLETRANSLATE(E579,""en"",""fr"")"),"Problème de style texte du principe de conception")</f>
        <v>Problème de style texte du principe de conception</v>
      </c>
      <c r="I579" s="15" t="str">
        <f>IFERROR(__xludf.DUMMYFUNCTION("GOOGLETRANSLATE(E579,""en"",""de"")"),"Ausgabe des Entwurfsprinzips Textstil")</f>
        <v>Ausgabe des Entwurfsprinzips Textstil</v>
      </c>
    </row>
    <row r="580">
      <c r="A580" s="15" t="s">
        <v>548</v>
      </c>
      <c r="B580" s="15" t="s">
        <v>995</v>
      </c>
      <c r="C580" s="15" t="s">
        <v>92</v>
      </c>
      <c r="D580" s="15" t="s">
        <v>12</v>
      </c>
      <c r="E580" s="16" t="s">
        <v>996</v>
      </c>
      <c r="F580" s="15" t="str">
        <f>IFERROR(__xludf.DUMMYFUNCTION("GOOGLETRANSLATE(E580,""en"", ""ja"")"),"WebサイトメニューにはScrollbarが必要です")</f>
        <v>WebサイトメニューにはScrollbarが必要です</v>
      </c>
      <c r="G580" s="15" t="str">
        <f>IFERROR(__xludf.DUMMYFUNCTION("GOOGLETRANSLATE(E580,""en"",""zh-cn"")"),"网站菜单应该有滚动条")</f>
        <v>网站菜单应该有滚动条</v>
      </c>
      <c r="H580" s="15" t="str">
        <f>IFERROR(__xludf.DUMMYFUNCTION("GOOGLETRANSLATE(E580,""en"",""fr"")"),"Le menu du site Web doit avoir une barre de défilement")</f>
        <v>Le menu du site Web doit avoir une barre de défilement</v>
      </c>
      <c r="I580" s="15" t="str">
        <f>IFERROR(__xludf.DUMMYFUNCTION("GOOGLETRANSLATE(E580,""en"",""de"")"),"Das Website -Menü sollte eine Scrollbar haben")</f>
        <v>Das Website -Menü sollte eine Scrollbar haben</v>
      </c>
    </row>
    <row r="581">
      <c r="A581" s="15" t="s">
        <v>548</v>
      </c>
      <c r="B581" s="15" t="s">
        <v>997</v>
      </c>
      <c r="C581" s="15" t="s">
        <v>92</v>
      </c>
      <c r="D581" s="15" t="s">
        <v>12</v>
      </c>
      <c r="E581" s="16" t="s">
        <v>998</v>
      </c>
      <c r="F581" s="15" t="str">
        <f>IFERROR(__xludf.DUMMYFUNCTION("GOOGLETRANSLATE(E581,""en"", ""ja"")"),"[ボタン]ボタンスペースの問題")</f>
        <v>[ボタン]ボタンスペースの問題</v>
      </c>
      <c r="G581" s="15" t="str">
        <f>IFERROR(__xludf.DUMMYFUNCTION("GOOGLETRANSLATE(E581,""en"",""zh-cn"")"),"[按钮]按钮空间问题")</f>
        <v>[按钮]按钮空间问题</v>
      </c>
      <c r="H581" s="15" t="str">
        <f>IFERROR(__xludf.DUMMYFUNCTION("GOOGLETRANSLATE(E581,""en"",""fr"")"),"[Bouton] Problème d'espace du bouton")</f>
        <v>[Bouton] Problème d'espace du bouton</v>
      </c>
      <c r="I581" s="15" t="str">
        <f>IFERROR(__xludf.DUMMYFUNCTION("GOOGLETRANSLATE(E581,""en"",""de"")"),"[Schaltfläche] Schaltflächenraum Problem")</f>
        <v>[Schaltfläche] Schaltflächenraum Problem</v>
      </c>
    </row>
    <row r="582">
      <c r="A582" s="15" t="s">
        <v>548</v>
      </c>
      <c r="B582" s="15" t="s">
        <v>999</v>
      </c>
      <c r="C582" s="15" t="s">
        <v>92</v>
      </c>
      <c r="D582" s="15" t="s">
        <v>12</v>
      </c>
      <c r="E582" s="16" t="s">
        <v>1000</v>
      </c>
      <c r="F582" s="15" t="str">
        <f>IFERROR(__xludf.DUMMYFUNCTION("GOOGLETRANSLATE(E582,""en"", ""ja"")"),"[ボタン]アイコンボタンアイコンサイズの問題")</f>
        <v>[ボタン]アイコンボタンアイコンサイズの問題</v>
      </c>
      <c r="G582" s="15" t="str">
        <f>IFERROR(__xludf.DUMMYFUNCTION("GOOGLETRANSLATE(E582,""en"",""zh-cn"")"),"[按钮]图标按钮图标大小问题")</f>
        <v>[按钮]图标按钮图标大小问题</v>
      </c>
      <c r="H582" s="15" t="str">
        <f>IFERROR(__xludf.DUMMYFUNCTION("GOOGLETRANSLATE(E582,""en"",""fr"")"),"[Bouton] Icône Bouton Icône Taille du problème")</f>
        <v>[Bouton] Icône Bouton Icône Taille du problème</v>
      </c>
      <c r="I582" s="15" t="str">
        <f>IFERROR(__xludf.DUMMYFUNCTION("GOOGLETRANSLATE(E582,""en"",""de"")"),"[Schaltfläche] Symbol Symbol Größe Problem")</f>
        <v>[Schaltfläche] Symbol Symbol Größe Problem</v>
      </c>
    </row>
    <row r="583">
      <c r="A583" s="15" t="s">
        <v>548</v>
      </c>
      <c r="B583" s="15" t="s">
        <v>1001</v>
      </c>
      <c r="C583" s="15" t="s">
        <v>92</v>
      </c>
      <c r="D583" s="15" t="s">
        <v>12</v>
      </c>
      <c r="E583" s="16" t="s">
        <v>1002</v>
      </c>
      <c r="F583" s="15" t="str">
        <f>IFERROR(__xludf.DUMMYFUNCTION("GOOGLETRANSLATE(E583,""en"", ""ja"")"),"[Pager] Page Action Space Issueに移動します")</f>
        <v>[Pager] Page Action Space Issueに移動します</v>
      </c>
      <c r="G583" s="15" t="str">
        <f>IFERROR(__xludf.DUMMYFUNCTION("GOOGLETRANSLATE(E583,""en"",""zh-cn"")"),"[PAGER]转到页面动作空间问题")</f>
        <v>[PAGER]转到页面动作空间问题</v>
      </c>
      <c r="H583" s="15" t="str">
        <f>IFERROR(__xludf.DUMMYFUNCTION("GOOGLETRANSLATE(E583,""en"",""fr"")"),"[Pager] Aller au problème de l'espace d'action de la page")</f>
        <v>[Pager] Aller au problème de l'espace d'action de la page</v>
      </c>
      <c r="I583" s="15" t="str">
        <f>IFERROR(__xludf.DUMMYFUNCTION("GOOGLETRANSLATE(E583,""en"",""de"")"),"[Pager] Gehen Sie zum Action Space -Problem der Seite")</f>
        <v>[Pager] Gehen Sie zum Action Space -Problem der Seite</v>
      </c>
    </row>
    <row r="584">
      <c r="A584" s="15" t="s">
        <v>548</v>
      </c>
      <c r="B584" s="15" t="s">
        <v>1003</v>
      </c>
      <c r="C584" s="15" t="s">
        <v>92</v>
      </c>
      <c r="D584" s="15" t="s">
        <v>12</v>
      </c>
      <c r="E584" s="16" t="s">
        <v>1004</v>
      </c>
      <c r="F584" s="15" t="str">
        <f>IFERROR(__xludf.DUMMYFUNCTION("GOOGLETRANSLATE(E584,""en"", ""ja"")"),"[表]カスタムテーブルデフォルトビュースタイルの問題")</f>
        <v>[表]カスタムテーブルデフォルトビュースタイルの問題</v>
      </c>
      <c r="G584" s="15" t="str">
        <f>IFERROR(__xludf.DUMMYFUNCTION("GOOGLETRANSLATE(E584,""en"",""zh-cn"")"),"[表]自定义表默认视图样式问题")</f>
        <v>[表]自定义表默认视图样式问题</v>
      </c>
      <c r="H584" s="15" t="str">
        <f>IFERROR(__xludf.DUMMYFUNCTION("GOOGLETRANSLATE(E584,""en"",""fr"")"),"[Table] Problème de style de vue par défaut du tableau personnalisé")</f>
        <v>[Table] Problème de style de vue par défaut du tableau personnalisé</v>
      </c>
      <c r="I584" s="15" t="str">
        <f>IFERROR(__xludf.DUMMYFUNCTION("GOOGLETRANSLATE(E584,""en"",""de"")"),"[Tabelle] benutzerdefinierte Tabelle Standard anzeigen Stilprobleme")</f>
        <v>[Tabelle] benutzerdefinierte Tabelle Standard anzeigen Stilprobleme</v>
      </c>
    </row>
    <row r="585">
      <c r="A585" s="15" t="s">
        <v>548</v>
      </c>
      <c r="B585" s="15" t="s">
        <v>1005</v>
      </c>
      <c r="C585" s="15" t="s">
        <v>92</v>
      </c>
      <c r="D585" s="15" t="s">
        <v>12</v>
      </c>
      <c r="E585" s="16" t="s">
        <v>1006</v>
      </c>
      <c r="F585" s="15" t="str">
        <f>IFERROR(__xludf.DUMMYFUNCTION("GOOGLETRANSLATE(E585,""en"", ""ja"")"),"[ピープルピッカー]リストスタイルの問題")</f>
        <v>[ピープルピッカー]リストスタイルの問題</v>
      </c>
      <c r="G585" s="15" t="str">
        <f>IFERROR(__xludf.DUMMYFUNCTION("GOOGLETRANSLATE(E585,""en"",""zh-cn"")"),"[People Picker]清单样式问题")</f>
        <v>[People Picker]清单样式问题</v>
      </c>
      <c r="H585" s="15" t="str">
        <f>IFERROR(__xludf.DUMMYFUNCTION("GOOGLETRANSLATE(E585,""en"",""fr"")"),"[Picker People] Issue de style liste")</f>
        <v>[Picker People] Issue de style liste</v>
      </c>
      <c r="I585" s="15" t="str">
        <f>IFERROR(__xludf.DUMMYFUNCTION("GOOGLETRANSLATE(E585,""en"",""de"")"),"[People Picker] Listenstil -Ausgabe auflisten")</f>
        <v>[People Picker] Listenstil -Ausgabe auflisten</v>
      </c>
    </row>
    <row r="586">
      <c r="A586" s="15" t="s">
        <v>548</v>
      </c>
      <c r="B586" s="15" t="s">
        <v>1007</v>
      </c>
      <c r="C586" s="15" t="s">
        <v>92</v>
      </c>
      <c r="D586" s="15" t="s">
        <v>12</v>
      </c>
      <c r="E586" s="16" t="s">
        <v>1008</v>
      </c>
      <c r="F586" s="15" t="str">
        <f>IFERROR(__xludf.DUMMYFUNCTION("GOOGLETRANSLATE(E586,""en"", ""ja"")"),"[ツリー]ツリーチェックボックススタイルの問題")</f>
        <v>[ツリー]ツリーチェックボックススタイルの問題</v>
      </c>
      <c r="G586" s="15" t="str">
        <f>IFERROR(__xludf.DUMMYFUNCTION("GOOGLETRANSLATE(E586,""en"",""zh-cn"")"),"[树]树复选框样式问题")</f>
        <v>[树]树复选框样式问题</v>
      </c>
      <c r="H586" s="15" t="str">
        <f>IFERROR(__xludf.DUMMYFUNCTION("GOOGLETRANSLATE(E586,""en"",""fr"")"),"[Arborescence] Forme de style de la boîte à cocher")</f>
        <v>[Arborescence] Forme de style de la boîte à cocher</v>
      </c>
      <c r="I586" s="15" t="str">
        <f>IFERROR(__xludf.DUMMYFUNCTION("GOOGLETRANSLATE(E586,""en"",""de"")"),"[Baum] Baumcheckbox -Stil Problem")</f>
        <v>[Baum] Baumcheckbox -Stil Problem</v>
      </c>
    </row>
    <row r="587">
      <c r="A587" s="15" t="s">
        <v>548</v>
      </c>
      <c r="B587" s="15" t="s">
        <v>1009</v>
      </c>
      <c r="C587" s="15" t="s">
        <v>92</v>
      </c>
      <c r="D587" s="15" t="s">
        <v>12</v>
      </c>
      <c r="E587" s="16" t="s">
        <v>1010</v>
      </c>
      <c r="F587" s="15" t="str">
        <f>IFERROR(__xludf.DUMMYFUNCTION("GOOGLETRANSLATE(E587,""en"", ""ja"")"),"[選択]複数のスタイルの問題")</f>
        <v>[選択]複数のスタイルの問題</v>
      </c>
      <c r="G587" s="15" t="str">
        <f>IFERROR(__xludf.DUMMYFUNCTION("GOOGLETRANSLATE(E587,""en"",""zh-cn"")"),"[选择]多种样式问题")</f>
        <v>[选择]多种样式问题</v>
      </c>
      <c r="H587" s="15" t="str">
        <f>IFERROR(__xludf.DUMMYFUNCTION("GOOGLETRANSLATE(E587,""en"",""fr"")"),"[SELECT] Problème de style multiple")</f>
        <v>[SELECT] Problème de style multiple</v>
      </c>
      <c r="I587" s="15" t="str">
        <f>IFERROR(__xludf.DUMMYFUNCTION("GOOGLETRANSLATE(E587,""en"",""de"")"),"[Auswählen] Problem mit mehreren Stilen")</f>
        <v>[Auswählen] Problem mit mehreren Stilen</v>
      </c>
    </row>
    <row r="588">
      <c r="A588" s="15" t="s">
        <v>548</v>
      </c>
      <c r="B588" s="15" t="s">
        <v>1011</v>
      </c>
      <c r="C588" s="15" t="s">
        <v>92</v>
      </c>
      <c r="D588" s="15" t="s">
        <v>12</v>
      </c>
      <c r="E588" s="16" t="s">
        <v>1012</v>
      </c>
      <c r="F588" s="15" t="str">
        <f>IFERROR(__xludf.DUMMYFUNCTION("GOOGLETRANSLATE(E588,""en"", ""ja"")"),"[Navpanel]スタイルの問題")</f>
        <v>[Navpanel]スタイルの問題</v>
      </c>
      <c r="G588" s="15" t="str">
        <f>IFERROR(__xludf.DUMMYFUNCTION("GOOGLETRANSLATE(E588,""en"",""zh-cn"")"),"[navpanel]样式问题")</f>
        <v>[navpanel]样式问题</v>
      </c>
      <c r="H588" s="15" t="str">
        <f>IFERROR(__xludf.DUMMYFUNCTION("GOOGLETRANSLATE(E588,""en"",""fr"")"),"[Navpanel] Problème de style")</f>
        <v>[Navpanel] Problème de style</v>
      </c>
      <c r="I588" s="15" t="str">
        <f>IFERROR(__xludf.DUMMYFUNCTION("GOOGLETRANSLATE(E588,""en"",""de"")"),"[Navpanel] Stilausgabe")</f>
        <v>[Navpanel] Stilausgabe</v>
      </c>
    </row>
    <row r="589">
      <c r="A589" s="15" t="s">
        <v>548</v>
      </c>
      <c r="B589" s="15" t="s">
        <v>1013</v>
      </c>
      <c r="C589" s="15" t="s">
        <v>92</v>
      </c>
      <c r="D589" s="15" t="s">
        <v>12</v>
      </c>
      <c r="E589" s="16" t="s">
        <v>1014</v>
      </c>
      <c r="F589" s="15" t="str">
        <f>IFERROR(__xludf.DUMMYFUNCTION("GOOGLETRANSLATE(E589,""en"", ""ja"")"),"[DatePicker]スタイルの問題")</f>
        <v>[DatePicker]スタイルの問題</v>
      </c>
      <c r="G589" s="15" t="str">
        <f>IFERROR(__xludf.DUMMYFUNCTION("GOOGLETRANSLATE(E589,""en"",""zh-cn"")"),"[datepicker]样式问题")</f>
        <v>[datepicker]样式问题</v>
      </c>
      <c r="H589" s="15" t="str">
        <f>IFERROR(__xludf.DUMMYFUNCTION("GOOGLETRANSLATE(E589,""en"",""fr"")"),"Issue de style [DatePicker]")</f>
        <v>Issue de style [DatePicker]</v>
      </c>
      <c r="I589" s="15" t="str">
        <f>IFERROR(__xludf.DUMMYFUNCTION("GOOGLETRANSLATE(E589,""en"",""de"")"),"[DatePicker] Stilausgabe")</f>
        <v>[DatePicker] Stilausgabe</v>
      </c>
    </row>
    <row r="590">
      <c r="A590" s="15" t="s">
        <v>548</v>
      </c>
      <c r="B590" s="15" t="s">
        <v>1015</v>
      </c>
      <c r="C590" s="15" t="s">
        <v>92</v>
      </c>
      <c r="D590" s="15" t="s">
        <v>12</v>
      </c>
      <c r="E590" s="16" t="s">
        <v>1016</v>
      </c>
      <c r="F590" s="15" t="str">
        <f>IFERROR(__xludf.DUMMYFUNCTION("GOOGLETRANSLATE(E590,""en"", ""ja"")"),"[ダイアログ]アラインメントの問題")</f>
        <v>[ダイアログ]アラインメントの問題</v>
      </c>
      <c r="G590" s="15" t="str">
        <f>IFERROR(__xludf.DUMMYFUNCTION("GOOGLETRANSLATE(E590,""en"",""zh-cn"")"),"[对话]对齐问题")</f>
        <v>[对话]对齐问题</v>
      </c>
      <c r="H590" s="15" t="str">
        <f>IFERROR(__xludf.DUMMYFUNCTION("GOOGLETRANSLATE(E590,""en"",""fr"")"),"[Dialog] Problème d'alignement")</f>
        <v>[Dialog] Problème d'alignement</v>
      </c>
      <c r="I590" s="15" t="str">
        <f>IFERROR(__xludf.DUMMYFUNCTION("GOOGLETRANSLATE(E590,""en"",""de"")"),"[Dialog] Ausrichtungsproblem")</f>
        <v>[Dialog] Ausrichtungsproblem</v>
      </c>
    </row>
    <row r="591">
      <c r="A591" s="15" t="s">
        <v>548</v>
      </c>
      <c r="B591" s="15" t="s">
        <v>1017</v>
      </c>
      <c r="C591" s="15" t="s">
        <v>92</v>
      </c>
      <c r="D591" s="15" t="s">
        <v>12</v>
      </c>
      <c r="E591" s="16" t="s">
        <v>1018</v>
      </c>
      <c r="F591" s="15" t="str">
        <f>IFERROR(__xludf.DUMMYFUNCTION("GOOGLETRANSLATE(E591,""en"", ""ja"")"),"[ナビゲーション]スタイルの問題")</f>
        <v>[ナビゲーション]スタイルの問題</v>
      </c>
      <c r="G591" s="15" t="str">
        <f>IFERROR(__xludf.DUMMYFUNCTION("GOOGLETRANSLATE(E591,""en"",""zh-cn"")"),"[导航]样式问题")</f>
        <v>[导航]样式问题</v>
      </c>
      <c r="H591" s="15" t="str">
        <f>IFERROR(__xludf.DUMMYFUNCTION("GOOGLETRANSLATE(E591,""en"",""fr"")"),"[Navigation] Problème de style")</f>
        <v>[Navigation] Problème de style</v>
      </c>
      <c r="I591" s="15" t="str">
        <f>IFERROR(__xludf.DUMMYFUNCTION("GOOGLETRANSLATE(E591,""en"",""de"")"),"[Navigation] Stilausgabe")</f>
        <v>[Navigation] Stilausgabe</v>
      </c>
    </row>
    <row r="592">
      <c r="A592" s="15" t="s">
        <v>548</v>
      </c>
      <c r="B592" s="15" t="s">
        <v>1019</v>
      </c>
      <c r="C592" s="15" t="s">
        <v>92</v>
      </c>
      <c r="D592" s="15" t="s">
        <v>12</v>
      </c>
      <c r="E592" s="16" t="s">
        <v>1020</v>
      </c>
      <c r="F592" s="15" t="str">
        <f>IFERROR(__xludf.DUMMYFUNCTION("GOOGLETRANSLATE(E592,""en"", ""ja"")"),"[アップローダー]ファイルアップロードエラーメッセージスタイルの問題")</f>
        <v>[アップローダー]ファイルアップロードエラーメッセージスタイルの問題</v>
      </c>
      <c r="G592" s="15" t="str">
        <f>IFERROR(__xludf.DUMMYFUNCTION("GOOGLETRANSLATE(E592,""en"",""zh-cn"")"),"[上传器]文件上传错误消息样式问题")</f>
        <v>[上传器]文件上传错误消息样式问题</v>
      </c>
      <c r="H592" s="15" t="str">
        <f>IFERROR(__xludf.DUMMYFUNCTION("GOOGLETRANSLATE(E592,""en"",""fr"")"),"[Uploader] Problème de style de message d'erreur de téléchargement de fichiers")</f>
        <v>[Uploader] Problème de style de message d'erreur de téléchargement de fichiers</v>
      </c>
      <c r="I592" s="15" t="str">
        <f>IFERROR(__xludf.DUMMYFUNCTION("GOOGLETRANSLATE(E592,""en"",""de"")"),"[Uploader] Datei -Upload -Fehlermeldungstil -Problem")</f>
        <v>[Uploader] Datei -Upload -Fehlermeldungstil -Problem</v>
      </c>
    </row>
    <row r="593">
      <c r="A593" s="15" t="s">
        <v>548</v>
      </c>
      <c r="B593" s="15" t="s">
        <v>1021</v>
      </c>
      <c r="C593" s="15" t="s">
        <v>92</v>
      </c>
      <c r="D593" s="15" t="s">
        <v>12</v>
      </c>
      <c r="E593" s="16" t="s">
        <v>1022</v>
      </c>
      <c r="F593" s="15" t="str">
        <f>IFERROR(__xludf.DUMMYFUNCTION("GOOGLETRANSLATE(E593,""en"", ""ja"")"),"[nav]サブナビゲーション間の間隔はとても鳴きます")</f>
        <v>[nav]サブナビゲーション間の間隔はとても鳴きます</v>
      </c>
      <c r="G593" s="15" t="str">
        <f>IFERROR(__xludf.DUMMYFUNCTION("GOOGLETRANSLATE(E593,""en"",""zh-cn"")"),"[nav]子导航之间的间距太过了")</f>
        <v>[nav]子导航之间的间距太过了</v>
      </c>
      <c r="H593" s="15" t="str">
        <f>IFERROR(__xludf.DUMMYFUNCTION("GOOGLETRANSLATE(E593,""en"",""fr"")"),"[Nav] L'espacement entre les sous-navigations est tellement chanté")</f>
        <v>[Nav] L'espacement entre les sous-navigations est tellement chanté</v>
      </c>
      <c r="I593" s="15" t="str">
        <f>IFERROR(__xludf.DUMMYFUNCTION("GOOGLETRANSLATE(E593,""en"",""de"")"),"[NAV] Der Abstand zwischen Sub -Navigationen ist so kräht")</f>
        <v>[NAV] Der Abstand zwischen Sub -Navigationen ist so kräht</v>
      </c>
    </row>
    <row r="594">
      <c r="A594" s="15" t="s">
        <v>548</v>
      </c>
      <c r="B594" s="15" t="s">
        <v>1023</v>
      </c>
      <c r="C594" s="15" t="s">
        <v>92</v>
      </c>
      <c r="D594" s="15" t="s">
        <v>12</v>
      </c>
      <c r="E594" s="16" t="s">
        <v>1024</v>
      </c>
      <c r="F594" s="15" t="str">
        <f>IFERROR(__xludf.DUMMYFUNCTION("GOOGLETRANSLATE(E594,""en"", ""ja"")"),"ウィザードフォントサイズを変更します")</f>
        <v>ウィザードフォントサイズを変更します</v>
      </c>
      <c r="G594" s="15" t="str">
        <f>IFERROR(__xludf.DUMMYFUNCTION("GOOGLETRANSLATE(E594,""en"",""zh-cn"")"),"更改向导字体大小")</f>
        <v>更改向导字体大小</v>
      </c>
      <c r="H594" s="15" t="str">
        <f>IFERROR(__xludf.DUMMYFUNCTION("GOOGLETRANSLATE(E594,""en"",""fr"")"),"Changer la taille de la police de l'assistant")</f>
        <v>Changer la taille de la police de l'assistant</v>
      </c>
      <c r="I594" s="15" t="str">
        <f>IFERROR(__xludf.DUMMYFUNCTION("GOOGLETRANSLATE(E594,""en"",""de"")"),"Wizard -Schriftgröße ändern")</f>
        <v>Wizard -Schriftgröße ändern</v>
      </c>
    </row>
    <row r="595">
      <c r="A595" s="15" t="s">
        <v>548</v>
      </c>
      <c r="B595" s="15" t="s">
        <v>1025</v>
      </c>
      <c r="C595" s="15" t="s">
        <v>92</v>
      </c>
      <c r="D595" s="15" t="s">
        <v>12</v>
      </c>
      <c r="E595" s="16" t="s">
        <v>1026</v>
      </c>
      <c r="F595" s="15" t="str">
        <f>IFERROR(__xludf.DUMMYFUNCTION("GOOGLETRANSLATE(E595,""en"", ""ja"")"),"きらめき色は正しくありません")</f>
        <v>きらめき色は正しくありません</v>
      </c>
      <c r="G595" s="15" t="str">
        <f>IFERROR(__xludf.DUMMYFUNCTION("GOOGLETRANSLATE(E595,""en"",""zh-cn"")"),"微光颜色不正确")</f>
        <v>微光颜色不正确</v>
      </c>
      <c r="H595" s="15" t="str">
        <f>IFERROR(__xludf.DUMMYFUNCTION("GOOGLETRANSLATE(E595,""en"",""fr"")"),"Couleur chatoyante n'est pas correcte")</f>
        <v>Couleur chatoyante n'est pas correcte</v>
      </c>
      <c r="I595" s="15" t="str">
        <f>IFERROR(__xludf.DUMMYFUNCTION("GOOGLETRANSLATE(E595,""en"",""de"")"),"Schimmere Farbe nicht korrekt")</f>
        <v>Schimmere Farbe nicht korrekt</v>
      </c>
    </row>
    <row r="596">
      <c r="A596" s="15" t="s">
        <v>548</v>
      </c>
      <c r="B596" s="15" t="s">
        <v>1027</v>
      </c>
      <c r="C596" s="15" t="s">
        <v>92</v>
      </c>
      <c r="D596" s="15" t="s">
        <v>12</v>
      </c>
      <c r="E596" s="16" t="s">
        <v>1028</v>
      </c>
      <c r="F596" s="15" t="str">
        <f>IFERROR(__xludf.DUMMYFUNCTION("GOOGLETRANSLATE(E596,""en"", ""ja"")"),"[パネル]パネルタイトルスタイルの問題")</f>
        <v>[パネル]パネルタイトルスタイルの問題</v>
      </c>
      <c r="G596" s="15" t="str">
        <f>IFERROR(__xludf.DUMMYFUNCTION("GOOGLETRANSLATE(E596,""en"",""zh-cn"")"),"[面板]面板标题样问题")</f>
        <v>[面板]面板标题样问题</v>
      </c>
      <c r="H596" s="15" t="str">
        <f>IFERROR(__xludf.DUMMYFUNCTION("GOOGLETRANSLATE(E596,""en"",""fr"")"),"[Panneau] Problème de style de titre du panneau")</f>
        <v>[Panneau] Problème de style de titre du panneau</v>
      </c>
      <c r="I596" s="15" t="str">
        <f>IFERROR(__xludf.DUMMYFUNCTION("GOOGLETRANSLATE(E596,""en"",""de"")"),"[Panel] Panel Titelstil Ausgabe")</f>
        <v>[Panel] Panel Titelstil Ausgabe</v>
      </c>
    </row>
    <row r="597">
      <c r="A597" s="11"/>
      <c r="B597" s="11"/>
      <c r="C597" s="11"/>
      <c r="D597" s="11"/>
      <c r="E597" s="11"/>
      <c r="F597" s="11"/>
      <c r="G597" s="11"/>
      <c r="H597" s="11"/>
      <c r="I597" s="11"/>
    </row>
    <row r="598">
      <c r="A598" s="17" t="s">
        <v>1029</v>
      </c>
      <c r="B598" s="17" t="s">
        <v>209</v>
      </c>
      <c r="C598" s="17" t="s">
        <v>100</v>
      </c>
      <c r="D598" s="15" t="s">
        <v>12</v>
      </c>
      <c r="E598" s="18" t="s">
        <v>101</v>
      </c>
      <c r="F598" s="15" t="str">
        <f>IFERROR(__xludf.DUMMYFUNCTION("GOOGLETRANSLATE(E598,""en"", ""ja"")"),"一般的なi18n用語")</f>
        <v>一般的なi18n用語</v>
      </c>
      <c r="G598" s="15" t="str">
        <f>IFERROR(__xludf.DUMMYFUNCTION("GOOGLETRANSLATE(E598,""en"",""zh-cn"")"),"常见的I18N术语")</f>
        <v>常见的I18N术语</v>
      </c>
      <c r="H598" s="15" t="str">
        <f>IFERROR(__xludf.DUMMYFUNCTION("GOOGLETRANSLATE(E598,""en"",""fr"")"),"Termes i18n communs")</f>
        <v>Termes i18n communs</v>
      </c>
      <c r="I598" s="15" t="str">
        <f>IFERROR(__xludf.DUMMYFUNCTION("GOOGLETRANSLATE(E598,""en"",""de"")"),"Gemeinsame Begriffe")</f>
        <v>Gemeinsame Begriffe</v>
      </c>
    </row>
    <row r="599">
      <c r="A599" s="17" t="s">
        <v>1029</v>
      </c>
      <c r="B599" s="17" t="s">
        <v>210</v>
      </c>
      <c r="C599" s="17" t="s">
        <v>100</v>
      </c>
      <c r="D599" s="15" t="s">
        <v>12</v>
      </c>
      <c r="E599" s="18" t="s">
        <v>1030</v>
      </c>
      <c r="F599" s="15" t="str">
        <f>IFERROR(__xludf.DUMMYFUNCTION("GOOGLETRANSLATE(E599,""en"", ""ja"")"),"{{app}}は、 @gui/common-i18n-termsに依存します。これは、プロジェクトで使用できる一般的な用語を含むパッケージです。")</f>
        <v>{{app}}は、 @gui/common-i18n-termsに依存します。これは、プロジェクトで使用できる一般的な用語を含むパッケージです。</v>
      </c>
      <c r="G599" s="15" t="str">
        <f>IFERROR(__xludf.DUMMYFUNCTION("GOOGLETRANSLATE(E599,""en"",""zh-cn"")"),"{{app}}取决于 @gui/common-i18n-terms，它是一个包装，包括一些可以在项目中使用的常见术语。")</f>
        <v>{{app}}取决于 @gui/common-i18n-terms，它是一个包装，包括一些可以在项目中使用的常见术语。</v>
      </c>
      <c r="H599" s="15" t="str">
        <f>IFERROR(__xludf.DUMMYFUNCTION("GOOGLETRANSLATE(E599,""en"",""fr"")"),"{{app}} dépend de @ GUI / Common-i18n-terms qui est un package comprenant des termes courants qui peuvent être utilisés dans vos projets.")</f>
        <v>{{app}} dépend de @ GUI / Common-i18n-terms qui est un package comprenant des termes courants qui peuvent être utilisés dans vos projets.</v>
      </c>
      <c r="I599" s="15" t="str">
        <f>IFERROR(__xludf.DUMMYFUNCTION("GOOGLETRANSLATE(E599,""en"",""de"")"),"{{app}} hängt von @GUI/Common-I18N-TERMS ab, ein Paket, das einige gemeinsame Begriffe mit Ihren Projekten verwendet werden kann.")</f>
        <v>{{app}} hängt von @GUI/Common-I18N-TERMS ab, ein Paket, das einige gemeinsame Begriffe mit Ihren Projekten verwendet werden kann.</v>
      </c>
    </row>
    <row r="600">
      <c r="A600" s="17" t="s">
        <v>1029</v>
      </c>
      <c r="B600" s="17" t="s">
        <v>1031</v>
      </c>
      <c r="C600" s="17" t="s">
        <v>100</v>
      </c>
      <c r="D600" s="15" t="s">
        <v>12</v>
      </c>
      <c r="E600" s="18" t="s">
        <v>1032</v>
      </c>
      <c r="F600" s="15" t="str">
        <f>IFERROR(__xludf.DUMMYFUNCTION("GOOGLETRANSLATE(E600,""en"", ""ja"")"),"アイテムを選択してください")</f>
        <v>アイテムを選択してください</v>
      </c>
      <c r="G600" s="15" t="str">
        <f>IFERROR(__xludf.DUMMYFUNCTION("GOOGLETRANSLATE(E600,""en"",""zh-cn"")"),"选择一个项目")</f>
        <v>选择一个项目</v>
      </c>
      <c r="H600" s="15" t="str">
        <f>IFERROR(__xludf.DUMMYFUNCTION("GOOGLETRANSLATE(E600,""en"",""fr"")"),"Choisissez un article")</f>
        <v>Choisissez un article</v>
      </c>
      <c r="I600" s="15" t="str">
        <f>IFERROR(__xludf.DUMMYFUNCTION("GOOGLETRANSLATE(E600,""en"",""de"")"),"Wählen Sie eine Elemente")</f>
        <v>Wählen Sie eine Elemente</v>
      </c>
    </row>
    <row r="601">
      <c r="A601" s="17" t="s">
        <v>1029</v>
      </c>
      <c r="B601" s="17" t="s">
        <v>1033</v>
      </c>
      <c r="C601" s="17" t="s">
        <v>100</v>
      </c>
      <c r="D601" s="15" t="s">
        <v>12</v>
      </c>
      <c r="E601" s="18" t="s">
        <v>1</v>
      </c>
      <c r="F601" s="15" t="str">
        <f>IFERROR(__xludf.DUMMYFUNCTION("GOOGLETRANSLATE(E601,""en"", ""ja"")"),"鍵")</f>
        <v>鍵</v>
      </c>
      <c r="G601" s="15" t="str">
        <f>IFERROR(__xludf.DUMMYFUNCTION("GOOGLETRANSLATE(E601,""en"",""zh-cn"")"),"钥匙")</f>
        <v>钥匙</v>
      </c>
      <c r="H601" s="15" t="str">
        <f>IFERROR(__xludf.DUMMYFUNCTION("GOOGLETRANSLATE(E601,""en"",""fr"")"),"Clé")</f>
        <v>Clé</v>
      </c>
      <c r="I601" s="15" t="str">
        <f>IFERROR(__xludf.DUMMYFUNCTION("GOOGLETRANSLATE(E601,""en"",""de"")"),"Schlüssel")</f>
        <v>Schlüssel</v>
      </c>
    </row>
    <row r="602">
      <c r="A602" s="17" t="s">
        <v>1029</v>
      </c>
      <c r="B602" s="17" t="s">
        <v>1034</v>
      </c>
      <c r="C602" s="17" t="s">
        <v>100</v>
      </c>
      <c r="D602" s="15" t="s">
        <v>12</v>
      </c>
      <c r="E602" s="18" t="s">
        <v>1035</v>
      </c>
      <c r="F602" s="15" t="str">
        <f>IFERROR(__xludf.DUMMYFUNCTION("GOOGLETRANSLATE(E602,""en"", ""ja"")"),"価値")</f>
        <v>価値</v>
      </c>
      <c r="G602" s="15" t="str">
        <f>IFERROR(__xludf.DUMMYFUNCTION("GOOGLETRANSLATE(E602,""en"",""zh-cn"")"),"价值")</f>
        <v>价值</v>
      </c>
      <c r="H602" s="15" t="str">
        <f>IFERROR(__xludf.DUMMYFUNCTION("GOOGLETRANSLATE(E602,""en"",""fr"")"),"Valeur")</f>
        <v>Valeur</v>
      </c>
      <c r="I602" s="15" t="str">
        <f>IFERROR(__xludf.DUMMYFUNCTION("GOOGLETRANSLATE(E602,""en"",""de"")"),"Wert")</f>
        <v>Wert</v>
      </c>
    </row>
    <row r="603">
      <c r="A603" s="11"/>
      <c r="B603" s="11"/>
      <c r="C603" s="11"/>
      <c r="D603" s="11"/>
      <c r="E603" s="11"/>
      <c r="F603" s="11"/>
      <c r="G603" s="11"/>
      <c r="H603" s="11"/>
      <c r="I603" s="11"/>
    </row>
    <row r="604">
      <c r="A604" s="17" t="s">
        <v>1036</v>
      </c>
      <c r="B604" s="17" t="s">
        <v>209</v>
      </c>
      <c r="C604" s="17" t="s">
        <v>102</v>
      </c>
      <c r="D604" s="15" t="s">
        <v>12</v>
      </c>
      <c r="E604" s="18" t="s">
        <v>103</v>
      </c>
      <c r="F604" s="15" t="str">
        <f>IFERROR(__xludf.DUMMYFUNCTION("GOOGLETRANSLATE(E604,""en"", ""ja"")"),"一般的な製品")</f>
        <v>一般的な製品</v>
      </c>
      <c r="G604" s="15" t="str">
        <f>IFERROR(__xludf.DUMMYFUNCTION("GOOGLETRANSLATE(E604,""en"",""zh-cn"")"),"常见产品")</f>
        <v>常见产品</v>
      </c>
      <c r="H604" s="15" t="str">
        <f>IFERROR(__xludf.DUMMYFUNCTION("GOOGLETRANSLATE(E604,""en"",""fr"")"),"Produit commun")</f>
        <v>Produit commun</v>
      </c>
      <c r="I604" s="15" t="str">
        <f>IFERROR(__xludf.DUMMYFUNCTION("GOOGLETRANSLATE(E604,""en"",""de"")"),"Gemeinsames Produkt")</f>
        <v>Gemeinsames Produkt</v>
      </c>
    </row>
    <row r="605">
      <c r="A605" s="17" t="s">
        <v>1036</v>
      </c>
      <c r="B605" s="17" t="s">
        <v>210</v>
      </c>
      <c r="C605" s="17" t="s">
        <v>102</v>
      </c>
      <c r="D605" s="15" t="s">
        <v>12</v>
      </c>
      <c r="E605" s="18" t="s">
        <v>1037</v>
      </c>
      <c r="F605" s="15" t="str">
        <f>IFERROR(__xludf.DUMMYFUNCTION("GOOGLETRANSLATE(E605,""en"", ""ja"")"),"{{app}}は、 @gui/common-i18n-termsに依存します。これは、プロジェクトで使用できる共通の関数を含むパッケージです。")</f>
        <v>{{app}}は、 @gui/common-i18n-termsに依存します。これは、プロジェクトで使用できる共通の関数を含むパッケージです。</v>
      </c>
      <c r="G605" s="15" t="str">
        <f>IFERROR(__xludf.DUMMYFUNCTION("GOOGLETRANSLATE(E605,""en"",""zh-cn"")"),"{{app}}取决于 @gui/councom-i18n-terms，它是一个包装，其中包括一些可以在项目中使用的常见功能。")</f>
        <v>{{app}}取决于 @gui/councom-i18n-terms，它是一个包装，其中包括一些可以在项目中使用的常见功能。</v>
      </c>
      <c r="H605" s="15" t="str">
        <f>IFERROR(__xludf.DUMMYFUNCTION("GOOGLETRANSLATE(E605,""en"",""fr"")"),"{{app}} dépend de @ GUI / Common-i18n-terms qui est un package comprenant une fonction commune qui peut être utilisée dans vos projets.")</f>
        <v>{{app}} dépend de @ GUI / Common-i18n-terms qui est un package comprenant une fonction commune qui peut être utilisée dans vos projets.</v>
      </c>
      <c r="I605" s="15" t="str">
        <f>IFERROR(__xludf.DUMMYFUNCTION("GOOGLETRANSLATE(E605,""en"",""de"")"),"{{app}} hängt von @GUI/Common-I18N-TERMS ab, ein Paket, das eine gemeinsame Funktion mit Ihren Projekten verwendet werden kann.")</f>
        <v>{{app}} hängt von @GUI/Common-I18N-TERMS ab, ein Paket, das eine gemeinsame Funktion mit Ihren Projekten verwendet werden kann.</v>
      </c>
    </row>
    <row r="606">
      <c r="A606" s="17" t="s">
        <v>1036</v>
      </c>
      <c r="B606" s="17" t="s">
        <v>1031</v>
      </c>
      <c r="C606" s="17" t="s">
        <v>102</v>
      </c>
      <c r="D606" s="15" t="s">
        <v>12</v>
      </c>
      <c r="E606" s="18" t="s">
        <v>1032</v>
      </c>
      <c r="F606" s="15" t="str">
        <f>IFERROR(__xludf.DUMMYFUNCTION("GOOGLETRANSLATE(E606,""en"", ""ja"")"),"アイテムを選択してください")</f>
        <v>アイテムを選択してください</v>
      </c>
      <c r="G606" s="15" t="str">
        <f>IFERROR(__xludf.DUMMYFUNCTION("GOOGLETRANSLATE(E606,""en"",""zh-cn"")"),"选择一个项目")</f>
        <v>选择一个项目</v>
      </c>
      <c r="H606" s="15" t="str">
        <f>IFERROR(__xludf.DUMMYFUNCTION("GOOGLETRANSLATE(E606,""en"",""fr"")"),"Choisissez un article")</f>
        <v>Choisissez un article</v>
      </c>
      <c r="I606" s="15" t="str">
        <f>IFERROR(__xludf.DUMMYFUNCTION("GOOGLETRANSLATE(E606,""en"",""de"")"),"Wählen Sie eine Elemente")</f>
        <v>Wählen Sie eine Elemente</v>
      </c>
    </row>
    <row r="607">
      <c r="A607" s="17" t="s">
        <v>1036</v>
      </c>
      <c r="B607" s="17" t="s">
        <v>1038</v>
      </c>
      <c r="C607" s="17" t="s">
        <v>102</v>
      </c>
      <c r="D607" s="15" t="s">
        <v>12</v>
      </c>
      <c r="E607" s="18" t="s">
        <v>1039</v>
      </c>
      <c r="F607" s="15" t="str">
        <f>IFERROR(__xludf.DUMMYFUNCTION("GOOGLETRANSLATE(E607,""en"", ""ja"")"),"名前")</f>
        <v>名前</v>
      </c>
      <c r="G607" s="15" t="str">
        <f>IFERROR(__xludf.DUMMYFUNCTION("GOOGLETRANSLATE(E607,""en"",""zh-cn"")"),"姓名")</f>
        <v>姓名</v>
      </c>
      <c r="H607" s="15" t="str">
        <f>IFERROR(__xludf.DUMMYFUNCTION("GOOGLETRANSLATE(E607,""en"",""fr"")"),"Nom")</f>
        <v>Nom</v>
      </c>
      <c r="I607" s="15" t="str">
        <f>IFERROR(__xludf.DUMMYFUNCTION("GOOGLETRANSLATE(E607,""en"",""de"")"),"Name")</f>
        <v>Name</v>
      </c>
    </row>
    <row r="608">
      <c r="A608" s="17" t="s">
        <v>1036</v>
      </c>
      <c r="B608" s="17" t="s">
        <v>98</v>
      </c>
      <c r="C608" s="17" t="s">
        <v>102</v>
      </c>
      <c r="D608" s="15" t="s">
        <v>12</v>
      </c>
      <c r="E608" s="18" t="s">
        <v>99</v>
      </c>
      <c r="F608" s="15" t="str">
        <f>IFERROR(__xludf.DUMMYFUNCTION("GOOGLETRANSLATE(E608,""en"", ""ja"")"),"アイコン")</f>
        <v>アイコン</v>
      </c>
      <c r="G608" s="15" t="str">
        <f>IFERROR(__xludf.DUMMYFUNCTION("GOOGLETRANSLATE(E608,""en"",""zh-cn"")"),"图标")</f>
        <v>图标</v>
      </c>
      <c r="H608" s="15" t="str">
        <f>IFERROR(__xludf.DUMMYFUNCTION("GOOGLETRANSLATE(E608,""en"",""fr"")"),"Icône")</f>
        <v>Icône</v>
      </c>
      <c r="I608" s="15" t="str">
        <f>IFERROR(__xludf.DUMMYFUNCTION("GOOGLETRANSLATE(E608,""en"",""de"")"),"Symbol")</f>
        <v>Symbol</v>
      </c>
    </row>
    <row r="609">
      <c r="A609" s="11"/>
      <c r="B609" s="11"/>
      <c r="C609" s="11"/>
      <c r="D609" s="11"/>
      <c r="E609" s="11"/>
      <c r="F609" s="11"/>
      <c r="G609" s="11"/>
      <c r="H609" s="11"/>
      <c r="I609" s="11"/>
    </row>
    <row r="610">
      <c r="A610" s="17" t="s">
        <v>1040</v>
      </c>
      <c r="B610" s="17" t="s">
        <v>209</v>
      </c>
      <c r="C610" s="17" t="s">
        <v>122</v>
      </c>
      <c r="D610" s="15" t="s">
        <v>12</v>
      </c>
      <c r="E610" s="18" t="s">
        <v>123</v>
      </c>
      <c r="F610" s="15" t="str">
        <f>IFERROR(__xludf.DUMMYFUNCTION("GOOGLETRANSLATE(E610,""en"", ""ja"")"),"チェックボックス")</f>
        <v>チェックボックス</v>
      </c>
      <c r="G610" s="15" t="str">
        <f>IFERROR(__xludf.DUMMYFUNCTION("GOOGLETRANSLATE(E610,""en"",""zh-cn"")"),"复选框")</f>
        <v>复选框</v>
      </c>
      <c r="H610" s="15" t="str">
        <f>IFERROR(__xludf.DUMMYFUNCTION("GOOGLETRANSLATE(E610,""en"",""fr"")"),"Cocher")</f>
        <v>Cocher</v>
      </c>
      <c r="I610" s="15" t="str">
        <f>IFERROR(__xludf.DUMMYFUNCTION("GOOGLETRANSLATE(E610,""en"",""de"")"),"Kontrollkästchen")</f>
        <v>Kontrollkästchen</v>
      </c>
    </row>
    <row r="611">
      <c r="A611" s="17" t="s">
        <v>1040</v>
      </c>
      <c r="B611" s="17" t="s">
        <v>210</v>
      </c>
      <c r="C611" s="17" t="s">
        <v>122</v>
      </c>
      <c r="D611" s="15" t="s">
        <v>12</v>
      </c>
      <c r="E611" s="18" t="s">
        <v>1041</v>
      </c>
      <c r="F611" s="15" t="str">
        <f>IFERROR(__xludf.DUMMYFUNCTION("GOOGLETRANSLATE(E611,""en"", ""ja"")"),"チェックボックスは、セットから1つ以上のアイテムを選択するために使用されます。")</f>
        <v>チェックボックスは、セットから1つ以上のアイテムを選択するために使用されます。</v>
      </c>
      <c r="G611" s="15" t="str">
        <f>IFERROR(__xludf.DUMMYFUNCTION("GOOGLETRANSLATE(E611,""en"",""zh-cn"")"),"复选框用于从集合中选择一个或多个项目。")</f>
        <v>复选框用于从集合中选择一个或多个项目。</v>
      </c>
      <c r="H611" s="15" t="str">
        <f>IFERROR(__xludf.DUMMYFUNCTION("GOOGLETRANSLATE(E611,""en"",""fr"")"),"CheckBox est utilisé pour sélectionner un ou plusieurs éléments dans un ensemble.")</f>
        <v>CheckBox est utilisé pour sélectionner un ou plusieurs éléments dans un ensemble.</v>
      </c>
      <c r="I611" s="15" t="str">
        <f>IFERROR(__xludf.DUMMYFUNCTION("GOOGLETRANSLATE(E611,""en"",""de"")"),"Das Kontrollkästchen wird verwendet, um ein oder mehrere Elemente aus einem Satz auszuwählen.")</f>
        <v>Das Kontrollkästchen wird verwendet, um ein oder mehrere Elemente aus einem Satz auszuwählen.</v>
      </c>
    </row>
    <row r="612">
      <c r="A612" s="17" t="s">
        <v>1040</v>
      </c>
      <c r="B612" s="17" t="s">
        <v>1042</v>
      </c>
      <c r="C612" s="17" t="s">
        <v>122</v>
      </c>
      <c r="D612" s="15" t="s">
        <v>12</v>
      </c>
      <c r="E612" s="18" t="s">
        <v>1043</v>
      </c>
      <c r="F612" s="15" t="str">
        <f>IFERROR(__xludf.DUMMYFUNCTION("GOOGLETRANSLATE(E612,""en"", ""ja"")"),"いくつかの条件または条件に同意する必要がある場合は、1つのチェックボックスのみを使用します。など：二度と見せないでください、私は条件に同意します...")</f>
        <v>いくつかの条件または条件に同意する必要がある場合は、1つのチェックボックスのみを使用します。など：二度と見せないでください、私は条件に同意します...</v>
      </c>
      <c r="G612" s="15" t="str">
        <f>IFERROR(__xludf.DUMMYFUNCTION("GOOGLETRANSLATE(E612,""en"",""zh-cn"")"),"当您需要就某些条件或条款达成协议时，仅使用一个复选框。例如：不要再显示，我同意的条款...")</f>
        <v>当您需要就某些条件或条款达成协议时，仅使用一个复选框。例如：不要再显示，我同意的条款...</v>
      </c>
      <c r="H612" s="15" t="str">
        <f>IFERROR(__xludf.DUMMYFUNCTION("GOOGLETRANSLATE(E612,""en"",""fr"")"),"Utilisez une seule case lorsque vous devez vous mettre d'accord sur certaines conditions ou termes. Tels que: ne montrez pas à nouveau, je suis d'accord sur les termes ...")</f>
        <v>Utilisez une seule case lorsque vous devez vous mettre d'accord sur certaines conditions ou termes. Tels que: ne montrez pas à nouveau, je suis d'accord sur les termes ...</v>
      </c>
      <c r="I612" s="15" t="str">
        <f>IFERROR(__xludf.DUMMYFUNCTION("GOOGLETRANSLATE(E612,""en"",""de"")"),"Verwenden Sie nur ein Kontrollkästchen, wenn Sie sich auf einige Bedingungen oder Bedingungen einigen müssen. Zum Beispiel: Zeigen Sie nicht noch einmal, ich stimme zu den Bedingungen ...")</f>
        <v>Verwenden Sie nur ein Kontrollkästchen, wenn Sie sich auf einige Bedingungen oder Bedingungen einigen müssen. Zum Beispiel: Zeigen Sie nicht noch einmal, ich stimme zu den Bedingungen ...</v>
      </c>
    </row>
    <row r="613">
      <c r="A613" s="17" t="s">
        <v>1040</v>
      </c>
      <c r="B613" s="17" t="s">
        <v>1044</v>
      </c>
      <c r="C613" s="17" t="s">
        <v>122</v>
      </c>
      <c r="D613" s="15" t="s">
        <v>12</v>
      </c>
      <c r="E613" s="18" t="s">
        <v>1045</v>
      </c>
      <c r="F613" s="15" t="str">
        <f>IFERROR(__xludf.DUMMYFUNCTION("GOOGLETRANSLATE(E613,""en"", ""ja"")"),"テーブルからアイテムを選択するなど、ユーザーが複数のアイテムを選択できる場合は、チェックボックスを使用します。")</f>
        <v>テーブルからアイテムを選択するなど、ユーザーが複数のアイテムを選択できる場合は、チェックボックスを使用します。</v>
      </c>
      <c r="G613" s="15" t="str">
        <f>IFERROR(__xludf.DUMMYFUNCTION("GOOGLETRANSLATE(E613,""en"",""zh-cn"")"),"当用户可以选择多个项目时，请使用复选框，例如：从表中选择项目。")</f>
        <v>当用户可以选择多个项目时，请使用复选框，例如：从表中选择项目。</v>
      </c>
      <c r="H613" s="15" t="str">
        <f>IFERROR(__xludf.DUMMYFUNCTION("GOOGLETRANSLATE(E613,""en"",""fr"")"),"Utilisez des cases à cocher lorsque l'utilisateur peut sélectionner plusieurs éléments, tels que: sélectionnez des éléments dans une table.")</f>
        <v>Utilisez des cases à cocher lorsque l'utilisateur peut sélectionner plusieurs éléments, tels que: sélectionnez des éléments dans une table.</v>
      </c>
      <c r="I613" s="15" t="str">
        <f>IFERROR(__xludf.DUMMYFUNCTION("GOOGLETRANSLATE(E613,""en"",""de"")"),"Verwenden Sie Kontrollkästchen, wenn der Benutzer mehrere Elemente auswählen kann, z. B.: Elemente aus einer Tabelle auswählen.")</f>
        <v>Verwenden Sie Kontrollkästchen, wenn der Benutzer mehrere Elemente auswählen kann, z. B.: Elemente aus einer Tabelle auswählen.</v>
      </c>
    </row>
    <row r="614">
      <c r="A614" s="17" t="s">
        <v>1040</v>
      </c>
      <c r="B614" s="17" t="s">
        <v>1046</v>
      </c>
      <c r="C614" s="17" t="s">
        <v>122</v>
      </c>
      <c r="D614" s="15" t="s">
        <v>12</v>
      </c>
      <c r="E614" s="18" t="s">
        <v>1047</v>
      </c>
      <c r="F614" s="15" t="str">
        <f>IFERROR(__xludf.DUMMYFUNCTION("GOOGLETRANSLATE(E614,""en"", ""ja"")"),"無効")</f>
        <v>無効</v>
      </c>
      <c r="G614" s="15" t="str">
        <f>IFERROR(__xludf.DUMMYFUNCTION("GOOGLETRANSLATE(E614,""en"",""zh-cn"")"),"禁用")</f>
        <v>禁用</v>
      </c>
      <c r="H614" s="15" t="str">
        <f>IFERROR(__xludf.DUMMYFUNCTION("GOOGLETRANSLATE(E614,""en"",""fr"")"),"Désactivé")</f>
        <v>Désactivé</v>
      </c>
      <c r="I614" s="15" t="str">
        <f>IFERROR(__xludf.DUMMYFUNCTION("GOOGLETRANSLATE(E614,""en"",""de"")"),"Deaktiviert")</f>
        <v>Deaktiviert</v>
      </c>
    </row>
    <row r="615">
      <c r="A615" s="17" t="s">
        <v>1040</v>
      </c>
      <c r="B615" s="17" t="s">
        <v>122</v>
      </c>
      <c r="C615" s="17" t="s">
        <v>122</v>
      </c>
      <c r="D615" s="15" t="s">
        <v>12</v>
      </c>
      <c r="E615" s="18" t="s">
        <v>1048</v>
      </c>
      <c r="F615" s="15" t="str">
        <f>IFERROR(__xludf.DUMMYFUNCTION("GOOGLETRANSLATE(E615,""en"", ""ja"")"),"チェックボックス")</f>
        <v>チェックボックス</v>
      </c>
      <c r="G615" s="15" t="str">
        <f>IFERROR(__xludf.DUMMYFUNCTION("GOOGLETRANSLATE(E615,""en"",""zh-cn"")"),"复选框")</f>
        <v>复选框</v>
      </c>
      <c r="H615" s="15" t="str">
        <f>IFERROR(__xludf.DUMMYFUNCTION("GOOGLETRANSLATE(E615,""en"",""fr"")"),"Cocher")</f>
        <v>Cocher</v>
      </c>
      <c r="I615" s="15" t="str">
        <f>IFERROR(__xludf.DUMMYFUNCTION("GOOGLETRANSLATE(E615,""en"",""de"")"),"Kontrollkästchen")</f>
        <v>Kontrollkästchen</v>
      </c>
    </row>
    <row r="616">
      <c r="A616" s="17" t="s">
        <v>1040</v>
      </c>
      <c r="B616" s="17" t="s">
        <v>1049</v>
      </c>
      <c r="C616" s="17" t="s">
        <v>122</v>
      </c>
      <c r="D616" s="15" t="s">
        <v>12</v>
      </c>
      <c r="E616" s="18" t="s">
        <v>1050</v>
      </c>
      <c r="F616" s="15" t="str">
        <f>IFERROR(__xludf.DUMMYFUNCTION("GOOGLETRANSLATE(E616,""en"", ""ja"")"),"すべてチェック")</f>
        <v>すべてチェック</v>
      </c>
      <c r="G616" s="15" t="str">
        <f>IFERROR(__xludf.DUMMYFUNCTION("GOOGLETRANSLATE(E616,""en"",""zh-cn"")"),"选择所有")</f>
        <v>选择所有</v>
      </c>
      <c r="H616" s="15" t="str">
        <f>IFERROR(__xludf.DUMMYFUNCTION("GOOGLETRANSLATE(E616,""en"",""fr"")"),"Vérifie tout")</f>
        <v>Vérifie tout</v>
      </c>
      <c r="I616" s="15" t="str">
        <f>IFERROR(__xludf.DUMMYFUNCTION("GOOGLETRANSLATE(E616,""en"",""de"")"),"Alle überprüfen")</f>
        <v>Alle überprüfen</v>
      </c>
    </row>
    <row r="617">
      <c r="A617" s="17" t="s">
        <v>1040</v>
      </c>
      <c r="B617" s="17" t="s">
        <v>1051</v>
      </c>
      <c r="C617" s="17" t="s">
        <v>122</v>
      </c>
      <c r="D617" s="15" t="s">
        <v>12</v>
      </c>
      <c r="E617" s="18" t="s">
        <v>1052</v>
      </c>
      <c r="F617" s="15" t="str">
        <f>IFERROR(__xludf.DUMMYFUNCTION("GOOGLETRANSLATE(E617,""en"", ""ja"")"),"すべて選択")</f>
        <v>すべて選択</v>
      </c>
      <c r="G617" s="15" t="str">
        <f>IFERROR(__xludf.DUMMYFUNCTION("GOOGLETRANSLATE(E617,""en"",""zh-cn"")"),"全选")</f>
        <v>全选</v>
      </c>
      <c r="H617" s="15" t="str">
        <f>IFERROR(__xludf.DUMMYFUNCTION("GOOGLETRANSLATE(E617,""en"",""fr"")"),"Tout sélectionner")</f>
        <v>Tout sélectionner</v>
      </c>
      <c r="I617" s="15" t="str">
        <f>IFERROR(__xludf.DUMMYFUNCTION("GOOGLETRANSLATE(E617,""en"",""de"")"),"Wählen Sie Alle")</f>
        <v>Wählen Sie Alle</v>
      </c>
    </row>
    <row r="618">
      <c r="A618" s="17" t="s">
        <v>1040</v>
      </c>
      <c r="B618" s="17" t="s">
        <v>1053</v>
      </c>
      <c r="C618" s="17" t="s">
        <v>122</v>
      </c>
      <c r="D618" s="15" t="s">
        <v>12</v>
      </c>
      <c r="E618" s="18" t="s">
        <v>1054</v>
      </c>
      <c r="F618" s="15" t="str">
        <f>IFERROR(__xludf.DUMMYFUNCTION("GOOGLETRANSLATE(E618,""en"", ""ja"")"),"オプション{{index}}")</f>
        <v>オプション{{index}}</v>
      </c>
      <c r="G618" s="15" t="str">
        <f>IFERROR(__xludf.DUMMYFUNCTION("GOOGLETRANSLATE(E618,""en"",""zh-cn"")"),"选项{{index}}")</f>
        <v>选项{{index}}</v>
      </c>
      <c r="H618" s="15" t="str">
        <f>IFERROR(__xludf.DUMMYFUNCTION("GOOGLETRANSLATE(E618,""en"",""fr"")"),"Option {{index}}")</f>
        <v>Option {{index}}</v>
      </c>
      <c r="I618" s="15" t="str">
        <f>IFERROR(__xludf.DUMMYFUNCTION("GOOGLETRANSLATE(E618,""en"",""de"")"),"Option {{index}}")</f>
        <v>Option {{index}}</v>
      </c>
    </row>
    <row r="619">
      <c r="A619" s="11"/>
      <c r="B619" s="11"/>
      <c r="C619" s="11"/>
      <c r="D619" s="11"/>
      <c r="E619" s="11"/>
      <c r="F619" s="11"/>
      <c r="G619" s="11"/>
      <c r="H619" s="11"/>
      <c r="I619" s="11"/>
    </row>
    <row r="620">
      <c r="A620" s="17" t="s">
        <v>235</v>
      </c>
      <c r="B620" s="17" t="s">
        <v>209</v>
      </c>
      <c r="C620" s="17" t="s">
        <v>1055</v>
      </c>
      <c r="D620" s="15" t="s">
        <v>12</v>
      </c>
      <c r="E620" s="18" t="s">
        <v>1056</v>
      </c>
      <c r="F620" s="15" t="str">
        <f>IFERROR(__xludf.DUMMYFUNCTION("GOOGLETRANSLATE(E620,""en"", ""ja"")"),"datepicker")</f>
        <v>datepicker</v>
      </c>
      <c r="G620" s="15" t="str">
        <f>IFERROR(__xludf.DUMMYFUNCTION("GOOGLETRANSLATE(E620,""en"",""zh-cn"")"),"日期选择器")</f>
        <v>日期选择器</v>
      </c>
      <c r="H620" s="15" t="str">
        <f>IFERROR(__xludf.DUMMYFUNCTION("GOOGLETRANSLATE(E620,""en"",""fr"")"),"Sélecteur de date")</f>
        <v>Sélecteur de date</v>
      </c>
      <c r="I620" s="15" t="str">
        <f>IFERROR(__xludf.DUMMYFUNCTION("GOOGLETRANSLATE(E620,""en"",""de"")"),"Datumsauswahl")</f>
        <v>Datumsauswahl</v>
      </c>
    </row>
    <row r="621">
      <c r="A621" s="17" t="s">
        <v>235</v>
      </c>
      <c r="B621" s="17" t="s">
        <v>210</v>
      </c>
      <c r="C621" s="17" t="s">
        <v>1055</v>
      </c>
      <c r="D621" s="15" t="s">
        <v>12</v>
      </c>
      <c r="E621" s="18" t="s">
        <v>1057</v>
      </c>
      <c r="F621" s="15" t="str">
        <f>IFERROR(__xludf.DUMMYFUNCTION("GOOGLETRANSLATE(E621,""en"", ""ja"")"),"日付ピッカーは、日付または日付の範囲を選択するために使用されます。")</f>
        <v>日付ピッカーは、日付または日付の範囲を選択するために使用されます。</v>
      </c>
      <c r="G621" s="15" t="str">
        <f>IFERROR(__xludf.DUMMYFUNCTION("GOOGLETRANSLATE(E621,""en"",""zh-cn"")"),"日期选择器用于选择日期或一系列日期。")</f>
        <v>日期选择器用于选择日期或一系列日期。</v>
      </c>
      <c r="H621" s="15" t="str">
        <f>IFERROR(__xludf.DUMMYFUNCTION("GOOGLETRANSLATE(E621,""en"",""fr"")"),"Le sélecteur de date est utilisé pour sélectionner une date ou une gamme de dates.")</f>
        <v>Le sélecteur de date est utilisé pour sélectionner une date ou une gamme de dates.</v>
      </c>
      <c r="I621" s="15" t="str">
        <f>IFERROR(__xludf.DUMMYFUNCTION("GOOGLETRANSLATE(E621,""en"",""de"")"),"Der Date Picker wird verwendet, um ein Datum oder einen Datenbereich auszuwählen.")</f>
        <v>Der Date Picker wird verwendet, um ein Datum oder einen Datenbereich auszuwählen.</v>
      </c>
    </row>
    <row r="622">
      <c r="A622" s="17" t="s">
        <v>235</v>
      </c>
      <c r="B622" s="17" t="s">
        <v>274</v>
      </c>
      <c r="C622" s="17" t="s">
        <v>1055</v>
      </c>
      <c r="D622" s="15" t="s">
        <v>12</v>
      </c>
      <c r="E622" s="18" t="s">
        <v>1058</v>
      </c>
      <c r="F622" s="15" t="str">
        <f>IFERROR(__xludf.DUMMYFUNCTION("GOOGLETRANSLATE(E622,""en"", ""ja"")"),"ユーザーは、カレンダーアイコンをクリックするか、自分で入力するだけで、日付ピッカーを使用して特定の日付を選択できます。")</f>
        <v>ユーザーは、カレンダーアイコンをクリックするか、自分で入力するだけで、日付ピッカーを使用して特定の日付を選択できます。</v>
      </c>
      <c r="G622" s="15" t="str">
        <f>IFERROR(__xludf.DUMMYFUNCTION("GOOGLETRANSLATE(E622,""en"",""zh-cn"")"),"用户可以通过单击日历图标或只是自己输入来选择特定日期。")</f>
        <v>用户可以通过单击日历图标或只是自己输入来选择特定日期。</v>
      </c>
      <c r="H622" s="15" t="str">
        <f>IFERROR(__xludf.DUMMYFUNCTION("GOOGLETRANSLATE(E622,""en"",""fr"")"),"Un utilisateur peut choisir une date spécifique à l'aide d'un sélecteur de dattes en cliquant sur l'icône du calendrier ou simplement saisir par lui-même.")</f>
        <v>Un utilisateur peut choisir une date spécifique à l'aide d'un sélecteur de dattes en cliquant sur l'icône du calendrier ou simplement saisir par lui-même.</v>
      </c>
      <c r="I622" s="15" t="str">
        <f>IFERROR(__xludf.DUMMYFUNCTION("GOOGLETRANSLATE(E622,""en"",""de"")"),"Ein Benutzer kann ein bestimmtes Datum mit einem Datumspicker auswählen, indem er auf das Kalendersymbol klickt oder einfach selbst eingibt.")</f>
        <v>Ein Benutzer kann ein bestimmtes Datum mit einem Datumspicker auswählen, indem er auf das Kalendersymbol klickt oder einfach selbst eingibt.</v>
      </c>
    </row>
    <row r="623">
      <c r="A623" s="17" t="s">
        <v>235</v>
      </c>
      <c r="B623" s="17" t="s">
        <v>1059</v>
      </c>
      <c r="C623" s="17" t="s">
        <v>1055</v>
      </c>
      <c r="D623" s="15" t="s">
        <v>12</v>
      </c>
      <c r="E623" s="18" t="s">
        <v>1060</v>
      </c>
      <c r="F623" s="15" t="str">
        <f>IFERROR(__xludf.DUMMYFUNCTION("GOOGLETRANSLATE(E623,""en"", ""ja"")"),"日付範囲（推奨）")</f>
        <v>日付範囲（推奨）</v>
      </c>
      <c r="G623" s="15" t="str">
        <f>IFERROR(__xludf.DUMMYFUNCTION("GOOGLETRANSLATE(E623,""en"",""zh-cn"")"),"日期范围（推荐）")</f>
        <v>日期范围（推荐）</v>
      </c>
      <c r="H623" s="15" t="str">
        <f>IFERROR(__xludf.DUMMYFUNCTION("GOOGLETRANSLATE(E623,""en"",""fr"")"),"Plage de dates (recommandée)")</f>
        <v>Plage de dates (recommandée)</v>
      </c>
      <c r="I623" s="15" t="str">
        <f>IFERROR(__xludf.DUMMYFUNCTION("GOOGLETRANSLATE(E623,""en"",""de"")"),"Datumsbereich (empfohlen)")</f>
        <v>Datumsbereich (empfohlen)</v>
      </c>
    </row>
    <row r="624">
      <c r="A624" s="17" t="s">
        <v>235</v>
      </c>
      <c r="B624" s="17" t="s">
        <v>1061</v>
      </c>
      <c r="C624" s="17" t="s">
        <v>1055</v>
      </c>
      <c r="D624" s="15" t="s">
        <v>12</v>
      </c>
      <c r="E624" s="18" t="s">
        <v>1062</v>
      </c>
      <c r="F624" s="15" t="str">
        <f>IFERROR(__xludf.DUMMYFUNCTION("GOOGLETRANSLATE(E624,""en"", ""ja"")"),"日付範囲を使用すると、ユーザーは1つのカレンダーから開始日を選択し、別のカレンダーから終了日を選択できます。")</f>
        <v>日付範囲を使用すると、ユーザーは1つのカレンダーから開始日を選択し、別のカレンダーから終了日を選択できます。</v>
      </c>
      <c r="G624" s="15" t="str">
        <f>IFERROR(__xludf.DUMMYFUNCTION("GOOGLETRANSLATE(E624,""en"",""zh-cn"")"),"日期范围允许用户从一个日历中选择一个开始日期，然后从另一个日历中选择一个结束日期。")</f>
        <v>日期范围允许用户从一个日历中选择一个开始日期，然后从另一个日历中选择一个结束日期。</v>
      </c>
      <c r="H624" s="15" t="str">
        <f>IFERROR(__xludf.DUMMYFUNCTION("GOOGLETRANSLATE(E624,""en"",""fr"")"),"Une plage de dates permet à l'utilisateur de choisir une date de début à partir d'un calendrier, puis de choisir une date de fin dans un autre calendrier.")</f>
        <v>Une plage de dates permet à l'utilisateur de choisir une date de début à partir d'un calendrier, puis de choisir une date de fin dans un autre calendrier.</v>
      </c>
      <c r="I624" s="15" t="str">
        <f>IFERROR(__xludf.DUMMYFUNCTION("GOOGLETRANSLATE(E624,""en"",""de"")"),"Mit einem Datumsbereich kann der Benutzer ein Startdatum aus einem Kalender aus auswählen und dann ein Enddatum aus einem anderen Kalender auswählen.")</f>
        <v>Mit einem Datumsbereich kann der Benutzer ein Startdatum aus einem Kalender aus auswählen und dann ein Enddatum aus einem anderen Kalender auswählen.</v>
      </c>
    </row>
    <row r="625">
      <c r="A625" s="17" t="s">
        <v>235</v>
      </c>
      <c r="B625" s="17" t="s">
        <v>1063</v>
      </c>
      <c r="C625" s="17" t="s">
        <v>1055</v>
      </c>
      <c r="D625" s="15" t="s">
        <v>12</v>
      </c>
      <c r="E625" s="18" t="s">
        <v>1064</v>
      </c>
      <c r="F625" s="15" t="str">
        <f>IFERROR(__xludf.DUMMYFUNCTION("GOOGLETRANSLATE(E625,""en"", ""ja"")"),"（推奨）")</f>
        <v>（推奨）</v>
      </c>
      <c r="G625" s="15" t="str">
        <f>IFERROR(__xludf.DUMMYFUNCTION("GOOGLETRANSLATE(E625,""en"",""zh-cn"")"),"（受到推崇的）")</f>
        <v>（受到推崇的）</v>
      </c>
      <c r="H625" s="15" t="str">
        <f>IFERROR(__xludf.DUMMYFUNCTION("GOOGLETRANSLATE(E625,""en"",""fr"")"),"(Recommandé)")</f>
        <v>(Recommandé)</v>
      </c>
      <c r="I625" s="15" t="str">
        <f>IFERROR(__xludf.DUMMYFUNCTION("GOOGLETRANSLATE(E625,""en"",""de"")"),"(Empfohlen)")</f>
        <v>(Empfohlen)</v>
      </c>
    </row>
    <row r="626">
      <c r="A626" s="17" t="s">
        <v>235</v>
      </c>
      <c r="B626" s="17" t="s">
        <v>1065</v>
      </c>
      <c r="C626" s="17" t="s">
        <v>1055</v>
      </c>
      <c r="D626" s="15" t="s">
        <v>12</v>
      </c>
      <c r="E626" s="18" t="s">
        <v>1066</v>
      </c>
      <c r="F626" s="15" t="str">
        <f>IFERROR(__xludf.DUMMYFUNCTION("GOOGLETRANSLATE(E626,""en"", ""ja"")"),"必要なフィールドを備えたdatePicker")</f>
        <v>必要なフィールドを備えたdatePicker</v>
      </c>
      <c r="G626" s="15" t="str">
        <f>IFERROR(__xludf.DUMMYFUNCTION("GOOGLETRANSLATE(E626,""en"",""zh-cn"")"),"带有必需字段的datepicker")</f>
        <v>带有必需字段的datepicker</v>
      </c>
      <c r="H626" s="15" t="str">
        <f>IFERROR(__xludf.DUMMYFUNCTION("GOOGLETRANSLATE(E626,""en"",""fr"")"),"Datepicker avec champ requis")</f>
        <v>Datepicker avec champ requis</v>
      </c>
      <c r="I626" s="15" t="str">
        <f>IFERROR(__xludf.DUMMYFUNCTION("GOOGLETRANSLATE(E626,""en"",""de"")"),"DatePicker mit dem erforderlichen Feld")</f>
        <v>DatePicker mit dem erforderlichen Feld</v>
      </c>
    </row>
    <row r="627">
      <c r="A627" s="17" t="s">
        <v>235</v>
      </c>
      <c r="B627" s="17" t="s">
        <v>1067</v>
      </c>
      <c r="C627" s="17" t="s">
        <v>1055</v>
      </c>
      <c r="D627" s="15" t="s">
        <v>12</v>
      </c>
      <c r="E627" s="18" t="s">
        <v>1068</v>
      </c>
      <c r="F627" s="15" t="str">
        <f>IFERROR(__xludf.DUMMYFUNCTION("GOOGLETRANSLATE(E627,""en"", ""ja"")"),"日付ピッカーが焦点を失ったときに検証が行われます。")</f>
        <v>日付ピッカーが焦点を失ったときに検証が行われます。</v>
      </c>
      <c r="G627" s="15" t="str">
        <f>IFERROR(__xludf.DUMMYFUNCTION("GOOGLETRANSLATE(E627,""en"",""zh-cn"")"),"当日期选择器失去焦点时，将进行验证。")</f>
        <v>当日期选择器失去焦点时，将进行验证。</v>
      </c>
      <c r="H627" s="15" t="str">
        <f>IFERROR(__xludf.DUMMYFUNCTION("GOOGLETRANSLATE(E627,""en"",""fr"")"),"La validation se produira lorsque le sélecteur de date perd le foyer.")</f>
        <v>La validation se produira lorsque le sélecteur de date perd le foyer.</v>
      </c>
      <c r="I627" s="15" t="str">
        <f>IFERROR(__xludf.DUMMYFUNCTION("GOOGLETRANSLATE(E627,""en"",""de"")"),"Die Validierung erfolgt, wenn der Datumspicker den Fokus verliert.")</f>
        <v>Die Validierung erfolgt, wenn der Datumspicker den Fokus verliert.</v>
      </c>
    </row>
    <row r="628">
      <c r="A628" s="17" t="s">
        <v>235</v>
      </c>
      <c r="B628" s="17" t="s">
        <v>1069</v>
      </c>
      <c r="C628" s="17" t="s">
        <v>1055</v>
      </c>
      <c r="D628" s="15" t="s">
        <v>12</v>
      </c>
      <c r="E628" s="18" t="s">
        <v>1070</v>
      </c>
      <c r="F628" s="15" t="str">
        <f>IFERROR(__xludf.DUMMYFUNCTION("GOOGLETRANSLATE(E628,""en"", ""ja"")"),"日付範囲を使用すると、ユーザーは2つのカレンダーから日付範囲を選択できます。ユーザーが同じ日を選択できます。範囲時間は00:00-23：59です。")</f>
        <v>日付範囲を使用すると、ユーザーは2つのカレンダーから日付範囲を選択できます。ユーザーが同じ日を選択できます。範囲時間は00:00-23：59です。</v>
      </c>
      <c r="G628" s="15" t="str">
        <f>IFERROR(__xludf.DUMMYFUNCTION("GOOGLETRANSLATE(E628,""en"",""zh-cn"")"),"日期范围允许用户从两个日历中选择一个日期范围。它让用户可以在同一天选择；范围时间为00：00-23：59。")</f>
        <v>日期范围允许用户从两个日历中选择一个日期范围。它让用户可以在同一天选择；范围时间为00：00-23：59。</v>
      </c>
      <c r="H628" s="15" t="str">
        <f>IFERROR(__xludf.DUMMYFUNCTION("GOOGLETRANSLATE(E628,""en"",""fr"")"),"Une plage de dates permet à l'utilisateur de choisir une plage de dates à partir de deux calendriers. Il permet à l'utilisateur de sélectionner le même jour; Le temps de plage sera de 00h00 à 23h59.")</f>
        <v>Une plage de dates permet à l'utilisateur de choisir une plage de dates à partir de deux calendriers. Il permet à l'utilisateur de sélectionner le même jour; Le temps de plage sera de 00h00 à 23h59.</v>
      </c>
      <c r="I628" s="15" t="str">
        <f>IFERROR(__xludf.DUMMYFUNCTION("GOOGLETRANSLATE(E628,""en"",""de"")"),"Mit einem Datumsbereich kann der Benutzer einen Datumsbereich aus zwei Kalendern auswählen. Der Benutzer ermöglicht es am selben Tag. Die Reichweite ist 00:00 - 23:59.")</f>
        <v>Mit einem Datumsbereich kann der Benutzer einen Datumsbereich aus zwei Kalendern auswählen. Der Benutzer ermöglicht es am selben Tag. Die Reichweite ist 00:00 - 23:59.</v>
      </c>
    </row>
    <row r="629">
      <c r="A629" s="17" t="s">
        <v>235</v>
      </c>
      <c r="B629" s="17" t="s">
        <v>1071</v>
      </c>
      <c r="C629" s="17" t="s">
        <v>1055</v>
      </c>
      <c r="D629" s="15" t="s">
        <v>12</v>
      </c>
      <c r="E629" s="18" t="s">
        <v>1072</v>
      </c>
      <c r="F629" s="15" t="str">
        <f>IFERROR(__xludf.DUMMYFUNCTION("GOOGLETRANSLATE(E629,""en"", ""ja"")"),"この項目は必須です。")</f>
        <v>この項目は必須です。</v>
      </c>
      <c r="G629" s="15" t="str">
        <f>IFERROR(__xludf.DUMMYFUNCTION("GOOGLETRANSLATE(E629,""en"",""zh-cn"")"),"此字段是必需的。")</f>
        <v>此字段是必需的。</v>
      </c>
      <c r="H629" s="15" t="str">
        <f>IFERROR(__xludf.DUMMYFUNCTION("GOOGLETRANSLATE(E629,""en"",""fr"")"),"Ce champ est obligatoire.")</f>
        <v>Ce champ est obligatoire.</v>
      </c>
      <c r="I629" s="15" t="str">
        <f>IFERROR(__xludf.DUMMYFUNCTION("GOOGLETRANSLATE(E629,""en"",""de"")"),"Dieses Feld ist erforderlich.")</f>
        <v>Dieses Feld ist erforderlich.</v>
      </c>
    </row>
    <row r="630">
      <c r="A630" s="11"/>
      <c r="B630" s="11"/>
      <c r="C630" s="11"/>
      <c r="D630" s="11"/>
      <c r="E630" s="11"/>
      <c r="F630" s="11"/>
      <c r="G630" s="11"/>
      <c r="H630" s="11"/>
      <c r="I630" s="11"/>
    </row>
    <row r="631">
      <c r="A631" s="17" t="s">
        <v>1073</v>
      </c>
      <c r="B631" s="17" t="s">
        <v>209</v>
      </c>
      <c r="C631" s="17" t="s">
        <v>126</v>
      </c>
      <c r="D631" s="15" t="s">
        <v>12</v>
      </c>
      <c r="E631" s="18" t="s">
        <v>127</v>
      </c>
      <c r="F631" s="15" t="str">
        <f>IFERROR(__xludf.DUMMYFUNCTION("GOOGLETRANSLATE(E631,""en"", ""ja"")"),"エキスパンダー")</f>
        <v>エキスパンダー</v>
      </c>
      <c r="G631" s="15" t="str">
        <f>IFERROR(__xludf.DUMMYFUNCTION("GOOGLETRANSLATE(E631,""en"",""zh-cn"")"),"扩展器")</f>
        <v>扩展器</v>
      </c>
      <c r="H631" s="15" t="str">
        <f>IFERROR(__xludf.DUMMYFUNCTION("GOOGLETRANSLATE(E631,""en"",""fr"")"),"Extenseur")</f>
        <v>Extenseur</v>
      </c>
      <c r="I631" s="15" t="str">
        <f>IFERROR(__xludf.DUMMYFUNCTION("GOOGLETRANSLATE(E631,""en"",""de"")"),"Expander")</f>
        <v>Expander</v>
      </c>
    </row>
    <row r="632">
      <c r="A632" s="17" t="s">
        <v>1073</v>
      </c>
      <c r="B632" s="17" t="s">
        <v>210</v>
      </c>
      <c r="C632" s="17" t="s">
        <v>126</v>
      </c>
      <c r="D632" s="15" t="s">
        <v>12</v>
      </c>
      <c r="E632" s="18" t="s">
        <v>1074</v>
      </c>
      <c r="F632" s="15" t="str">
        <f>IFERROR(__xludf.DUMMYFUNCTION("GOOGLETRANSLATE(E632,""en"", ""ja"")"),"垂直空間の使用を最適化できるコンテンツのセクションをユーザーに切り替えることができます。")</f>
        <v>垂直空間の使用を最適化できるコンテンツのセクションをユーザーに切り替えることができます。</v>
      </c>
      <c r="G632" s="15" t="str">
        <f>IFERROR(__xludf.DUMMYFUNCTION("GOOGLETRANSLATE(E632,""en"",""zh-cn"")"),"允许用户切换显示一部分内容，该内容可以优化垂直空间的使用。")</f>
        <v>允许用户切换显示一部分内容，该内容可以优化垂直空间的使用。</v>
      </c>
      <c r="H632" s="15" t="str">
        <f>IFERROR(__xludf.DUMMYFUNCTION("GOOGLETRANSLATE(E632,""en"",""fr"")"),"Permettez à l'utilisateur de basculer afficher une section de contenu qui peut optimiser l'utilisation de l'espace vertical.")</f>
        <v>Permettez à l'utilisateur de basculer afficher une section de contenu qui peut optimiser l'utilisation de l'espace vertical.</v>
      </c>
      <c r="I632" s="15" t="str">
        <f>IFERROR(__xludf.DUMMYFUNCTION("GOOGLETRANSLATE(E632,""en"",""de"")"),"Ermöglichen Sie dem Benutzer, einen Abschnitt des Inhalts anzuzeigen, der die Verwendung des vertikalen Speicherplatzes optimieren kann.")</f>
        <v>Ermöglichen Sie dem Benutzer, einen Abschnitt des Inhalts anzuzeigen, der die Verwendung des vertikalen Speicherplatzes optimieren kann.</v>
      </c>
    </row>
    <row r="633">
      <c r="A633" s="17" t="s">
        <v>1073</v>
      </c>
      <c r="B633" s="17" t="s">
        <v>274</v>
      </c>
      <c r="C633" s="17" t="s">
        <v>126</v>
      </c>
      <c r="D633" s="15" t="s">
        <v>12</v>
      </c>
      <c r="E633" s="18" t="s">
        <v>1075</v>
      </c>
      <c r="F633" s="15" t="str">
        <f>IFERROR(__xludf.DUMMYFUNCTION("GOOGLETRANSLATE(E633,""en"", ""ja"")"),"エキスパンダーには通常、タイトルと矢があります。矢全体をクリックして、展開/崩壊します。")</f>
        <v>エキスパンダーには通常、タイトルと矢があります。矢全体をクリックして、展開/崩壊します。</v>
      </c>
      <c r="G633" s="15" t="str">
        <f>IFERROR(__xludf.DUMMYFUNCTION("GOOGLETRANSLATE(E633,""en"",""zh-cn"")"),"扩展器通常具有标题和箭头。单击箭头整行以展开/崩溃。")</f>
        <v>扩展器通常具有标题和箭头。单击箭头整行以展开/崩溃。</v>
      </c>
      <c r="H633" s="15" t="str">
        <f>IFERROR(__xludf.DUMMYFUNCTION("GOOGLETRANSLATE(E633,""en"",""fr"")"),"L'expanseur a généralement un titre et une flèche. Cliquez sur la ligne entière de la flèche pour se développer / s'effondrer.")</f>
        <v>L'expanseur a généralement un titre et une flèche. Cliquez sur la ligne entière de la flèche pour se développer / s'effondrer.</v>
      </c>
      <c r="I633" s="15" t="str">
        <f>IFERROR(__xludf.DUMMYFUNCTION("GOOGLETRANSLATE(E633,""en"",""de"")"),"Der Expander hat normalerweise einen Titel und einen Pfeil darin. Klicken Sie auf die ganze Zeile der Pfeile, um zu erweitern/zu kollabieren.")</f>
        <v>Der Expander hat normalerweise einen Titel und einen Pfeil darin. Klicken Sie auf die ganze Zeile der Pfeile, um zu erweitern/zu kollabieren.</v>
      </c>
    </row>
    <row r="634">
      <c r="A634" s="17" t="s">
        <v>1073</v>
      </c>
      <c r="B634" s="17" t="s">
        <v>1076</v>
      </c>
      <c r="C634" s="17" t="s">
        <v>126</v>
      </c>
      <c r="D634" s="15" t="s">
        <v>12</v>
      </c>
      <c r="E634" s="18" t="s">
        <v>1077</v>
      </c>
      <c r="F634" s="15" t="str">
        <f>IFERROR(__xludf.DUMMYFUNCTION("GOOGLETRANSLATE(E634,""en"", ""ja"")"),"について")</f>
        <v>について</v>
      </c>
      <c r="G634" s="15" t="str">
        <f>IFERROR(__xludf.DUMMYFUNCTION("GOOGLETRANSLATE(E634,""en"",""zh-cn"")"),"关于")</f>
        <v>关于</v>
      </c>
      <c r="H634" s="15" t="str">
        <f>IFERROR(__xludf.DUMMYFUNCTION("GOOGLETRANSLATE(E634,""en"",""fr"")"),"À propos")</f>
        <v>À propos</v>
      </c>
      <c r="I634" s="15" t="str">
        <f>IFERROR(__xludf.DUMMYFUNCTION("GOOGLETRANSLATE(E634,""en"",""de"")"),"Um")</f>
        <v>Um</v>
      </c>
    </row>
    <row r="635">
      <c r="A635" s="17" t="s">
        <v>1073</v>
      </c>
      <c r="B635" s="17" t="s">
        <v>1078</v>
      </c>
      <c r="C635" s="17" t="s">
        <v>126</v>
      </c>
      <c r="D635" s="15" t="s">
        <v>12</v>
      </c>
      <c r="E635" s="18" t="s">
        <v>1079</v>
      </c>
      <c r="F635" s="15" t="str">
        <f>IFERROR(__xludf.DUMMYFUNCTION("GOOGLETRANSLATE(E635,""en"", ""ja"")"),"紺空の下で、静かな川が緑豊かな牧草地を蛇行します。自然の交響曲が展開され、鮮やかな花が穏やかに踊り、静けさと美しさの絵のようなシーンを作り出します。")</f>
        <v>紺空の下で、静かな川が緑豊かな牧草地を蛇行します。自然の交響曲が展開され、鮮やかな花が穏やかに踊り、静けさと美しさの絵のようなシーンを作り出します。</v>
      </c>
      <c r="G635" s="15" t="str">
        <f>IFERROR(__xludf.DUMMYFUNCTION("GOOGLETRANSLATE(E635,""en"",""zh-cn"")"),"在天蓝色的天空下，一条宁静的河通过郁郁葱葱的绿色草地蜿蜒。大自然的交响曲展开了，在轻微的微风中充满活力的花朵舞，营造出风景如画的宁静和美丽场景。")</f>
        <v>在天蓝色的天空下，一条宁静的河通过郁郁葱葱的绿色草地蜿蜒。大自然的交响曲展开了，在轻微的微风中充满活力的花朵舞，营造出风景如画的宁静和美丽场景。</v>
      </c>
      <c r="H635" s="15" t="str">
        <f>IFERROR(__xludf.DUMMYFUNCTION("GOOGLETRANSLATE(E635,""en"",""fr"")"),"Sous le ciel azur, une rivière tranquille serpente à travers des prairies vertes luxuriantes. Une symphonie de la nature se déroule, avec des fleurs vibrantes dansant dans la douce brise, créant une scène pittoresque de sérénité et de beauté.")</f>
        <v>Sous le ciel azur, une rivière tranquille serpente à travers des prairies vertes luxuriantes. Une symphonie de la nature se déroule, avec des fleurs vibrantes dansant dans la douce brise, créant une scène pittoresque de sérénité et de beauté.</v>
      </c>
      <c r="I635" s="15" t="str">
        <f>IFERROR(__xludf.DUMMYFUNCTION("GOOGLETRANSLATE(E635,""en"",""de"")"),"Unter dem Azure -Himmel schlängelt sich ein ruhiger Fluss durch üppige grüne Wiesen. Eine Symphonie der Natur entfaltet sich mit lebendigen Blumen, die in der sanften Brise tanzen und eine malerische Szene von Gelassenheit und Schönheit erzeugen.")</f>
        <v>Unter dem Azure -Himmel schlängelt sich ein ruhiger Fluss durch üppige grüne Wiesen. Eine Symphonie der Natur entfaltet sich mit lebendigen Blumen, die in der sanften Brise tanzen und eine malerische Szene von Gelassenheit und Schönheit erzeugen.</v>
      </c>
    </row>
    <row r="636">
      <c r="A636" s="17" t="s">
        <v>1073</v>
      </c>
      <c r="B636" s="17" t="s">
        <v>1080</v>
      </c>
      <c r="C636" s="17" t="s">
        <v>126</v>
      </c>
      <c r="D636" s="15" t="s">
        <v>12</v>
      </c>
      <c r="E636" s="18" t="s">
        <v>1081</v>
      </c>
      <c r="F636" s="15" t="str">
        <f>IFERROR(__xludf.DUMMYFUNCTION("GOOGLETRANSLATE(E636,""en"", ""ja"")"),"子供のタイトル")</f>
        <v>子供のタイトル</v>
      </c>
      <c r="G636" s="15" t="str">
        <f>IFERROR(__xludf.DUMMYFUNCTION("GOOGLETRANSLATE(E636,""en"",""zh-cn"")"),"儿童标题")</f>
        <v>儿童标题</v>
      </c>
      <c r="H636" s="15" t="str">
        <f>IFERROR(__xludf.DUMMYFUNCTION("GOOGLETRANSLATE(E636,""en"",""fr"")"),"Titre de l'enfant")</f>
        <v>Titre de l'enfant</v>
      </c>
      <c r="I636" s="15" t="str">
        <f>IFERROR(__xludf.DUMMYFUNCTION("GOOGLETRANSLATE(E636,""en"",""de"")"),"Kindertitel")</f>
        <v>Kindertitel</v>
      </c>
    </row>
    <row r="637">
      <c r="A637" s="17" t="s">
        <v>1073</v>
      </c>
      <c r="B637" s="17" t="s">
        <v>1082</v>
      </c>
      <c r="C637" s="17" t="s">
        <v>126</v>
      </c>
      <c r="D637" s="15" t="s">
        <v>12</v>
      </c>
      <c r="E637" s="18" t="s">
        <v>1083</v>
      </c>
      <c r="F637" s="15" t="str">
        <f>IFERROR(__xludf.DUMMYFUNCTION("GOOGLETRANSLATE(E637,""en"", ""ja"")"),"左のアイコンを展開します")</f>
        <v>左のアイコンを展開します</v>
      </c>
      <c r="G637" s="15" t="str">
        <f>IFERROR(__xludf.DUMMYFUNCTION("GOOGLETRANSLATE(E637,""en"",""zh-cn"")"),"在左边扩展图标")</f>
        <v>在左边扩展图标</v>
      </c>
      <c r="H637" s="15" t="str">
        <f>IFERROR(__xludf.DUMMYFUNCTION("GOOGLETRANSLATE(E637,""en"",""fr"")"),"Développez l'icône à gauche")</f>
        <v>Développez l'icône à gauche</v>
      </c>
      <c r="I637" s="15" t="str">
        <f>IFERROR(__xludf.DUMMYFUNCTION("GOOGLETRANSLATE(E637,""en"",""de"")"),"Ikone links erweitern")</f>
        <v>Ikone links erweitern</v>
      </c>
    </row>
    <row r="638">
      <c r="A638" s="17" t="s">
        <v>1073</v>
      </c>
      <c r="B638" s="17" t="s">
        <v>1084</v>
      </c>
      <c r="C638" s="17" t="s">
        <v>126</v>
      </c>
      <c r="D638" s="15" t="s">
        <v>12</v>
      </c>
      <c r="E638" s="18" t="s">
        <v>1085</v>
      </c>
      <c r="F638" s="15" t="str">
        <f>IFERROR(__xludf.DUMMYFUNCTION("GOOGLETRANSLATE(E638,""en"", ""ja"")"),"Expanderには通常、タイトル、矢印、その他の設定可能な設定があります。矢印をクリックして展開/崩壊します。")</f>
        <v>Expanderには通常、タイトル、矢印、その他の設定可能な設定があります。矢印をクリックして展開/崩壊します。</v>
      </c>
      <c r="G638" s="15" t="str">
        <f>IFERROR(__xludf.DUMMYFUNCTION("GOOGLETRANSLATE(E638,""en"",""zh-cn"")"),"扩展器通常在其中具有标题，箭头和其他可配置的设置。单击箭头以展开/塌陷。")</f>
        <v>扩展器通常在其中具有标题，箭头和其他可配置的设置。单击箭头以展开/塌陷。</v>
      </c>
      <c r="H638" s="15" t="str">
        <f>IFERROR(__xludf.DUMMYFUNCTION("GOOGLETRANSLATE(E638,""en"",""fr"")"),"L'expanseur a généralement un titre, une flèche et d'autres paramètres configurables. Cliquez sur la flèche pour se développer / s'effondrer.")</f>
        <v>L'expanseur a généralement un titre, une flèche et d'autres paramètres configurables. Cliquez sur la flèche pour se développer / s'effondrer.</v>
      </c>
      <c r="I638" s="15" t="str">
        <f>IFERROR(__xludf.DUMMYFUNCTION("GOOGLETRANSLATE(E638,""en"",""de"")"),"Der Expander enthält normalerweise einen Titel, einen Pfeil und andere konfigurierbare Einstellungen. Klicken Sie auf den Pfeil, um zu erweitern/zu kollabieren.")</f>
        <v>Der Expander enthält normalerweise einen Titel, einen Pfeil und andere konfigurierbare Einstellungen. Klicken Sie auf den Pfeil, um zu erweitern/zu kollabieren.</v>
      </c>
    </row>
    <row r="639">
      <c r="A639" s="17" t="s">
        <v>1073</v>
      </c>
      <c r="B639" s="17" t="s">
        <v>1086</v>
      </c>
      <c r="C639" s="17" t="s">
        <v>126</v>
      </c>
      <c r="D639" s="15" t="s">
        <v>12</v>
      </c>
      <c r="E639" s="18" t="s">
        <v>1087</v>
      </c>
      <c r="F639" s="15" t="str">
        <f>IFERROR(__xludf.DUMMYFUNCTION("GOOGLETRANSLATE(E639,""en"", ""ja"")"),"より多くのパディング")</f>
        <v>より多くのパディング</v>
      </c>
      <c r="G639" s="15" t="str">
        <f>IFERROR(__xludf.DUMMYFUNCTION("GOOGLETRANSLATE(E639,""en"",""zh-cn"")"),"更多填充")</f>
        <v>更多填充</v>
      </c>
      <c r="H639" s="15" t="str">
        <f>IFERROR(__xludf.DUMMYFUNCTION("GOOGLETRANSLATE(E639,""en"",""fr"")"),"Plus de rembourrage")</f>
        <v>Plus de rembourrage</v>
      </c>
      <c r="I639" s="15" t="str">
        <f>IFERROR(__xludf.DUMMYFUNCTION("GOOGLETRANSLATE(E639,""en"",""de"")"),"Mehr Polsterung")</f>
        <v>Mehr Polsterung</v>
      </c>
    </row>
    <row r="640">
      <c r="A640" s="11"/>
      <c r="B640" s="11"/>
      <c r="C640" s="11"/>
      <c r="D640" s="11"/>
      <c r="E640" s="11"/>
      <c r="F640" s="11"/>
      <c r="G640" s="11"/>
      <c r="H640" s="11"/>
      <c r="I640" s="11"/>
    </row>
    <row r="641">
      <c r="A641" s="17" t="s">
        <v>1073</v>
      </c>
      <c r="B641" s="17" t="s">
        <v>209</v>
      </c>
      <c r="C641" s="17" t="s">
        <v>1088</v>
      </c>
      <c r="D641" s="15" t="s">
        <v>12</v>
      </c>
      <c r="E641" s="18" t="s">
        <v>129</v>
      </c>
      <c r="F641" s="15" t="str">
        <f>IFERROR(__xludf.DUMMYFUNCTION("GOOGLETRANSLATE(E641,""en"", ""ja"")"),"ファイルアップローダー")</f>
        <v>ファイルアップローダー</v>
      </c>
      <c r="G641" s="15" t="str">
        <f>IFERROR(__xludf.DUMMYFUNCTION("GOOGLETRANSLATE(E641,""en"",""zh-cn"")"),"文件上传器")</f>
        <v>文件上传器</v>
      </c>
      <c r="H641" s="15" t="str">
        <f>IFERROR(__xludf.DUMMYFUNCTION("GOOGLETRANSLATE(E641,""en"",""fr"")"),"Téléchargeur de fichiers")</f>
        <v>Téléchargeur de fichiers</v>
      </c>
      <c r="I641" s="15" t="str">
        <f>IFERROR(__xludf.DUMMYFUNCTION("GOOGLETRANSLATE(E641,""en"",""de"")"),"Datei -Uploader")</f>
        <v>Datei -Uploader</v>
      </c>
    </row>
    <row r="642">
      <c r="A642" s="17" t="s">
        <v>1073</v>
      </c>
      <c r="B642" s="17" t="s">
        <v>210</v>
      </c>
      <c r="C642" s="17" t="s">
        <v>1088</v>
      </c>
      <c r="D642" s="15" t="s">
        <v>12</v>
      </c>
      <c r="E642" s="18" t="s">
        <v>1089</v>
      </c>
      <c r="F642" s="15" t="str">
        <f>IFERROR(__xludf.DUMMYFUNCTION("GOOGLETRANSLATE(E642,""en"", ""ja"")"),"ユーザーがローカルの場所からファイルをアップロードできるようにします。")</f>
        <v>ユーザーがローカルの場所からファイルをアップロードできるようにします。</v>
      </c>
      <c r="G642" s="15" t="str">
        <f>IFERROR(__xludf.DUMMYFUNCTION("GOOGLETRANSLATE(E642,""en"",""zh-cn"")"),"允许用户从本地位置上传文件。")</f>
        <v>允许用户从本地位置上传文件。</v>
      </c>
      <c r="H642" s="15" t="str">
        <f>IFERROR(__xludf.DUMMYFUNCTION("GOOGLETRANSLATE(E642,""en"",""fr"")"),"Autoriser l'utilisateur à télécharger des fichiers de la place locale.")</f>
        <v>Autoriser l'utilisateur à télécharger des fichiers de la place locale.</v>
      </c>
      <c r="I642" s="15" t="str">
        <f>IFERROR(__xludf.DUMMYFUNCTION("GOOGLETRANSLATE(E642,""en"",""de"")"),"Ermöglichen Sie den Benutzer, Dateien vom lokalen Ort hochzuladen.")</f>
        <v>Ermöglichen Sie den Benutzer, Dateien vom lokalen Ort hochzuladen.</v>
      </c>
    </row>
    <row r="643">
      <c r="A643" s="17" t="s">
        <v>1073</v>
      </c>
      <c r="B643" s="17" t="s">
        <v>1090</v>
      </c>
      <c r="C643" s="17" t="s">
        <v>1088</v>
      </c>
      <c r="D643" s="15" t="s">
        <v>12</v>
      </c>
      <c r="E643" s="18" t="s">
        <v>870</v>
      </c>
      <c r="F643" s="15" t="str">
        <f>IFERROR(__xludf.DUMMYFUNCTION("GOOGLETRANSLATE(E643,""en"", ""ja"")"),"単一のファイルブラウザ")</f>
        <v>単一のファイルブラウザ</v>
      </c>
      <c r="G643" s="15" t="str">
        <f>IFERROR(__xludf.DUMMYFUNCTION("GOOGLETRANSLATE(E643,""en"",""zh-cn"")"),"单文件浏览器")</f>
        <v>单文件浏览器</v>
      </c>
      <c r="H643" s="15" t="str">
        <f>IFERROR(__xludf.DUMMYFUNCTION("GOOGLETRANSLATE(E643,""en"",""fr"")"),"Navigateur de fichiers unique")</f>
        <v>Navigateur de fichiers unique</v>
      </c>
      <c r="I643" s="15" t="str">
        <f>IFERROR(__xludf.DUMMYFUNCTION("GOOGLETRANSLATE(E643,""en"",""de"")"),"Einzeldateibrowser")</f>
        <v>Einzeldateibrowser</v>
      </c>
    </row>
    <row r="644">
      <c r="A644" s="17" t="s">
        <v>1073</v>
      </c>
      <c r="B644" s="17" t="s">
        <v>1091</v>
      </c>
      <c r="C644" s="17" t="s">
        <v>1088</v>
      </c>
      <c r="D644" s="15" t="s">
        <v>12</v>
      </c>
      <c r="E644" s="18" t="s">
        <v>1092</v>
      </c>
      <c r="F644" s="15" t="str">
        <f>IFERROR(__xludf.DUMMYFUNCTION("GOOGLETRANSLATE(E644,""en"", ""ja"")"),"この制御により、ユーザーは1つのファイルのみを閲覧できます。")</f>
        <v>この制御により、ユーザーは1つのファイルのみを閲覧できます。</v>
      </c>
      <c r="G644" s="15" t="str">
        <f>IFERROR(__xludf.DUMMYFUNCTION("GOOGLETRANSLATE(E644,""en"",""zh-cn"")"),"此控件允许用户仅浏览一个文件。")</f>
        <v>此控件允许用户仅浏览一个文件。</v>
      </c>
      <c r="H644" s="15" t="str">
        <f>IFERROR(__xludf.DUMMYFUNCTION("GOOGLETRANSLATE(E644,""en"",""fr"")"),"Ce contrôle permet à l'utilisateur de parcourir un seul fichier.")</f>
        <v>Ce contrôle permet à l'utilisateur de parcourir un seul fichier.</v>
      </c>
      <c r="I644" s="15" t="str">
        <f>IFERROR(__xludf.DUMMYFUNCTION("GOOGLETRANSLATE(E644,""en"",""de"")"),"Mit dieser Steuerung kann der Benutzer nur eine Datei durchsuchen.")</f>
        <v>Mit dieser Steuerung kann der Benutzer nur eine Datei durchsuchen.</v>
      </c>
    </row>
    <row r="645">
      <c r="A645" s="17" t="s">
        <v>1073</v>
      </c>
      <c r="B645" s="17" t="s">
        <v>1093</v>
      </c>
      <c r="C645" s="17" t="s">
        <v>1088</v>
      </c>
      <c r="D645" s="15" t="s">
        <v>12</v>
      </c>
      <c r="E645" s="18" t="s">
        <v>1094</v>
      </c>
      <c r="F645" s="15" t="str">
        <f>IFERROR(__xludf.DUMMYFUNCTION("GOOGLETRANSLATE(E645,""en"", ""ja"")"),"証明書ファイル")</f>
        <v>証明書ファイル</v>
      </c>
      <c r="G645" s="15" t="str">
        <f>IFERROR(__xludf.DUMMYFUNCTION("GOOGLETRANSLATE(E645,""en"",""zh-cn"")"),"证书文件")</f>
        <v>证书文件</v>
      </c>
      <c r="H645" s="15" t="str">
        <f>IFERROR(__xludf.DUMMYFUNCTION("GOOGLETRANSLATE(E645,""en"",""fr"")"),"Dossier de certificat")</f>
        <v>Dossier de certificat</v>
      </c>
      <c r="I645" s="15" t="str">
        <f>IFERROR(__xludf.DUMMYFUNCTION("GOOGLETRANSLATE(E645,""en"",""de"")"),"Zertifikatdatei")</f>
        <v>Zertifikatdatei</v>
      </c>
    </row>
    <row r="646">
      <c r="A646" s="17" t="s">
        <v>1073</v>
      </c>
      <c r="B646" s="17" t="s">
        <v>1095</v>
      </c>
      <c r="C646" s="17" t="s">
        <v>1088</v>
      </c>
      <c r="D646" s="15" t="s">
        <v>12</v>
      </c>
      <c r="E646" s="18" t="s">
        <v>1096</v>
      </c>
      <c r="F646" s="15" t="str">
        <f>IFERROR(__xludf.DUMMYFUNCTION("GOOGLETRANSLATE(E646,""en"", ""ja"")"),"デモテキスト")</f>
        <v>デモテキスト</v>
      </c>
      <c r="G646" s="15" t="str">
        <f>IFERROR(__xludf.DUMMYFUNCTION("GOOGLETRANSLATE(E646,""en"",""zh-cn"")"),"演示文字")</f>
        <v>演示文字</v>
      </c>
      <c r="H646" s="15" t="str">
        <f>IFERROR(__xludf.DUMMYFUNCTION("GOOGLETRANSLATE(E646,""en"",""fr"")"),"Texte de démonstration")</f>
        <v>Texte de démonstration</v>
      </c>
      <c r="I646" s="15" t="str">
        <f>IFERROR(__xludf.DUMMYFUNCTION("GOOGLETRANSLATE(E646,""en"",""de"")"),"Demo -Text")</f>
        <v>Demo -Text</v>
      </c>
    </row>
    <row r="647">
      <c r="A647" s="17" t="s">
        <v>1073</v>
      </c>
      <c r="B647" s="17" t="s">
        <v>1097</v>
      </c>
      <c r="C647" s="17" t="s">
        <v>1088</v>
      </c>
      <c r="D647" s="15" t="s">
        <v>12</v>
      </c>
      <c r="E647" s="18" t="s">
        <v>625</v>
      </c>
      <c r="F647" s="15" t="str">
        <f>IFERROR(__xludf.DUMMYFUNCTION("GOOGLETRANSLATE(E647,""en"", ""ja"")"),"単一のファイルアップローダー")</f>
        <v>単一のファイルアップローダー</v>
      </c>
      <c r="G647" s="15" t="str">
        <f>IFERROR(__xludf.DUMMYFUNCTION("GOOGLETRANSLATE(E647,""en"",""zh-cn"")"),"单文件上传器")</f>
        <v>单文件上传器</v>
      </c>
      <c r="H647" s="15" t="str">
        <f>IFERROR(__xludf.DUMMYFUNCTION("GOOGLETRANSLATE(E647,""en"",""fr"")"),"Téléchargeur de fichiers unique")</f>
        <v>Téléchargeur de fichiers unique</v>
      </c>
      <c r="I647" s="15" t="str">
        <f>IFERROR(__xludf.DUMMYFUNCTION("GOOGLETRANSLATE(E647,""en"",""de"")"),"Einzeldatei -Uploader")</f>
        <v>Einzeldatei -Uploader</v>
      </c>
    </row>
    <row r="648">
      <c r="A648" s="17" t="s">
        <v>1073</v>
      </c>
      <c r="B648" s="17" t="s">
        <v>1098</v>
      </c>
      <c r="C648" s="17" t="s">
        <v>1088</v>
      </c>
      <c r="D648" s="15" t="s">
        <v>12</v>
      </c>
      <c r="E648" s="18" t="s">
        <v>1099</v>
      </c>
      <c r="F648" s="15" t="str">
        <f>IFERROR(__xludf.DUMMYFUNCTION("GOOGLETRANSLATE(E648,""en"", ""ja"")"),"この制御により、ユーザーは1つのファイルのみをアップロードできます。")</f>
        <v>この制御により、ユーザーは1つのファイルのみをアップロードできます。</v>
      </c>
      <c r="G648" s="15" t="str">
        <f>IFERROR(__xludf.DUMMYFUNCTION("GOOGLETRANSLATE(E648,""en"",""zh-cn"")"),"此控件允许用户仅上传一个文件。")</f>
        <v>此控件允许用户仅上传一个文件。</v>
      </c>
      <c r="H648" s="15" t="str">
        <f>IFERROR(__xludf.DUMMYFUNCTION("GOOGLETRANSLATE(E648,""en"",""fr"")"),"Ce contrôle permet à l'utilisateur de télécharger un seul fichier.")</f>
        <v>Ce contrôle permet à l'utilisateur de télécharger un seul fichier.</v>
      </c>
      <c r="I648" s="15" t="str">
        <f>IFERROR(__xludf.DUMMYFUNCTION("GOOGLETRANSLATE(E648,""en"",""de"")"),"Mit dieser Steuerung kann der Benutzer nur eine Datei hochladen.")</f>
        <v>Mit dieser Steuerung kann der Benutzer nur eine Datei hochladen.</v>
      </c>
    </row>
    <row r="649">
      <c r="A649" s="17" t="s">
        <v>1073</v>
      </c>
      <c r="B649" s="17" t="s">
        <v>1100</v>
      </c>
      <c r="C649" s="17" t="s">
        <v>1088</v>
      </c>
      <c r="D649" s="15" t="s">
        <v>12</v>
      </c>
      <c r="E649" s="18" t="s">
        <v>1101</v>
      </c>
      <c r="F649" s="15" t="str">
        <f>IFERROR(__xludf.DUMMYFUNCTION("GOOGLETRANSLATE(E649,""en"", ""ja"")"),"フィールドを復元するレコードが構成されているCSV/zipファイルを参照してください")</f>
        <v>フィールドを復元するレコードが構成されているCSV/zipファイルを参照してください</v>
      </c>
      <c r="G649" s="15" t="str">
        <f>IFERROR(__xludf.DUMMYFUNCTION("GOOGLETRANSLATE(E649,""en"",""zh-cn"")"),"浏览您要还原字段的记录的CSV/ZIP文件")</f>
        <v>浏览您要还原字段的记录的CSV/ZIP文件</v>
      </c>
      <c r="H649" s="15" t="str">
        <f>IFERROR(__xludf.DUMMYFUNCTION("GOOGLETRANSLATE(E649,""en"",""fr"")"),"Parcourez le fichier CSV / Zip où les enregistrements pour lesquels vous souhaitez restaurer les champs sont configurés")</f>
        <v>Parcourez le fichier CSV / Zip où les enregistrements pour lesquels vous souhaitez restaurer les champs sont configurés</v>
      </c>
      <c r="I649" s="15" t="str">
        <f>IFERROR(__xludf.DUMMYFUNCTION("GOOGLETRANSLATE(E649,""en"",""de"")"),"Durchsuchen Sie die CSV/Zip -Datei, in der die Datensätze, für die Sie die Felder wiederherstellen möchten, konfiguriert sind")</f>
        <v>Durchsuchen Sie die CSV/Zip -Datei, in der die Datensätze, für die Sie die Felder wiederherstellen möchten, konfiguriert sind</v>
      </c>
    </row>
    <row r="650">
      <c r="A650" s="17" t="s">
        <v>1073</v>
      </c>
      <c r="B650" s="17" t="s">
        <v>72</v>
      </c>
      <c r="C650" s="17" t="s">
        <v>1088</v>
      </c>
      <c r="D650" s="15" t="s">
        <v>12</v>
      </c>
      <c r="E650" s="18" t="s">
        <v>1102</v>
      </c>
      <c r="F650" s="15" t="str">
        <f>IFERROR(__xludf.DUMMYFUNCTION("GOOGLETRANSLATE(E650,""en"", ""ja"")"),"CSVテンプレートをダウンロードします")</f>
        <v>CSVテンプレートをダウンロードします</v>
      </c>
      <c r="G650" s="15" t="str">
        <f>IFERROR(__xludf.DUMMYFUNCTION("GOOGLETRANSLATE(E650,""en"",""zh-cn"")"),"下载CSV模板")</f>
        <v>下载CSV模板</v>
      </c>
      <c r="H650" s="15" t="str">
        <f>IFERROR(__xludf.DUMMYFUNCTION("GOOGLETRANSLATE(E650,""en"",""fr"")"),"Télécharger le modèle CSV")</f>
        <v>Télécharger le modèle CSV</v>
      </c>
      <c r="I650" s="15" t="str">
        <f>IFERROR(__xludf.DUMMYFUNCTION("GOOGLETRANSLATE(E650,""en"",""de"")"),"Laden Sie die CSV -Vorlage herunter")</f>
        <v>Laden Sie die CSV -Vorlage herunter</v>
      </c>
    </row>
    <row r="651">
      <c r="A651" s="17" t="s">
        <v>1073</v>
      </c>
      <c r="B651" s="17" t="s">
        <v>70</v>
      </c>
      <c r="C651" s="17" t="s">
        <v>1088</v>
      </c>
      <c r="D651" s="15" t="s">
        <v>12</v>
      </c>
      <c r="E651" s="18" t="s">
        <v>71</v>
      </c>
      <c r="F651" s="15" t="str">
        <f>IFERROR(__xludf.DUMMYFUNCTION("GOOGLETRANSLATE(E651,""en"", ""ja"")"),"アップロード")</f>
        <v>アップロード</v>
      </c>
      <c r="G651" s="15" t="str">
        <f>IFERROR(__xludf.DUMMYFUNCTION("GOOGLETRANSLATE(E651,""en"",""zh-cn"")"),"上传")</f>
        <v>上传</v>
      </c>
      <c r="H651" s="15" t="str">
        <f>IFERROR(__xludf.DUMMYFUNCTION("GOOGLETRANSLATE(E651,""en"",""fr"")"),"Télécharger")</f>
        <v>Télécharger</v>
      </c>
      <c r="I651" s="15" t="str">
        <f>IFERROR(__xludf.DUMMYFUNCTION("GOOGLETRANSLATE(E651,""en"",""de"")"),"Hochladen")</f>
        <v>Hochladen</v>
      </c>
    </row>
    <row r="652">
      <c r="A652" s="17" t="s">
        <v>1073</v>
      </c>
      <c r="B652" s="17" t="s">
        <v>1103</v>
      </c>
      <c r="C652" s="17" t="s">
        <v>1088</v>
      </c>
      <c r="D652" s="15" t="s">
        <v>12</v>
      </c>
      <c r="E652" s="18" t="s">
        <v>1104</v>
      </c>
      <c r="F652" s="15" t="str">
        <f>IFERROR(__xludf.DUMMYFUNCTION("GOOGLETRANSLATE(E652,""en"", ""ja"")"),"複数のファイルアップローダー")</f>
        <v>複数のファイルアップローダー</v>
      </c>
      <c r="G652" s="15" t="str">
        <f>IFERROR(__xludf.DUMMYFUNCTION("GOOGLETRANSLATE(E652,""en"",""zh-cn"")"),"多个文件上传器")</f>
        <v>多个文件上传器</v>
      </c>
      <c r="H652" s="15" t="str">
        <f>IFERROR(__xludf.DUMMYFUNCTION("GOOGLETRANSLATE(E652,""en"",""fr"")"),"Multiplit de téléchargeur de fichiers")</f>
        <v>Multiplit de téléchargeur de fichiers</v>
      </c>
      <c r="I652" s="15" t="str">
        <f>IFERROR(__xludf.DUMMYFUNCTION("GOOGLETRANSLATE(E652,""en"",""de"")"),"Mehrfacher Datei -Uploader")</f>
        <v>Mehrfacher Datei -Uploader</v>
      </c>
    </row>
    <row r="653">
      <c r="A653" s="17" t="s">
        <v>1073</v>
      </c>
      <c r="B653" s="17" t="s">
        <v>1105</v>
      </c>
      <c r="C653" s="17" t="s">
        <v>1088</v>
      </c>
      <c r="D653" s="15" t="s">
        <v>12</v>
      </c>
      <c r="E653" s="18" t="s">
        <v>1106</v>
      </c>
      <c r="F653" s="15" t="str">
        <f>IFERROR(__xludf.DUMMYFUNCTION("GOOGLETRANSLATE(E653,""en"", ""ja"")"),"このコントロールは、使いやすさのためにドラッグアンドドロップをサポートする必要があります。どのタイプを事前にアップロードできるかをユーザーに知らせてください。tc")</f>
        <v>このコントロールは、使いやすさのためにドラッグアンドドロップをサポートする必要があります。どのタイプを事前にアップロードできるかをユーザーに知らせてください。tc</v>
      </c>
      <c r="G653" s="15" t="str">
        <f>IFERROR(__xludf.DUMMYFUNCTION("GOOGLETRANSLATE(E653,""en"",""zh-cn"")"),"此控件应支持拖放，以易于使用。最好让用户知道可以提前上传哪些类型。TC")</f>
        <v>此控件应支持拖放，以易于使用。最好让用户知道可以提前上传哪些类型。TC</v>
      </c>
      <c r="H653" s="15" t="str">
        <f>IFERROR(__xludf.DUMMYFUNCTION("GOOGLETRANSLATE(E653,""en"",""fr"")"),"Ce contrôle devrait prendre en charge la traînée et la chute pour faciliter l'utilisation. Mieux vaut laisser l'utilisateur à savoir quels types peuvent être téléchargés à l'avance.tc")</f>
        <v>Ce contrôle devrait prendre en charge la traînée et la chute pour faciliter l'utilisation. Mieux vaut laisser l'utilisateur à savoir quels types peuvent être téléchargés à l'avance.tc</v>
      </c>
      <c r="I653" s="15" t="str">
        <f>IFERROR(__xludf.DUMMYFUNCTION("GOOGLETRANSLATE(E653,""en"",""de"")"),"Diese Steuerung sollte Drag &amp; Drop für einfache Gebrauchsrate unterstützen. Lassen Sie den Benutzer besser wissen, welche Typen im Voraus hochgeladen werden können.tc")</f>
        <v>Diese Steuerung sollte Drag &amp; Drop für einfache Gebrauchsrate unterstützen. Lassen Sie den Benutzer besser wissen, welche Typen im Voraus hochgeladen werden können.tc</v>
      </c>
    </row>
    <row r="654">
      <c r="A654" s="17" t="s">
        <v>1073</v>
      </c>
      <c r="B654" s="17" t="s">
        <v>455</v>
      </c>
      <c r="C654" s="17" t="s">
        <v>1088</v>
      </c>
      <c r="D654" s="15" t="s">
        <v>12</v>
      </c>
      <c r="E654" s="18" t="s">
        <v>1107</v>
      </c>
      <c r="F654" s="15" t="str">
        <f>IFERROR(__xludf.DUMMYFUNCTION("GOOGLETRANSLATE(E654,""en"", ""ja"")"),"ここでファイルをドラッグするか、閲覧します")</f>
        <v>ここでファイルをドラッグするか、閲覧します</v>
      </c>
      <c r="G654" s="15" t="str">
        <f>IFERROR(__xludf.DUMMYFUNCTION("GOOGLETRANSLATE(E654,""en"",""zh-cn"")"),"在这里拖动文件，或浏览")</f>
        <v>在这里拖动文件，或浏览</v>
      </c>
      <c r="H654" s="15" t="str">
        <f>IFERROR(__xludf.DUMMYFUNCTION("GOOGLETRANSLATE(E654,""en"",""fr"")"),"Faites glisser votre fichier ici ou parcourez")</f>
        <v>Faites glisser votre fichier ici ou parcourez</v>
      </c>
      <c r="I654" s="15" t="str">
        <f>IFERROR(__xludf.DUMMYFUNCTION("GOOGLETRANSLATE(E654,""en"",""de"")"),"Ziehen Sie Ihre Datei hier oder stöbern Sie")</f>
        <v>Ziehen Sie Ihre Datei hier oder stöbern Sie</v>
      </c>
    </row>
    <row r="655">
      <c r="A655" s="17" t="s">
        <v>1073</v>
      </c>
      <c r="B655" s="17" t="s">
        <v>1108</v>
      </c>
      <c r="C655" s="17" t="s">
        <v>1088</v>
      </c>
      <c r="D655" s="15" t="s">
        <v>12</v>
      </c>
      <c r="E655" s="18" t="s">
        <v>1109</v>
      </c>
      <c r="F655" s="15" t="str">
        <f>IFERROR(__xludf.DUMMYFUNCTION("GOOGLETRANSLATE(E655,""en"", ""ja"")"),"ロゴをアップロードします")</f>
        <v>ロゴをアップロードします</v>
      </c>
      <c r="G655" s="15" t="str">
        <f>IFERROR(__xludf.DUMMYFUNCTION("GOOGLETRANSLATE(E655,""en"",""zh-cn"")"),"上传徽标")</f>
        <v>上传徽标</v>
      </c>
      <c r="H655" s="15" t="str">
        <f>IFERROR(__xludf.DUMMYFUNCTION("GOOGLETRANSLATE(E655,""en"",""fr"")"),"Télécharger le logo")</f>
        <v>Télécharger le logo</v>
      </c>
      <c r="I655" s="15" t="str">
        <f>IFERROR(__xludf.DUMMYFUNCTION("GOOGLETRANSLATE(E655,""en"",""de"")"),"Laden Sie Logo hoch")</f>
        <v>Laden Sie Logo hoch</v>
      </c>
    </row>
    <row r="656">
      <c r="A656" s="17" t="s">
        <v>1073</v>
      </c>
      <c r="B656" s="17" t="s">
        <v>1110</v>
      </c>
      <c r="C656" s="17" t="s">
        <v>1088</v>
      </c>
      <c r="D656" s="15" t="s">
        <v>12</v>
      </c>
      <c r="E656" s="18" t="s">
        <v>1111</v>
      </c>
      <c r="F656" s="15" t="str">
        <f>IFERROR(__xludf.DUMMYFUNCTION("GOOGLETRANSLATE(E656,""en"", ""ja"")"),"JPG、GIFまたはPNG。最大サイズは{{size}}です。推奨される寸法は{{dimension}}です。")</f>
        <v>JPG、GIFまたはPNG。最大サイズは{{size}}です。推奨される寸法は{{dimension}}です。</v>
      </c>
      <c r="G656" s="15" t="str">
        <f>IFERROR(__xludf.DUMMYFUNCTION("GOOGLETRANSLATE(E656,""en"",""zh-cn"")"),"JPG，GIF或PNG。最大大小为{{size}}。推荐的维度为{{dimension}}。")</f>
        <v>JPG，GIF或PNG。最大大小为{{size}}。推荐的维度为{{dimension}}。</v>
      </c>
      <c r="H656" s="15" t="str">
        <f>IFERROR(__xludf.DUMMYFUNCTION("GOOGLETRANSLATE(E656,""en"",""fr"")"),"JPG, GIF ou PNG. La taille maximale est {{size}}. La dimension recommandée est {{dimension}}.")</f>
        <v>JPG, GIF ou PNG. La taille maximale est {{size}}. La dimension recommandée est {{dimension}}.</v>
      </c>
      <c r="I656" s="15" t="str">
        <f>IFERROR(__xludf.DUMMYFUNCTION("GOOGLETRANSLATE(E656,""en"",""de"")"),"JPG, GIF oder PNG. Die maximale Größe ist {{Größe}}. Empfohlene Dimension lautet {{Dimension}}.")</f>
        <v>JPG, GIF oder PNG. Die maximale Größe ist {{Größe}}. Empfohlene Dimension lautet {{Dimension}}.</v>
      </c>
    </row>
    <row r="657">
      <c r="A657" s="17" t="s">
        <v>1073</v>
      </c>
      <c r="B657" s="17" t="s">
        <v>120</v>
      </c>
      <c r="C657" s="17" t="s">
        <v>1088</v>
      </c>
      <c r="D657" s="15" t="s">
        <v>12</v>
      </c>
      <c r="E657" s="18" t="s">
        <v>1112</v>
      </c>
      <c r="F657" s="15" t="str">
        <f>IFERROR(__xludf.DUMMYFUNCTION("GOOGLETRANSLATE(E657,""en"", ""ja"")"),"アバターをアップロードします")</f>
        <v>アバターをアップロードします</v>
      </c>
      <c r="G657" s="15" t="str">
        <f>IFERROR(__xludf.DUMMYFUNCTION("GOOGLETRANSLATE(E657,""en"",""zh-cn"")"),"上传化身")</f>
        <v>上传化身</v>
      </c>
      <c r="H657" s="15" t="str">
        <f>IFERROR(__xludf.DUMMYFUNCTION("GOOGLETRANSLATE(E657,""en"",""fr"")"),"Télécharger Avatar")</f>
        <v>Télécharger Avatar</v>
      </c>
      <c r="I657" s="15" t="str">
        <f>IFERROR(__xludf.DUMMYFUNCTION("GOOGLETRANSLATE(E657,""en"",""de"")"),"Laden Sie Avatar hoch")</f>
        <v>Laden Sie Avatar hoch</v>
      </c>
    </row>
    <row r="658">
      <c r="A658" s="17" t="s">
        <v>1073</v>
      </c>
      <c r="B658" s="17" t="s">
        <v>455</v>
      </c>
      <c r="C658" s="17" t="s">
        <v>1088</v>
      </c>
      <c r="D658" s="15" t="s">
        <v>12</v>
      </c>
      <c r="E658" s="18" t="s">
        <v>1107</v>
      </c>
      <c r="F658" s="15" t="str">
        <f>IFERROR(__xludf.DUMMYFUNCTION("GOOGLETRANSLATE(E658,""en"", ""ja"")"),"ここでファイルをドラッグするか、閲覧します")</f>
        <v>ここでファイルをドラッグするか、閲覧します</v>
      </c>
      <c r="G658" s="15" t="str">
        <f>IFERROR(__xludf.DUMMYFUNCTION("GOOGLETRANSLATE(E658,""en"",""zh-cn"")"),"在这里拖动文件，或浏览")</f>
        <v>在这里拖动文件，或浏览</v>
      </c>
      <c r="H658" s="15" t="str">
        <f>IFERROR(__xludf.DUMMYFUNCTION("GOOGLETRANSLATE(E658,""en"",""fr"")"),"Faites glisser votre fichier ici ou parcourez")</f>
        <v>Faites glisser votre fichier ici ou parcourez</v>
      </c>
      <c r="I658" s="15" t="str">
        <f>IFERROR(__xludf.DUMMYFUNCTION("GOOGLETRANSLATE(E658,""en"",""de"")"),"Ziehen Sie Ihre Datei hier oder stöbern Sie")</f>
        <v>Ziehen Sie Ihre Datei hier oder stöbern Sie</v>
      </c>
    </row>
    <row r="659">
      <c r="A659" s="17" t="s">
        <v>1073</v>
      </c>
      <c r="B659" s="17" t="s">
        <v>1110</v>
      </c>
      <c r="C659" s="17" t="s">
        <v>1088</v>
      </c>
      <c r="D659" s="15" t="s">
        <v>12</v>
      </c>
      <c r="E659" s="18" t="s">
        <v>1113</v>
      </c>
      <c r="F659" s="15" t="str">
        <f>IFERROR(__xludf.DUMMYFUNCTION("GOOGLETRANSLATE(E659,""en"", ""ja"")"),"最大10 MB（.doc、.docx、.js、.cs、.css）まで")</f>
        <v>最大10 MB（.doc、.docx、.js、.cs、.css）まで</v>
      </c>
      <c r="G659" s="15" t="str">
        <f>IFERROR(__xludf.DUMMYFUNCTION("GOOGLETRANSLATE(E659,""en"",""zh-cn"")"),"最多10 Mb（.doc，.docx，.js，.cs，.css）")</f>
        <v>最多10 Mb（.doc，.docx，.js，.cs，.css）</v>
      </c>
      <c r="H659" s="15" t="str">
        <f>IFERROR(__xludf.DUMMYFUNCTION("GOOGLETRANSLATE(E659,""en"",""fr"")"),"Jusqu'à 10 Mo (.doc, .docx, .js, .cs, .css)")</f>
        <v>Jusqu'à 10 Mo (.doc, .docx, .js, .cs, .css)</v>
      </c>
      <c r="I659" s="15" t="str">
        <f>IFERROR(__xludf.DUMMYFUNCTION("GOOGLETRANSLATE(E659,""en"",""de"")"),"Bis zu 10 MB (.doc, .docx, .js, .cs, .css)")</f>
        <v>Bis zu 10 MB (.doc, .docx, .js, .cs, .css)</v>
      </c>
    </row>
    <row r="660">
      <c r="A660" s="11"/>
      <c r="B660" s="11"/>
      <c r="C660" s="11"/>
      <c r="D660" s="11"/>
      <c r="E660" s="11"/>
      <c r="F660" s="11"/>
      <c r="G660" s="11"/>
      <c r="H660" s="11"/>
      <c r="I660" s="11"/>
    </row>
    <row r="661">
      <c r="A661" s="11"/>
      <c r="B661" s="11"/>
      <c r="C661" s="11"/>
      <c r="D661" s="11"/>
      <c r="E661" s="11"/>
      <c r="F661" s="11"/>
      <c r="G661" s="11"/>
      <c r="H661" s="11"/>
      <c r="I661" s="11"/>
    </row>
    <row r="662">
      <c r="A662" s="11"/>
      <c r="B662" s="11"/>
      <c r="C662" s="11"/>
      <c r="D662" s="11"/>
      <c r="E662" s="11"/>
      <c r="F662" s="11"/>
      <c r="G662" s="11"/>
      <c r="H662" s="11"/>
      <c r="I662" s="11"/>
    </row>
    <row r="663">
      <c r="A663" s="11"/>
      <c r="B663" s="11"/>
      <c r="C663" s="11"/>
      <c r="D663" s="11"/>
      <c r="E663" s="11"/>
      <c r="F663" s="11"/>
      <c r="G663" s="11"/>
      <c r="H663" s="11"/>
      <c r="I663" s="11"/>
    </row>
    <row r="664">
      <c r="A664" s="11"/>
      <c r="B664" s="11"/>
      <c r="C664" s="11"/>
      <c r="D664" s="11"/>
      <c r="E664" s="11"/>
      <c r="F664" s="11"/>
      <c r="G664" s="11"/>
      <c r="H664" s="11"/>
      <c r="I664" s="11"/>
    </row>
    <row r="665">
      <c r="A665" s="11"/>
      <c r="B665" s="11"/>
      <c r="C665" s="11"/>
      <c r="D665" s="11"/>
      <c r="E665" s="11"/>
      <c r="F665" s="11"/>
      <c r="G665" s="11"/>
      <c r="H665" s="11"/>
      <c r="I665" s="11"/>
    </row>
    <row r="666">
      <c r="A666" s="11"/>
      <c r="B666" s="11"/>
      <c r="C666" s="11"/>
      <c r="D666" s="11"/>
      <c r="E666" s="11"/>
      <c r="F666" s="11"/>
      <c r="G666" s="11"/>
      <c r="H666" s="11"/>
      <c r="I666" s="11"/>
    </row>
    <row r="667">
      <c r="A667" s="11"/>
      <c r="B667" s="11"/>
      <c r="C667" s="11"/>
      <c r="D667" s="11"/>
      <c r="E667" s="11"/>
      <c r="F667" s="11"/>
      <c r="G667" s="11"/>
      <c r="H667" s="11"/>
      <c r="I667" s="11"/>
    </row>
    <row r="668">
      <c r="A668" s="11"/>
      <c r="B668" s="11"/>
      <c r="C668" s="11"/>
      <c r="D668" s="11"/>
      <c r="E668" s="11"/>
      <c r="F668" s="11"/>
      <c r="G668" s="11"/>
      <c r="H668" s="11"/>
      <c r="I668" s="11"/>
    </row>
    <row r="669">
      <c r="A669" s="11"/>
      <c r="B669" s="11"/>
      <c r="C669" s="11"/>
      <c r="D669" s="11"/>
      <c r="E669" s="11"/>
      <c r="F669" s="11"/>
      <c r="G669" s="11"/>
      <c r="H669" s="11"/>
      <c r="I669" s="11"/>
    </row>
    <row r="670">
      <c r="A670" s="11"/>
      <c r="B670" s="11"/>
      <c r="C670" s="11"/>
      <c r="D670" s="11"/>
      <c r="E670" s="11"/>
      <c r="F670" s="11"/>
      <c r="G670" s="11"/>
      <c r="H670" s="11"/>
      <c r="I670" s="11"/>
    </row>
    <row r="671">
      <c r="A671" s="11"/>
      <c r="B671" s="11"/>
      <c r="C671" s="11"/>
      <c r="D671" s="11"/>
      <c r="E671" s="11"/>
      <c r="F671" s="11"/>
      <c r="G671" s="11"/>
      <c r="H671" s="11"/>
      <c r="I671" s="11"/>
    </row>
    <row r="672">
      <c r="A672" s="11"/>
      <c r="B672" s="11"/>
      <c r="C672" s="11"/>
      <c r="D672" s="11"/>
      <c r="E672" s="11"/>
      <c r="F672" s="11"/>
      <c r="G672" s="11"/>
      <c r="H672" s="11"/>
      <c r="I672" s="11"/>
    </row>
    <row r="673">
      <c r="A673" s="11"/>
      <c r="B673" s="11"/>
      <c r="C673" s="11"/>
      <c r="D673" s="11"/>
      <c r="E673" s="11"/>
      <c r="F673" s="11"/>
      <c r="G673" s="11"/>
      <c r="H673" s="11"/>
      <c r="I673" s="11"/>
    </row>
    <row r="674">
      <c r="A674" s="11"/>
      <c r="B674" s="11"/>
      <c r="C674" s="11"/>
      <c r="D674" s="11"/>
      <c r="E674" s="11"/>
      <c r="F674" s="11"/>
      <c r="G674" s="11"/>
      <c r="H674" s="11"/>
      <c r="I674" s="11"/>
    </row>
    <row r="675">
      <c r="A675" s="11"/>
      <c r="B675" s="11"/>
      <c r="C675" s="11"/>
      <c r="D675" s="11"/>
      <c r="E675" s="11"/>
      <c r="F675" s="11"/>
      <c r="G675" s="11"/>
      <c r="H675" s="11"/>
      <c r="I675" s="11"/>
    </row>
    <row r="676">
      <c r="A676" s="11"/>
      <c r="B676" s="11"/>
      <c r="C676" s="11"/>
      <c r="D676" s="11"/>
      <c r="E676" s="11"/>
      <c r="F676" s="11"/>
      <c r="G676" s="11"/>
      <c r="H676" s="11"/>
      <c r="I676" s="11"/>
    </row>
    <row r="677">
      <c r="A677" s="11"/>
      <c r="B677" s="11"/>
      <c r="C677" s="11"/>
      <c r="D677" s="11"/>
      <c r="E677" s="11"/>
      <c r="F677" s="11"/>
      <c r="G677" s="11"/>
      <c r="H677" s="11"/>
      <c r="I677" s="11"/>
    </row>
    <row r="678">
      <c r="A678" s="11"/>
      <c r="B678" s="11"/>
      <c r="C678" s="11"/>
      <c r="D678" s="11"/>
      <c r="E678" s="11"/>
      <c r="F678" s="11"/>
      <c r="G678" s="11"/>
      <c r="H678" s="11"/>
      <c r="I678" s="11"/>
    </row>
    <row r="679">
      <c r="A679" s="11"/>
      <c r="B679" s="11"/>
      <c r="C679" s="11"/>
      <c r="D679" s="11"/>
      <c r="E679" s="11"/>
      <c r="F679" s="11"/>
      <c r="G679" s="11"/>
      <c r="H679" s="11"/>
      <c r="I679" s="11"/>
    </row>
    <row r="680">
      <c r="A680" s="11"/>
      <c r="B680" s="11"/>
      <c r="C680" s="11"/>
      <c r="D680" s="11"/>
      <c r="E680" s="11"/>
      <c r="F680" s="11"/>
      <c r="G680" s="11"/>
      <c r="H680" s="11"/>
      <c r="I680" s="11"/>
    </row>
    <row r="681">
      <c r="A681" s="11"/>
      <c r="B681" s="11"/>
      <c r="C681" s="11"/>
      <c r="D681" s="11"/>
      <c r="E681" s="11"/>
      <c r="F681" s="11"/>
      <c r="G681" s="11"/>
      <c r="H681" s="11"/>
      <c r="I681" s="11"/>
    </row>
    <row r="682">
      <c r="A682" s="11"/>
      <c r="B682" s="11"/>
      <c r="C682" s="11"/>
      <c r="D682" s="11"/>
      <c r="E682" s="11"/>
      <c r="F682" s="11"/>
      <c r="G682" s="11"/>
      <c r="H682" s="11"/>
      <c r="I682" s="11"/>
    </row>
    <row r="683">
      <c r="A683" s="11"/>
      <c r="B683" s="11"/>
      <c r="C683" s="11"/>
      <c r="D683" s="11"/>
      <c r="E683" s="11"/>
      <c r="F683" s="11"/>
      <c r="G683" s="11"/>
      <c r="H683" s="11"/>
      <c r="I683" s="11"/>
    </row>
    <row r="684">
      <c r="A684" s="11"/>
      <c r="B684" s="11"/>
      <c r="C684" s="11"/>
      <c r="D684" s="11"/>
      <c r="E684" s="11"/>
      <c r="F684" s="11"/>
      <c r="G684" s="11"/>
      <c r="H684" s="11"/>
      <c r="I684" s="11"/>
    </row>
    <row r="685">
      <c r="A685" s="11"/>
      <c r="B685" s="11"/>
      <c r="C685" s="11"/>
      <c r="D685" s="11"/>
      <c r="E685" s="11"/>
      <c r="F685" s="11"/>
      <c r="G685" s="11"/>
      <c r="H685" s="11"/>
      <c r="I685" s="11"/>
    </row>
    <row r="686">
      <c r="A686" s="11"/>
      <c r="B686" s="11"/>
      <c r="C686" s="11"/>
      <c r="D686" s="11"/>
      <c r="E686" s="11"/>
      <c r="F686" s="11"/>
      <c r="G686" s="11"/>
      <c r="H686" s="11"/>
      <c r="I686" s="11"/>
    </row>
    <row r="687">
      <c r="A687" s="11"/>
      <c r="B687" s="11"/>
      <c r="C687" s="11"/>
      <c r="D687" s="11"/>
      <c r="E687" s="11"/>
      <c r="F687" s="11"/>
      <c r="G687" s="11"/>
      <c r="H687" s="11"/>
      <c r="I687" s="11"/>
    </row>
    <row r="688">
      <c r="A688" s="11"/>
      <c r="B688" s="11"/>
      <c r="C688" s="11"/>
      <c r="D688" s="11"/>
      <c r="E688" s="11"/>
      <c r="F688" s="11"/>
      <c r="G688" s="11"/>
      <c r="H688" s="11"/>
      <c r="I688" s="11"/>
    </row>
    <row r="689">
      <c r="A689" s="11"/>
      <c r="B689" s="11"/>
      <c r="C689" s="11"/>
      <c r="D689" s="11"/>
      <c r="E689" s="11"/>
      <c r="F689" s="11"/>
      <c r="G689" s="11"/>
      <c r="H689" s="11"/>
      <c r="I689" s="11"/>
    </row>
    <row r="690">
      <c r="A690" s="11"/>
      <c r="B690" s="11"/>
      <c r="C690" s="11"/>
      <c r="D690" s="11"/>
      <c r="E690" s="11"/>
      <c r="F690" s="11"/>
      <c r="G690" s="11"/>
      <c r="H690" s="11"/>
      <c r="I690" s="11"/>
    </row>
    <row r="691">
      <c r="A691" s="11"/>
      <c r="B691" s="11"/>
      <c r="C691" s="11"/>
      <c r="D691" s="11"/>
      <c r="E691" s="11"/>
      <c r="F691" s="11"/>
      <c r="G691" s="11"/>
      <c r="H691" s="11"/>
      <c r="I691" s="11"/>
    </row>
    <row r="692">
      <c r="A692" s="11"/>
      <c r="B692" s="11"/>
      <c r="C692" s="11"/>
      <c r="D692" s="11"/>
      <c r="E692" s="11"/>
      <c r="F692" s="11"/>
      <c r="G692" s="11"/>
      <c r="H692" s="11"/>
      <c r="I692" s="11"/>
    </row>
    <row r="693">
      <c r="A693" s="11"/>
      <c r="B693" s="11"/>
      <c r="C693" s="11"/>
      <c r="D693" s="11"/>
      <c r="E693" s="11"/>
      <c r="F693" s="11"/>
      <c r="G693" s="11"/>
      <c r="H693" s="11"/>
      <c r="I693" s="11"/>
    </row>
    <row r="694">
      <c r="A694" s="11"/>
      <c r="B694" s="11"/>
      <c r="C694" s="11"/>
      <c r="D694" s="11"/>
      <c r="E694" s="11"/>
      <c r="F694" s="11"/>
      <c r="G694" s="11"/>
      <c r="H694" s="11"/>
      <c r="I694" s="11"/>
    </row>
    <row r="695">
      <c r="A695" s="11"/>
      <c r="B695" s="11"/>
      <c r="C695" s="11"/>
      <c r="D695" s="11"/>
      <c r="E695" s="11"/>
      <c r="F695" s="11"/>
      <c r="G695" s="11"/>
      <c r="H695" s="11"/>
      <c r="I695" s="11"/>
    </row>
    <row r="696">
      <c r="A696" s="11"/>
      <c r="B696" s="11"/>
      <c r="C696" s="11"/>
      <c r="D696" s="11"/>
      <c r="E696" s="11"/>
      <c r="F696" s="11"/>
      <c r="G696" s="11"/>
      <c r="H696" s="11"/>
      <c r="I696" s="11"/>
    </row>
    <row r="697">
      <c r="A697" s="11"/>
      <c r="B697" s="11"/>
      <c r="C697" s="11"/>
      <c r="D697" s="11"/>
      <c r="E697" s="11"/>
      <c r="F697" s="11"/>
      <c r="G697" s="11"/>
      <c r="H697" s="11"/>
      <c r="I697" s="11"/>
    </row>
    <row r="698">
      <c r="A698" s="11"/>
      <c r="B698" s="11"/>
      <c r="C698" s="11"/>
      <c r="D698" s="11"/>
      <c r="E698" s="11"/>
      <c r="F698" s="11"/>
      <c r="G698" s="11"/>
      <c r="H698" s="11"/>
      <c r="I698" s="11"/>
    </row>
    <row r="699">
      <c r="A699" s="11"/>
      <c r="B699" s="11"/>
      <c r="C699" s="11"/>
      <c r="D699" s="11"/>
      <c r="E699" s="11"/>
      <c r="F699" s="11"/>
      <c r="G699" s="11"/>
      <c r="H699" s="11"/>
      <c r="I699" s="11"/>
    </row>
    <row r="700">
      <c r="A700" s="11"/>
      <c r="B700" s="11"/>
      <c r="C700" s="11"/>
      <c r="D700" s="11"/>
      <c r="E700" s="11"/>
      <c r="F700" s="11"/>
      <c r="G700" s="11"/>
      <c r="H700" s="11"/>
      <c r="I700" s="11"/>
    </row>
    <row r="701">
      <c r="A701" s="11"/>
      <c r="B701" s="11"/>
      <c r="C701" s="11"/>
      <c r="D701" s="11"/>
      <c r="E701" s="11"/>
      <c r="F701" s="11"/>
      <c r="G701" s="11"/>
      <c r="H701" s="11"/>
      <c r="I701" s="11"/>
    </row>
    <row r="702">
      <c r="A702" s="11"/>
      <c r="B702" s="11"/>
      <c r="C702" s="11"/>
      <c r="D702" s="11"/>
      <c r="E702" s="11"/>
      <c r="F702" s="11"/>
      <c r="G702" s="11"/>
      <c r="H702" s="11"/>
      <c r="I702" s="11"/>
    </row>
    <row r="703">
      <c r="A703" s="11"/>
      <c r="B703" s="11"/>
      <c r="C703" s="11"/>
      <c r="D703" s="11"/>
      <c r="E703" s="11"/>
      <c r="F703" s="11"/>
      <c r="G703" s="11"/>
      <c r="H703" s="11"/>
      <c r="I703" s="11"/>
    </row>
    <row r="704">
      <c r="A704" s="11"/>
      <c r="B704" s="11"/>
      <c r="C704" s="11"/>
      <c r="D704" s="11"/>
      <c r="E704" s="11"/>
      <c r="F704" s="11"/>
      <c r="G704" s="11"/>
      <c r="H704" s="11"/>
      <c r="I704" s="11"/>
    </row>
    <row r="705">
      <c r="A705" s="11"/>
      <c r="B705" s="11"/>
      <c r="C705" s="11"/>
      <c r="D705" s="11"/>
      <c r="E705" s="11"/>
      <c r="F705" s="11"/>
      <c r="G705" s="11"/>
      <c r="H705" s="11"/>
      <c r="I705" s="11"/>
    </row>
    <row r="706">
      <c r="A706" s="11"/>
      <c r="B706" s="11"/>
      <c r="C706" s="11"/>
      <c r="D706" s="11"/>
      <c r="E706" s="11"/>
      <c r="F706" s="11"/>
      <c r="G706" s="11"/>
      <c r="H706" s="11"/>
      <c r="I706" s="11"/>
    </row>
    <row r="707">
      <c r="A707" s="11"/>
      <c r="B707" s="11"/>
      <c r="C707" s="11"/>
      <c r="D707" s="11"/>
      <c r="E707" s="11"/>
      <c r="F707" s="11"/>
      <c r="G707" s="11"/>
      <c r="H707" s="11"/>
      <c r="I707" s="11"/>
    </row>
    <row r="708">
      <c r="A708" s="11"/>
      <c r="B708" s="11"/>
      <c r="C708" s="11"/>
      <c r="D708" s="11"/>
      <c r="E708" s="11"/>
      <c r="F708" s="11"/>
      <c r="G708" s="11"/>
      <c r="H708" s="11"/>
      <c r="I708" s="11"/>
    </row>
    <row r="709">
      <c r="A709" s="11"/>
      <c r="B709" s="11"/>
      <c r="C709" s="11"/>
      <c r="D709" s="11"/>
      <c r="E709" s="11"/>
      <c r="F709" s="11"/>
      <c r="G709" s="11"/>
      <c r="H709" s="11"/>
      <c r="I709" s="11"/>
    </row>
    <row r="710">
      <c r="A710" s="11"/>
      <c r="B710" s="11"/>
      <c r="C710" s="11"/>
      <c r="D710" s="11"/>
      <c r="E710" s="11"/>
      <c r="F710" s="11"/>
      <c r="G710" s="11"/>
      <c r="H710" s="11"/>
      <c r="I710" s="11"/>
    </row>
    <row r="711">
      <c r="A711" s="11"/>
      <c r="B711" s="11"/>
      <c r="C711" s="11"/>
      <c r="D711" s="11"/>
      <c r="E711" s="11"/>
      <c r="F711" s="11"/>
      <c r="G711" s="11"/>
      <c r="H711" s="11"/>
      <c r="I711" s="11"/>
    </row>
    <row r="712">
      <c r="A712" s="11"/>
      <c r="B712" s="11"/>
      <c r="C712" s="11"/>
      <c r="D712" s="11"/>
      <c r="E712" s="11"/>
      <c r="F712" s="11"/>
      <c r="G712" s="11"/>
      <c r="H712" s="11"/>
      <c r="I712" s="11"/>
    </row>
    <row r="713">
      <c r="A713" s="11"/>
      <c r="B713" s="11"/>
      <c r="C713" s="11"/>
      <c r="D713" s="11"/>
      <c r="E713" s="11"/>
      <c r="F713" s="11"/>
      <c r="G713" s="11"/>
      <c r="H713" s="11"/>
      <c r="I713" s="11"/>
    </row>
    <row r="714">
      <c r="A714" s="11"/>
      <c r="B714" s="11"/>
      <c r="C714" s="11"/>
      <c r="D714" s="11"/>
      <c r="E714" s="11"/>
      <c r="F714" s="11"/>
      <c r="G714" s="11"/>
      <c r="H714" s="11"/>
      <c r="I714" s="11"/>
    </row>
    <row r="715">
      <c r="A715" s="11"/>
      <c r="B715" s="11"/>
      <c r="C715" s="11"/>
      <c r="D715" s="11"/>
      <c r="E715" s="11"/>
      <c r="F715" s="11"/>
      <c r="G715" s="11"/>
      <c r="H715" s="11"/>
      <c r="I715" s="11"/>
    </row>
    <row r="716">
      <c r="A716" s="11"/>
      <c r="B716" s="11"/>
      <c r="C716" s="11"/>
      <c r="D716" s="11"/>
      <c r="E716" s="11"/>
      <c r="F716" s="11"/>
      <c r="G716" s="11"/>
      <c r="H716" s="11"/>
      <c r="I716" s="11"/>
    </row>
    <row r="717">
      <c r="A717" s="11"/>
      <c r="B717" s="11"/>
      <c r="C717" s="11"/>
      <c r="D717" s="11"/>
      <c r="E717" s="11"/>
      <c r="F717" s="11"/>
      <c r="G717" s="11"/>
      <c r="H717" s="11"/>
      <c r="I717" s="11"/>
    </row>
    <row r="718">
      <c r="A718" s="11"/>
      <c r="B718" s="11"/>
      <c r="C718" s="11"/>
      <c r="D718" s="11"/>
      <c r="E718" s="11"/>
      <c r="F718" s="11"/>
      <c r="G718" s="11"/>
      <c r="H718" s="11"/>
      <c r="I718" s="11"/>
    </row>
    <row r="719">
      <c r="A719" s="11"/>
      <c r="B719" s="11"/>
      <c r="C719" s="11"/>
      <c r="D719" s="11"/>
      <c r="E719" s="11"/>
      <c r="F719" s="11"/>
      <c r="G719" s="11"/>
      <c r="H719" s="11"/>
      <c r="I719" s="11"/>
    </row>
    <row r="720">
      <c r="A720" s="11"/>
      <c r="B720" s="11"/>
      <c r="C720" s="11"/>
      <c r="D720" s="11"/>
      <c r="E720" s="11"/>
      <c r="F720" s="11"/>
      <c r="G720" s="11"/>
      <c r="H720" s="11"/>
      <c r="I720" s="11"/>
    </row>
    <row r="721">
      <c r="A721" s="11"/>
      <c r="B721" s="11"/>
      <c r="C721" s="11"/>
      <c r="D721" s="11"/>
      <c r="E721" s="11"/>
      <c r="F721" s="11"/>
      <c r="G721" s="11"/>
      <c r="H721" s="11"/>
      <c r="I721" s="11"/>
    </row>
    <row r="722">
      <c r="A722" s="11"/>
      <c r="B722" s="11"/>
      <c r="C722" s="11"/>
      <c r="D722" s="11"/>
      <c r="E722" s="11"/>
      <c r="F722" s="11"/>
      <c r="G722" s="11"/>
      <c r="H722" s="11"/>
      <c r="I722" s="11"/>
    </row>
    <row r="723">
      <c r="A723" s="11"/>
      <c r="B723" s="11"/>
      <c r="C723" s="11"/>
      <c r="D723" s="11"/>
      <c r="E723" s="11"/>
      <c r="F723" s="11"/>
      <c r="G723" s="11"/>
      <c r="H723" s="11"/>
      <c r="I723" s="11"/>
    </row>
    <row r="724">
      <c r="A724" s="11"/>
      <c r="B724" s="11"/>
      <c r="C724" s="11"/>
      <c r="D724" s="11"/>
      <c r="E724" s="11"/>
      <c r="F724" s="11"/>
      <c r="G724" s="11"/>
      <c r="H724" s="11"/>
      <c r="I724" s="11"/>
    </row>
    <row r="725">
      <c r="A725" s="11"/>
      <c r="B725" s="11"/>
      <c r="C725" s="11"/>
      <c r="D725" s="11"/>
      <c r="E725" s="11"/>
      <c r="F725" s="11"/>
      <c r="G725" s="11"/>
      <c r="H725" s="11"/>
      <c r="I725" s="11"/>
    </row>
    <row r="726">
      <c r="A726" s="11"/>
      <c r="B726" s="11"/>
      <c r="C726" s="11"/>
      <c r="D726" s="11"/>
      <c r="E726" s="11"/>
      <c r="F726" s="11"/>
      <c r="G726" s="11"/>
      <c r="H726" s="11"/>
      <c r="I726" s="11"/>
    </row>
    <row r="727">
      <c r="A727" s="11"/>
      <c r="B727" s="11"/>
      <c r="C727" s="11"/>
      <c r="D727" s="11"/>
      <c r="E727" s="11"/>
      <c r="F727" s="11"/>
      <c r="G727" s="11"/>
      <c r="H727" s="11"/>
      <c r="I727" s="11"/>
    </row>
    <row r="728">
      <c r="A728" s="11"/>
      <c r="B728" s="11"/>
      <c r="C728" s="11"/>
      <c r="D728" s="11"/>
      <c r="E728" s="11"/>
      <c r="F728" s="11"/>
      <c r="G728" s="11"/>
      <c r="H728" s="11"/>
      <c r="I728" s="11"/>
    </row>
    <row r="729">
      <c r="A729" s="11"/>
      <c r="B729" s="11"/>
      <c r="C729" s="11"/>
      <c r="D729" s="11"/>
      <c r="E729" s="11"/>
      <c r="F729" s="11"/>
      <c r="G729" s="11"/>
      <c r="H729" s="11"/>
      <c r="I729" s="11"/>
    </row>
    <row r="730">
      <c r="A730" s="11"/>
      <c r="B730" s="11"/>
      <c r="C730" s="11"/>
      <c r="D730" s="11"/>
      <c r="E730" s="11"/>
      <c r="F730" s="11"/>
      <c r="G730" s="11"/>
      <c r="H730" s="11"/>
      <c r="I730" s="11"/>
    </row>
    <row r="731">
      <c r="A731" s="11"/>
      <c r="B731" s="11"/>
      <c r="C731" s="11"/>
      <c r="D731" s="11"/>
      <c r="E731" s="11"/>
      <c r="F731" s="11"/>
      <c r="G731" s="11"/>
      <c r="H731" s="11"/>
      <c r="I731" s="11"/>
    </row>
    <row r="732">
      <c r="A732" s="11"/>
      <c r="B732" s="11"/>
      <c r="C732" s="11"/>
      <c r="D732" s="11"/>
      <c r="E732" s="11"/>
      <c r="F732" s="11"/>
      <c r="G732" s="11"/>
      <c r="H732" s="11"/>
      <c r="I732" s="11"/>
    </row>
    <row r="733">
      <c r="A733" s="11"/>
      <c r="B733" s="11"/>
      <c r="C733" s="11"/>
      <c r="D733" s="11"/>
      <c r="E733" s="11"/>
      <c r="F733" s="11"/>
      <c r="G733" s="11"/>
      <c r="H733" s="11"/>
      <c r="I733" s="11"/>
    </row>
    <row r="734">
      <c r="A734" s="11"/>
      <c r="B734" s="11"/>
      <c r="C734" s="11"/>
      <c r="D734" s="11"/>
      <c r="E734" s="11"/>
      <c r="F734" s="11"/>
      <c r="G734" s="11"/>
      <c r="H734" s="11"/>
      <c r="I734" s="11"/>
    </row>
    <row r="735">
      <c r="A735" s="11"/>
      <c r="B735" s="11"/>
      <c r="C735" s="11"/>
      <c r="D735" s="11"/>
      <c r="E735" s="11"/>
      <c r="F735" s="11"/>
      <c r="G735" s="11"/>
      <c r="H735" s="11"/>
      <c r="I735" s="11"/>
    </row>
    <row r="736">
      <c r="A736" s="11"/>
      <c r="B736" s="11"/>
      <c r="C736" s="11"/>
      <c r="D736" s="11"/>
      <c r="E736" s="11"/>
      <c r="F736" s="11"/>
      <c r="G736" s="11"/>
      <c r="H736" s="11"/>
      <c r="I736" s="11"/>
    </row>
    <row r="737">
      <c r="A737" s="11"/>
      <c r="B737" s="11"/>
      <c r="C737" s="11"/>
      <c r="D737" s="11"/>
      <c r="E737" s="11"/>
      <c r="F737" s="11"/>
      <c r="G737" s="11"/>
      <c r="H737" s="11"/>
      <c r="I737" s="11"/>
    </row>
    <row r="738">
      <c r="A738" s="11"/>
      <c r="B738" s="11"/>
      <c r="C738" s="11"/>
      <c r="D738" s="11"/>
      <c r="E738" s="11"/>
      <c r="F738" s="11"/>
      <c r="G738" s="11"/>
      <c r="H738" s="11"/>
      <c r="I738" s="11"/>
    </row>
    <row r="739">
      <c r="A739" s="11"/>
      <c r="B739" s="11"/>
      <c r="C739" s="11"/>
      <c r="D739" s="11"/>
      <c r="E739" s="11"/>
      <c r="F739" s="11"/>
      <c r="G739" s="11"/>
      <c r="H739" s="11"/>
      <c r="I739" s="11"/>
    </row>
    <row r="740">
      <c r="A740" s="11"/>
      <c r="B740" s="11"/>
      <c r="C740" s="11"/>
      <c r="D740" s="11"/>
      <c r="E740" s="11"/>
      <c r="F740" s="11"/>
      <c r="G740" s="11"/>
      <c r="H740" s="11"/>
      <c r="I740" s="11"/>
    </row>
    <row r="741">
      <c r="A741" s="11"/>
      <c r="B741" s="11"/>
      <c r="C741" s="11"/>
      <c r="D741" s="11"/>
      <c r="E741" s="11"/>
      <c r="F741" s="11"/>
      <c r="G741" s="11"/>
      <c r="H741" s="11"/>
      <c r="I741" s="11"/>
    </row>
    <row r="742">
      <c r="A742" s="11"/>
      <c r="B742" s="11"/>
      <c r="C742" s="11"/>
      <c r="D742" s="11"/>
      <c r="E742" s="11"/>
      <c r="F742" s="11"/>
      <c r="G742" s="11"/>
      <c r="H742" s="11"/>
      <c r="I742" s="11"/>
    </row>
    <row r="743">
      <c r="A743" s="11"/>
      <c r="B743" s="11"/>
      <c r="C743" s="11"/>
      <c r="D743" s="11"/>
      <c r="E743" s="11"/>
      <c r="F743" s="11"/>
      <c r="G743" s="11"/>
      <c r="H743" s="11"/>
      <c r="I743" s="11"/>
    </row>
    <row r="744">
      <c r="A744" s="11"/>
      <c r="B744" s="11"/>
      <c r="C744" s="11"/>
      <c r="D744" s="11"/>
      <c r="E744" s="11"/>
      <c r="F744" s="11"/>
      <c r="G744" s="11"/>
      <c r="H744" s="11"/>
      <c r="I744" s="11"/>
    </row>
    <row r="745">
      <c r="A745" s="11"/>
      <c r="B745" s="11"/>
      <c r="C745" s="11"/>
      <c r="D745" s="11"/>
      <c r="E745" s="11"/>
      <c r="F745" s="11"/>
      <c r="G745" s="11"/>
      <c r="H745" s="11"/>
      <c r="I745" s="11"/>
    </row>
    <row r="746">
      <c r="A746" s="11"/>
      <c r="B746" s="11"/>
      <c r="C746" s="11"/>
      <c r="D746" s="11"/>
      <c r="E746" s="11"/>
      <c r="F746" s="11"/>
      <c r="G746" s="11"/>
      <c r="H746" s="11"/>
      <c r="I746" s="11"/>
    </row>
    <row r="747">
      <c r="A747" s="11"/>
      <c r="B747" s="11"/>
      <c r="C747" s="11"/>
      <c r="D747" s="11"/>
      <c r="E747" s="11"/>
      <c r="F747" s="11"/>
      <c r="G747" s="11"/>
      <c r="H747" s="11"/>
      <c r="I747" s="11"/>
    </row>
    <row r="748">
      <c r="A748" s="11"/>
      <c r="B748" s="11"/>
      <c r="C748" s="11"/>
      <c r="D748" s="11"/>
      <c r="E748" s="11"/>
      <c r="F748" s="11"/>
      <c r="G748" s="11"/>
      <c r="H748" s="11"/>
      <c r="I748" s="11"/>
    </row>
    <row r="749">
      <c r="A749" s="11"/>
      <c r="B749" s="11"/>
      <c r="C749" s="11"/>
      <c r="D749" s="11"/>
      <c r="E749" s="11"/>
      <c r="F749" s="11"/>
      <c r="G749" s="11"/>
      <c r="H749" s="11"/>
      <c r="I749" s="11"/>
    </row>
    <row r="750">
      <c r="A750" s="11"/>
      <c r="B750" s="11"/>
      <c r="C750" s="11"/>
      <c r="D750" s="11"/>
      <c r="E750" s="11"/>
      <c r="F750" s="11"/>
      <c r="G750" s="11"/>
      <c r="H750" s="11"/>
      <c r="I750" s="11"/>
    </row>
    <row r="751">
      <c r="A751" s="11"/>
      <c r="B751" s="11"/>
      <c r="C751" s="11"/>
      <c r="D751" s="11"/>
      <c r="E751" s="11"/>
      <c r="F751" s="11"/>
      <c r="G751" s="11"/>
      <c r="H751" s="11"/>
      <c r="I751" s="11"/>
    </row>
    <row r="752">
      <c r="A752" s="11"/>
      <c r="B752" s="11"/>
      <c r="C752" s="11"/>
      <c r="D752" s="11"/>
      <c r="E752" s="11"/>
      <c r="F752" s="11"/>
      <c r="G752" s="11"/>
      <c r="H752" s="11"/>
      <c r="I752" s="11"/>
    </row>
    <row r="753">
      <c r="A753" s="11"/>
      <c r="B753" s="11"/>
      <c r="C753" s="11"/>
      <c r="D753" s="11"/>
      <c r="E753" s="11"/>
      <c r="F753" s="11"/>
      <c r="G753" s="11"/>
      <c r="H753" s="11"/>
      <c r="I753" s="11"/>
    </row>
    <row r="754">
      <c r="A754" s="11"/>
      <c r="B754" s="11"/>
      <c r="C754" s="11"/>
      <c r="D754" s="11"/>
      <c r="E754" s="11"/>
      <c r="F754" s="11"/>
      <c r="G754" s="11"/>
      <c r="H754" s="11"/>
      <c r="I754" s="11"/>
    </row>
    <row r="755">
      <c r="A755" s="11"/>
      <c r="B755" s="11"/>
      <c r="C755" s="11"/>
      <c r="D755" s="11"/>
      <c r="E755" s="11"/>
      <c r="F755" s="11"/>
      <c r="G755" s="11"/>
      <c r="H755" s="11"/>
      <c r="I755" s="11"/>
    </row>
    <row r="756">
      <c r="A756" s="11"/>
      <c r="B756" s="11"/>
      <c r="C756" s="11"/>
      <c r="D756" s="11"/>
      <c r="E756" s="11"/>
      <c r="F756" s="11"/>
      <c r="G756" s="11"/>
      <c r="H756" s="11"/>
      <c r="I756" s="11"/>
    </row>
    <row r="757">
      <c r="A757" s="11"/>
      <c r="B757" s="11"/>
      <c r="C757" s="11"/>
      <c r="D757" s="11"/>
      <c r="E757" s="11"/>
      <c r="F757" s="11"/>
      <c r="G757" s="11"/>
      <c r="H757" s="11"/>
      <c r="I757" s="11"/>
    </row>
    <row r="758">
      <c r="A758" s="11"/>
      <c r="B758" s="11"/>
      <c r="C758" s="11"/>
      <c r="D758" s="11"/>
      <c r="E758" s="11"/>
      <c r="F758" s="11"/>
      <c r="G758" s="11"/>
      <c r="H758" s="11"/>
      <c r="I758" s="11"/>
    </row>
    <row r="759">
      <c r="A759" s="11"/>
      <c r="B759" s="11"/>
      <c r="C759" s="11"/>
      <c r="D759" s="11"/>
      <c r="E759" s="11"/>
      <c r="F759" s="11"/>
      <c r="G759" s="11"/>
      <c r="H759" s="11"/>
      <c r="I759" s="11"/>
    </row>
    <row r="760">
      <c r="A760" s="11"/>
      <c r="B760" s="11"/>
      <c r="C760" s="11"/>
      <c r="D760" s="11"/>
      <c r="E760" s="11"/>
      <c r="F760" s="11"/>
      <c r="G760" s="11"/>
      <c r="H760" s="11"/>
      <c r="I760" s="11"/>
    </row>
    <row r="761">
      <c r="A761" s="11"/>
      <c r="B761" s="11"/>
      <c r="C761" s="11"/>
      <c r="D761" s="11"/>
      <c r="E761" s="11"/>
      <c r="F761" s="11"/>
      <c r="G761" s="11"/>
      <c r="H761" s="11"/>
      <c r="I761" s="11"/>
    </row>
    <row r="762">
      <c r="A762" s="11"/>
      <c r="B762" s="11"/>
      <c r="C762" s="11"/>
      <c r="D762" s="11"/>
      <c r="E762" s="11"/>
      <c r="F762" s="11"/>
      <c r="G762" s="11"/>
      <c r="H762" s="11"/>
      <c r="I762" s="11"/>
    </row>
    <row r="763">
      <c r="A763" s="11"/>
      <c r="B763" s="11"/>
      <c r="C763" s="11"/>
      <c r="D763" s="11"/>
      <c r="E763" s="11"/>
      <c r="F763" s="11"/>
      <c r="G763" s="11"/>
      <c r="H763" s="11"/>
      <c r="I763" s="11"/>
    </row>
    <row r="764">
      <c r="A764" s="11"/>
      <c r="B764" s="11"/>
      <c r="C764" s="11"/>
      <c r="D764" s="11"/>
      <c r="E764" s="11"/>
      <c r="F764" s="11"/>
      <c r="G764" s="11"/>
      <c r="H764" s="11"/>
      <c r="I764" s="11"/>
    </row>
    <row r="765">
      <c r="A765" s="11"/>
      <c r="B765" s="11"/>
      <c r="C765" s="11"/>
      <c r="D765" s="11"/>
      <c r="E765" s="11"/>
      <c r="F765" s="11"/>
      <c r="G765" s="11"/>
      <c r="H765" s="11"/>
      <c r="I765" s="11"/>
    </row>
    <row r="766">
      <c r="A766" s="11"/>
      <c r="B766" s="11"/>
      <c r="C766" s="11"/>
      <c r="D766" s="11"/>
      <c r="E766" s="11"/>
      <c r="F766" s="11"/>
      <c r="G766" s="11"/>
      <c r="H766" s="11"/>
      <c r="I766" s="11"/>
    </row>
    <row r="767">
      <c r="A767" s="11"/>
      <c r="B767" s="11"/>
      <c r="C767" s="11"/>
      <c r="D767" s="11"/>
      <c r="E767" s="11"/>
      <c r="F767" s="11"/>
      <c r="G767" s="11"/>
      <c r="H767" s="11"/>
      <c r="I767" s="11"/>
    </row>
    <row r="768">
      <c r="A768" s="11"/>
      <c r="B768" s="11"/>
      <c r="C768" s="11"/>
      <c r="D768" s="11"/>
      <c r="E768" s="11"/>
      <c r="F768" s="11"/>
      <c r="G768" s="11"/>
      <c r="H768" s="11"/>
      <c r="I768" s="11"/>
    </row>
    <row r="769">
      <c r="A769" s="11"/>
      <c r="B769" s="11"/>
      <c r="C769" s="11"/>
      <c r="D769" s="11"/>
      <c r="E769" s="11"/>
      <c r="F769" s="11"/>
      <c r="G769" s="11"/>
      <c r="H769" s="11"/>
      <c r="I769" s="11"/>
    </row>
    <row r="770">
      <c r="A770" s="11"/>
      <c r="B770" s="11"/>
      <c r="C770" s="11"/>
      <c r="D770" s="11"/>
      <c r="E770" s="11"/>
      <c r="F770" s="11"/>
      <c r="G770" s="11"/>
      <c r="H770" s="11"/>
      <c r="I770" s="11"/>
    </row>
    <row r="771">
      <c r="A771" s="11"/>
      <c r="B771" s="11"/>
      <c r="C771" s="11"/>
      <c r="D771" s="11"/>
      <c r="E771" s="11"/>
      <c r="F771" s="11"/>
      <c r="G771" s="11"/>
      <c r="H771" s="11"/>
      <c r="I771" s="11"/>
    </row>
    <row r="772">
      <c r="A772" s="11"/>
      <c r="B772" s="11"/>
      <c r="C772" s="11"/>
      <c r="D772" s="11"/>
      <c r="E772" s="11"/>
      <c r="F772" s="11"/>
      <c r="G772" s="11"/>
      <c r="H772" s="11"/>
      <c r="I772" s="11"/>
    </row>
    <row r="773">
      <c r="A773" s="11"/>
      <c r="B773" s="11"/>
      <c r="C773" s="11"/>
      <c r="D773" s="11"/>
      <c r="E773" s="11"/>
      <c r="F773" s="11"/>
      <c r="G773" s="11"/>
      <c r="H773" s="11"/>
      <c r="I773" s="11"/>
    </row>
    <row r="774">
      <c r="A774" s="11"/>
      <c r="B774" s="11"/>
      <c r="C774" s="11"/>
      <c r="D774" s="11"/>
      <c r="E774" s="11"/>
      <c r="F774" s="11"/>
      <c r="G774" s="11"/>
      <c r="H774" s="11"/>
      <c r="I774" s="11"/>
    </row>
    <row r="775">
      <c r="A775" s="11"/>
      <c r="B775" s="11"/>
      <c r="C775" s="11"/>
      <c r="D775" s="11"/>
      <c r="E775" s="11"/>
      <c r="F775" s="11"/>
      <c r="G775" s="11"/>
      <c r="H775" s="11"/>
      <c r="I775" s="11"/>
    </row>
    <row r="776">
      <c r="A776" s="11"/>
      <c r="B776" s="11"/>
      <c r="C776" s="11"/>
      <c r="D776" s="11"/>
      <c r="E776" s="11"/>
      <c r="F776" s="11"/>
      <c r="G776" s="11"/>
      <c r="H776" s="11"/>
      <c r="I776" s="11"/>
    </row>
    <row r="777">
      <c r="A777" s="11"/>
      <c r="B777" s="11"/>
      <c r="C777" s="11"/>
      <c r="D777" s="11"/>
      <c r="E777" s="11"/>
      <c r="F777" s="11"/>
      <c r="G777" s="11"/>
      <c r="H777" s="11"/>
      <c r="I777" s="11"/>
    </row>
    <row r="778">
      <c r="A778" s="11"/>
      <c r="B778" s="11"/>
      <c r="C778" s="11"/>
      <c r="D778" s="11"/>
      <c r="E778" s="11"/>
      <c r="F778" s="11"/>
      <c r="G778" s="11"/>
      <c r="H778" s="11"/>
      <c r="I778" s="11"/>
    </row>
    <row r="779">
      <c r="A779" s="11"/>
      <c r="B779" s="11"/>
      <c r="C779" s="11"/>
      <c r="D779" s="11"/>
      <c r="E779" s="11"/>
      <c r="F779" s="11"/>
      <c r="G779" s="11"/>
      <c r="H779" s="11"/>
      <c r="I779" s="11"/>
    </row>
    <row r="780">
      <c r="A780" s="11"/>
      <c r="B780" s="11"/>
      <c r="C780" s="11"/>
      <c r="D780" s="11"/>
      <c r="E780" s="11"/>
      <c r="F780" s="11"/>
      <c r="G780" s="11"/>
      <c r="H780" s="11"/>
      <c r="I780" s="11"/>
    </row>
    <row r="781">
      <c r="A781" s="11"/>
      <c r="B781" s="11"/>
      <c r="C781" s="11"/>
      <c r="D781" s="11"/>
      <c r="E781" s="11"/>
      <c r="F781" s="11"/>
      <c r="G781" s="11"/>
      <c r="H781" s="11"/>
      <c r="I781" s="11"/>
    </row>
    <row r="782">
      <c r="A782" s="11"/>
      <c r="B782" s="11"/>
      <c r="C782" s="11"/>
      <c r="D782" s="11"/>
      <c r="E782" s="11"/>
      <c r="F782" s="11"/>
      <c r="G782" s="11"/>
      <c r="H782" s="11"/>
      <c r="I782" s="11"/>
    </row>
    <row r="783">
      <c r="A783" s="11"/>
      <c r="B783" s="11"/>
      <c r="C783" s="11"/>
      <c r="D783" s="11"/>
      <c r="E783" s="11"/>
      <c r="F783" s="11"/>
      <c r="G783" s="11"/>
      <c r="H783" s="11"/>
      <c r="I783" s="11"/>
    </row>
    <row r="784">
      <c r="A784" s="11"/>
      <c r="B784" s="11"/>
      <c r="C784" s="11"/>
      <c r="D784" s="11"/>
      <c r="E784" s="11"/>
      <c r="F784" s="11"/>
      <c r="G784" s="11"/>
      <c r="H784" s="11"/>
      <c r="I784" s="11"/>
    </row>
    <row r="785">
      <c r="A785" s="11"/>
      <c r="B785" s="11"/>
      <c r="C785" s="11"/>
      <c r="D785" s="11"/>
      <c r="E785" s="11"/>
      <c r="F785" s="11"/>
      <c r="G785" s="11"/>
      <c r="H785" s="11"/>
      <c r="I785" s="11"/>
    </row>
    <row r="786">
      <c r="A786" s="11"/>
      <c r="B786" s="11"/>
      <c r="C786" s="11"/>
      <c r="D786" s="11"/>
      <c r="E786" s="11"/>
      <c r="F786" s="11"/>
      <c r="G786" s="11"/>
      <c r="H786" s="11"/>
      <c r="I786" s="11"/>
    </row>
    <row r="787">
      <c r="A787" s="11"/>
      <c r="B787" s="11"/>
      <c r="C787" s="11"/>
      <c r="D787" s="11"/>
      <c r="E787" s="11"/>
      <c r="F787" s="11"/>
      <c r="G787" s="11"/>
      <c r="H787" s="11"/>
      <c r="I787" s="11"/>
    </row>
    <row r="788">
      <c r="A788" s="11"/>
      <c r="B788" s="11"/>
      <c r="C788" s="11"/>
      <c r="D788" s="11"/>
      <c r="E788" s="11"/>
      <c r="F788" s="11"/>
      <c r="G788" s="11"/>
      <c r="H788" s="11"/>
      <c r="I788" s="11"/>
    </row>
    <row r="789">
      <c r="A789" s="11"/>
      <c r="B789" s="11"/>
      <c r="C789" s="11"/>
      <c r="D789" s="11"/>
      <c r="E789" s="11"/>
      <c r="F789" s="11"/>
      <c r="G789" s="11"/>
      <c r="H789" s="11"/>
      <c r="I789" s="11"/>
    </row>
    <row r="790">
      <c r="A790" s="11"/>
      <c r="B790" s="11"/>
      <c r="C790" s="11"/>
      <c r="D790" s="11"/>
      <c r="E790" s="11"/>
      <c r="F790" s="11"/>
      <c r="G790" s="11"/>
      <c r="H790" s="11"/>
      <c r="I790" s="11"/>
    </row>
    <row r="791">
      <c r="A791" s="11"/>
      <c r="B791" s="11"/>
      <c r="C791" s="11"/>
      <c r="D791" s="11"/>
      <c r="E791" s="11"/>
      <c r="F791" s="11"/>
      <c r="G791" s="11"/>
      <c r="H791" s="11"/>
      <c r="I791" s="11"/>
    </row>
    <row r="792">
      <c r="A792" s="11"/>
      <c r="B792" s="11"/>
      <c r="C792" s="11"/>
      <c r="D792" s="11"/>
      <c r="E792" s="11"/>
      <c r="F792" s="11"/>
      <c r="G792" s="11"/>
      <c r="H792" s="11"/>
      <c r="I792" s="11"/>
    </row>
    <row r="793">
      <c r="A793" s="11"/>
      <c r="B793" s="11"/>
      <c r="C793" s="11"/>
      <c r="D793" s="11"/>
      <c r="E793" s="11"/>
      <c r="F793" s="11"/>
      <c r="G793" s="11"/>
      <c r="H793" s="11"/>
      <c r="I793" s="11"/>
    </row>
    <row r="794">
      <c r="A794" s="11"/>
      <c r="B794" s="11"/>
      <c r="C794" s="11"/>
      <c r="D794" s="11"/>
      <c r="E794" s="11"/>
      <c r="F794" s="11"/>
      <c r="G794" s="11"/>
      <c r="H794" s="11"/>
      <c r="I794" s="11"/>
    </row>
    <row r="795">
      <c r="A795" s="11"/>
      <c r="B795" s="11"/>
      <c r="C795" s="11"/>
      <c r="D795" s="11"/>
      <c r="E795" s="11"/>
      <c r="F795" s="11"/>
      <c r="G795" s="11"/>
      <c r="H795" s="11"/>
      <c r="I795" s="11"/>
    </row>
    <row r="796">
      <c r="A796" s="11"/>
      <c r="B796" s="11"/>
      <c r="C796" s="11"/>
      <c r="D796" s="11"/>
      <c r="E796" s="11"/>
      <c r="F796" s="11"/>
      <c r="G796" s="11"/>
      <c r="H796" s="11"/>
      <c r="I796" s="11"/>
    </row>
    <row r="797">
      <c r="A797" s="11"/>
      <c r="B797" s="11"/>
      <c r="C797" s="11"/>
      <c r="D797" s="11"/>
      <c r="E797" s="11"/>
      <c r="F797" s="11"/>
      <c r="G797" s="11"/>
      <c r="H797" s="11"/>
      <c r="I797" s="11"/>
    </row>
    <row r="798">
      <c r="A798" s="11"/>
      <c r="B798" s="11"/>
      <c r="C798" s="11"/>
      <c r="D798" s="11"/>
      <c r="E798" s="11"/>
      <c r="F798" s="11"/>
      <c r="G798" s="11"/>
      <c r="H798" s="11"/>
      <c r="I798" s="11"/>
    </row>
    <row r="799">
      <c r="A799" s="11"/>
      <c r="B799" s="11"/>
      <c r="C799" s="11"/>
      <c r="D799" s="11"/>
      <c r="E799" s="11"/>
      <c r="F799" s="11"/>
      <c r="G799" s="11"/>
      <c r="H799" s="11"/>
      <c r="I799" s="11"/>
    </row>
    <row r="800">
      <c r="A800" s="11"/>
      <c r="B800" s="11"/>
      <c r="C800" s="11"/>
      <c r="D800" s="11"/>
      <c r="E800" s="11"/>
      <c r="F800" s="11"/>
      <c r="G800" s="11"/>
      <c r="H800" s="11"/>
      <c r="I800" s="11"/>
    </row>
    <row r="801">
      <c r="A801" s="11"/>
      <c r="B801" s="11"/>
      <c r="C801" s="11"/>
      <c r="D801" s="11"/>
      <c r="E801" s="11"/>
      <c r="F801" s="11"/>
      <c r="G801" s="11"/>
      <c r="H801" s="11"/>
      <c r="I801" s="11"/>
    </row>
    <row r="802">
      <c r="A802" s="11"/>
      <c r="B802" s="11"/>
      <c r="C802" s="11"/>
      <c r="D802" s="11"/>
      <c r="E802" s="11"/>
      <c r="F802" s="11"/>
      <c r="G802" s="11"/>
      <c r="H802" s="11"/>
      <c r="I802" s="11"/>
    </row>
    <row r="803">
      <c r="A803" s="11"/>
      <c r="B803" s="11"/>
      <c r="C803" s="11"/>
      <c r="D803" s="11"/>
      <c r="E803" s="11"/>
      <c r="F803" s="11"/>
      <c r="G803" s="11"/>
      <c r="H803" s="11"/>
      <c r="I803" s="11"/>
    </row>
    <row r="804">
      <c r="A804" s="11"/>
      <c r="B804" s="11"/>
      <c r="C804" s="11"/>
      <c r="D804" s="11"/>
      <c r="E804" s="11"/>
      <c r="F804" s="11"/>
      <c r="G804" s="11"/>
      <c r="H804" s="11"/>
      <c r="I804" s="11"/>
    </row>
    <row r="805">
      <c r="A805" s="11"/>
      <c r="B805" s="11"/>
      <c r="C805" s="11"/>
      <c r="D805" s="11"/>
      <c r="E805" s="11"/>
      <c r="F805" s="11"/>
      <c r="G805" s="11"/>
      <c r="H805" s="11"/>
      <c r="I805" s="11"/>
    </row>
    <row r="806">
      <c r="A806" s="11"/>
      <c r="B806" s="11"/>
      <c r="C806" s="11"/>
      <c r="D806" s="11"/>
      <c r="E806" s="11"/>
      <c r="F806" s="11"/>
      <c r="G806" s="11"/>
      <c r="H806" s="11"/>
      <c r="I806" s="11"/>
    </row>
    <row r="807">
      <c r="A807" s="11"/>
      <c r="B807" s="11"/>
      <c r="C807" s="11"/>
      <c r="D807" s="11"/>
      <c r="E807" s="11"/>
      <c r="F807" s="11"/>
      <c r="G807" s="11"/>
      <c r="H807" s="11"/>
      <c r="I807" s="11"/>
    </row>
    <row r="808">
      <c r="A808" s="11"/>
      <c r="B808" s="11"/>
      <c r="C808" s="11"/>
      <c r="D808" s="11"/>
      <c r="E808" s="11"/>
      <c r="F808" s="11"/>
      <c r="G808" s="11"/>
      <c r="H808" s="11"/>
      <c r="I808" s="11"/>
    </row>
    <row r="809">
      <c r="A809" s="11"/>
      <c r="B809" s="11"/>
      <c r="C809" s="11"/>
      <c r="D809" s="11"/>
      <c r="E809" s="11"/>
      <c r="F809" s="11"/>
      <c r="G809" s="11"/>
      <c r="H809" s="11"/>
      <c r="I809" s="11"/>
    </row>
    <row r="810">
      <c r="A810" s="11"/>
      <c r="B810" s="11"/>
      <c r="C810" s="11"/>
      <c r="D810" s="11"/>
      <c r="E810" s="11"/>
      <c r="F810" s="11"/>
      <c r="G810" s="11"/>
      <c r="H810" s="11"/>
      <c r="I810" s="11"/>
    </row>
    <row r="811">
      <c r="A811" s="11"/>
      <c r="B811" s="11"/>
      <c r="C811" s="11"/>
      <c r="D811" s="11"/>
      <c r="E811" s="11"/>
      <c r="F811" s="11"/>
      <c r="G811" s="11"/>
      <c r="H811" s="11"/>
      <c r="I811" s="11"/>
    </row>
    <row r="812">
      <c r="A812" s="11"/>
      <c r="B812" s="11"/>
      <c r="C812" s="11"/>
      <c r="D812" s="11"/>
      <c r="E812" s="11"/>
      <c r="F812" s="11"/>
      <c r="G812" s="11"/>
      <c r="H812" s="11"/>
      <c r="I812" s="11"/>
    </row>
    <row r="813">
      <c r="A813" s="11"/>
      <c r="B813" s="11"/>
      <c r="C813" s="11"/>
      <c r="D813" s="11"/>
      <c r="E813" s="11"/>
      <c r="F813" s="11"/>
      <c r="G813" s="11"/>
      <c r="H813" s="11"/>
      <c r="I813" s="11"/>
    </row>
    <row r="814">
      <c r="A814" s="11"/>
      <c r="B814" s="11"/>
      <c r="C814" s="11"/>
      <c r="D814" s="11"/>
      <c r="E814" s="11"/>
      <c r="F814" s="11"/>
      <c r="G814" s="11"/>
      <c r="H814" s="11"/>
      <c r="I814" s="11"/>
    </row>
    <row r="815">
      <c r="A815" s="11"/>
      <c r="B815" s="11"/>
      <c r="C815" s="11"/>
      <c r="D815" s="11"/>
      <c r="E815" s="11"/>
      <c r="F815" s="11"/>
      <c r="G815" s="11"/>
      <c r="H815" s="11"/>
      <c r="I815" s="11"/>
    </row>
    <row r="816">
      <c r="A816" s="11"/>
      <c r="B816" s="11"/>
      <c r="C816" s="11"/>
      <c r="D816" s="11"/>
      <c r="E816" s="11"/>
      <c r="F816" s="11"/>
      <c r="G816" s="11"/>
      <c r="H816" s="11"/>
      <c r="I816" s="11"/>
    </row>
    <row r="817">
      <c r="A817" s="11"/>
      <c r="B817" s="11"/>
      <c r="C817" s="11"/>
      <c r="D817" s="11"/>
      <c r="E817" s="11"/>
      <c r="F817" s="11"/>
      <c r="G817" s="11"/>
      <c r="H817" s="11"/>
      <c r="I817" s="11"/>
    </row>
    <row r="818">
      <c r="A818" s="11"/>
      <c r="B818" s="11"/>
      <c r="C818" s="11"/>
      <c r="D818" s="11"/>
      <c r="E818" s="11"/>
      <c r="F818" s="11"/>
      <c r="G818" s="11"/>
      <c r="H818" s="11"/>
      <c r="I818" s="11"/>
    </row>
    <row r="819">
      <c r="A819" s="11"/>
      <c r="B819" s="11"/>
      <c r="C819" s="11"/>
      <c r="D819" s="11"/>
      <c r="E819" s="11"/>
      <c r="F819" s="11"/>
      <c r="G819" s="11"/>
      <c r="H819" s="11"/>
      <c r="I819" s="11"/>
    </row>
    <row r="820">
      <c r="A820" s="11"/>
      <c r="B820" s="11"/>
      <c r="C820" s="11"/>
      <c r="D820" s="11"/>
      <c r="E820" s="11"/>
      <c r="F820" s="11"/>
      <c r="G820" s="11"/>
      <c r="H820" s="11"/>
      <c r="I820" s="11"/>
    </row>
    <row r="821">
      <c r="A821" s="11"/>
      <c r="B821" s="11"/>
      <c r="C821" s="11"/>
      <c r="D821" s="11"/>
      <c r="E821" s="11"/>
      <c r="F821" s="11"/>
      <c r="G821" s="11"/>
      <c r="H821" s="11"/>
      <c r="I821" s="11"/>
    </row>
    <row r="822">
      <c r="A822" s="11"/>
      <c r="B822" s="11"/>
      <c r="C822" s="11"/>
      <c r="D822" s="11"/>
      <c r="E822" s="11"/>
      <c r="F822" s="11"/>
      <c r="G822" s="11"/>
      <c r="H822" s="11"/>
      <c r="I822" s="11"/>
    </row>
    <row r="823">
      <c r="A823" s="11"/>
      <c r="B823" s="11"/>
      <c r="C823" s="11"/>
      <c r="D823" s="11"/>
      <c r="E823" s="11"/>
      <c r="F823" s="11"/>
      <c r="G823" s="11"/>
      <c r="H823" s="11"/>
      <c r="I823" s="11"/>
    </row>
    <row r="824">
      <c r="A824" s="11"/>
      <c r="B824" s="11"/>
      <c r="C824" s="11"/>
      <c r="D824" s="11"/>
      <c r="E824" s="11"/>
      <c r="F824" s="11"/>
      <c r="G824" s="11"/>
      <c r="H824" s="11"/>
      <c r="I824" s="11"/>
    </row>
    <row r="825">
      <c r="A825" s="11"/>
      <c r="B825" s="11"/>
      <c r="C825" s="11"/>
      <c r="D825" s="11"/>
      <c r="E825" s="11"/>
      <c r="F825" s="11"/>
      <c r="G825" s="11"/>
      <c r="H825" s="11"/>
      <c r="I825" s="11"/>
    </row>
    <row r="826">
      <c r="A826" s="11"/>
      <c r="B826" s="11"/>
      <c r="C826" s="11"/>
      <c r="D826" s="11"/>
      <c r="E826" s="11"/>
      <c r="F826" s="11"/>
      <c r="G826" s="11"/>
      <c r="H826" s="11"/>
      <c r="I826" s="11"/>
    </row>
    <row r="827">
      <c r="A827" s="11"/>
      <c r="B827" s="11"/>
      <c r="C827" s="11"/>
      <c r="D827" s="11"/>
      <c r="E827" s="11"/>
      <c r="F827" s="11"/>
      <c r="G827" s="11"/>
      <c r="H827" s="11"/>
      <c r="I827" s="11"/>
    </row>
    <row r="828">
      <c r="A828" s="11"/>
      <c r="B828" s="11"/>
      <c r="C828" s="11"/>
      <c r="D828" s="11"/>
      <c r="E828" s="11"/>
      <c r="F828" s="11"/>
      <c r="G828" s="11"/>
      <c r="H828" s="11"/>
      <c r="I828" s="11"/>
    </row>
    <row r="829">
      <c r="A829" s="11"/>
      <c r="B829" s="11"/>
      <c r="C829" s="11"/>
      <c r="D829" s="11"/>
      <c r="E829" s="11"/>
      <c r="F829" s="11"/>
      <c r="G829" s="11"/>
      <c r="H829" s="11"/>
      <c r="I829" s="11"/>
    </row>
    <row r="830">
      <c r="A830" s="11"/>
      <c r="B830" s="11"/>
      <c r="C830" s="11"/>
      <c r="D830" s="11"/>
      <c r="E830" s="11"/>
      <c r="F830" s="11"/>
      <c r="G830" s="11"/>
      <c r="H830" s="11"/>
      <c r="I830" s="11"/>
    </row>
    <row r="831">
      <c r="A831" s="11"/>
      <c r="B831" s="11"/>
      <c r="C831" s="11"/>
      <c r="D831" s="11"/>
      <c r="E831" s="11"/>
      <c r="F831" s="11"/>
      <c r="G831" s="11"/>
      <c r="H831" s="11"/>
      <c r="I831" s="11"/>
    </row>
    <row r="832">
      <c r="A832" s="11"/>
      <c r="B832" s="11"/>
      <c r="C832" s="11"/>
      <c r="D832" s="11"/>
      <c r="E832" s="11"/>
      <c r="F832" s="11"/>
      <c r="G832" s="11"/>
      <c r="H832" s="11"/>
      <c r="I832" s="11"/>
    </row>
    <row r="833">
      <c r="A833" s="11"/>
      <c r="B833" s="11"/>
      <c r="C833" s="11"/>
      <c r="D833" s="11"/>
      <c r="E833" s="11"/>
      <c r="F833" s="11"/>
      <c r="G833" s="11"/>
      <c r="H833" s="11"/>
      <c r="I833" s="11"/>
    </row>
    <row r="834">
      <c r="A834" s="11"/>
      <c r="B834" s="11"/>
      <c r="C834" s="11"/>
      <c r="D834" s="11"/>
      <c r="E834" s="11"/>
      <c r="F834" s="11"/>
      <c r="G834" s="11"/>
      <c r="H834" s="11"/>
      <c r="I834" s="11"/>
    </row>
    <row r="835">
      <c r="A835" s="11"/>
      <c r="B835" s="11"/>
      <c r="C835" s="11"/>
      <c r="D835" s="11"/>
      <c r="E835" s="11"/>
      <c r="F835" s="11"/>
      <c r="G835" s="11"/>
      <c r="H835" s="11"/>
      <c r="I835" s="11"/>
    </row>
    <row r="836">
      <c r="A836" s="11"/>
      <c r="B836" s="11"/>
      <c r="C836" s="11"/>
      <c r="D836" s="11"/>
      <c r="E836" s="11"/>
      <c r="F836" s="11"/>
      <c r="G836" s="11"/>
      <c r="H836" s="11"/>
      <c r="I836" s="11"/>
    </row>
    <row r="837">
      <c r="A837" s="11"/>
      <c r="B837" s="11"/>
      <c r="C837" s="11"/>
      <c r="D837" s="11"/>
      <c r="E837" s="11"/>
      <c r="F837" s="11"/>
      <c r="G837" s="11"/>
      <c r="H837" s="11"/>
      <c r="I837" s="11"/>
    </row>
    <row r="838">
      <c r="A838" s="11"/>
      <c r="B838" s="11"/>
      <c r="C838" s="11"/>
      <c r="D838" s="11"/>
      <c r="E838" s="11"/>
      <c r="F838" s="11"/>
      <c r="G838" s="11"/>
      <c r="H838" s="11"/>
      <c r="I838" s="11"/>
    </row>
    <row r="839">
      <c r="A839" s="11"/>
      <c r="B839" s="11"/>
      <c r="C839" s="11"/>
      <c r="D839" s="11"/>
      <c r="E839" s="11"/>
      <c r="F839" s="11"/>
      <c r="G839" s="11"/>
      <c r="H839" s="11"/>
      <c r="I839" s="11"/>
    </row>
    <row r="840">
      <c r="A840" s="11"/>
      <c r="B840" s="11"/>
      <c r="C840" s="11"/>
      <c r="D840" s="11"/>
      <c r="E840" s="11"/>
      <c r="F840" s="11"/>
      <c r="G840" s="11"/>
      <c r="H840" s="11"/>
      <c r="I840" s="11"/>
    </row>
    <row r="841">
      <c r="A841" s="11"/>
      <c r="B841" s="11"/>
      <c r="C841" s="11"/>
      <c r="D841" s="11"/>
      <c r="E841" s="11"/>
      <c r="F841" s="11"/>
      <c r="G841" s="11"/>
      <c r="H841" s="11"/>
      <c r="I841" s="11"/>
    </row>
    <row r="842">
      <c r="A842" s="11"/>
      <c r="B842" s="11"/>
      <c r="C842" s="11"/>
      <c r="D842" s="11"/>
      <c r="E842" s="11"/>
      <c r="F842" s="11"/>
      <c r="G842" s="11"/>
      <c r="H842" s="11"/>
      <c r="I842" s="11"/>
    </row>
    <row r="843">
      <c r="A843" s="11"/>
      <c r="B843" s="11"/>
      <c r="C843" s="11"/>
      <c r="D843" s="11"/>
      <c r="E843" s="11"/>
      <c r="F843" s="11"/>
      <c r="G843" s="11"/>
      <c r="H843" s="11"/>
      <c r="I843" s="11"/>
    </row>
    <row r="844">
      <c r="A844" s="11"/>
      <c r="B844" s="11"/>
      <c r="C844" s="11"/>
      <c r="D844" s="11"/>
      <c r="E844" s="11"/>
      <c r="F844" s="11"/>
      <c r="G844" s="11"/>
      <c r="H844" s="11"/>
      <c r="I844" s="11"/>
    </row>
    <row r="845">
      <c r="A845" s="11"/>
      <c r="B845" s="11"/>
      <c r="C845" s="11"/>
      <c r="D845" s="11"/>
      <c r="E845" s="11"/>
      <c r="F845" s="11"/>
      <c r="G845" s="11"/>
      <c r="H845" s="11"/>
      <c r="I845" s="11"/>
    </row>
    <row r="846">
      <c r="A846" s="11"/>
      <c r="B846" s="11"/>
      <c r="C846" s="11"/>
      <c r="D846" s="11"/>
      <c r="E846" s="11"/>
      <c r="F846" s="11"/>
      <c r="G846" s="11"/>
      <c r="H846" s="11"/>
      <c r="I846" s="11"/>
    </row>
    <row r="847">
      <c r="A847" s="11"/>
      <c r="B847" s="11"/>
      <c r="C847" s="11"/>
      <c r="D847" s="11"/>
      <c r="E847" s="11"/>
      <c r="F847" s="11"/>
      <c r="G847" s="11"/>
      <c r="H847" s="11"/>
      <c r="I847" s="11"/>
    </row>
    <row r="848">
      <c r="A848" s="11"/>
      <c r="B848" s="11"/>
      <c r="C848" s="11"/>
      <c r="D848" s="11"/>
      <c r="E848" s="11"/>
      <c r="F848" s="11"/>
      <c r="G848" s="11"/>
      <c r="H848" s="11"/>
      <c r="I848" s="11"/>
    </row>
    <row r="849">
      <c r="A849" s="11"/>
      <c r="B849" s="11"/>
      <c r="C849" s="11"/>
      <c r="D849" s="11"/>
      <c r="E849" s="11"/>
      <c r="F849" s="11"/>
      <c r="G849" s="11"/>
      <c r="H849" s="11"/>
      <c r="I849" s="11"/>
    </row>
    <row r="850">
      <c r="A850" s="11"/>
      <c r="B850" s="11"/>
      <c r="C850" s="11"/>
      <c r="D850" s="11"/>
      <c r="E850" s="11"/>
      <c r="F850" s="11"/>
      <c r="G850" s="11"/>
      <c r="H850" s="11"/>
      <c r="I850" s="11"/>
    </row>
    <row r="851">
      <c r="A851" s="11"/>
      <c r="B851" s="11"/>
      <c r="C851" s="11"/>
      <c r="D851" s="11"/>
      <c r="E851" s="11"/>
      <c r="F851" s="11"/>
      <c r="G851" s="11"/>
      <c r="H851" s="11"/>
      <c r="I851" s="11"/>
    </row>
    <row r="852">
      <c r="A852" s="11"/>
      <c r="B852" s="11"/>
      <c r="C852" s="11"/>
      <c r="D852" s="11"/>
      <c r="E852" s="11"/>
      <c r="F852" s="11"/>
      <c r="G852" s="11"/>
      <c r="H852" s="11"/>
      <c r="I852" s="11"/>
    </row>
    <row r="853">
      <c r="A853" s="11"/>
      <c r="B853" s="11"/>
      <c r="C853" s="11"/>
      <c r="D853" s="11"/>
      <c r="E853" s="11"/>
      <c r="F853" s="11"/>
      <c r="G853" s="11"/>
      <c r="H853" s="11"/>
      <c r="I853" s="11"/>
    </row>
    <row r="854">
      <c r="A854" s="11"/>
      <c r="B854" s="11"/>
      <c r="C854" s="11"/>
      <c r="D854" s="11"/>
      <c r="E854" s="11"/>
      <c r="F854" s="11"/>
      <c r="G854" s="11"/>
      <c r="H854" s="11"/>
      <c r="I854" s="11"/>
    </row>
    <row r="855">
      <c r="A855" s="11"/>
      <c r="B855" s="11"/>
      <c r="C855" s="11"/>
      <c r="D855" s="11"/>
      <c r="E855" s="11"/>
      <c r="F855" s="11"/>
      <c r="G855" s="11"/>
      <c r="H855" s="11"/>
      <c r="I855" s="11"/>
    </row>
    <row r="856">
      <c r="A856" s="11"/>
      <c r="B856" s="11"/>
      <c r="C856" s="11"/>
      <c r="D856" s="11"/>
      <c r="E856" s="11"/>
      <c r="F856" s="11"/>
      <c r="G856" s="11"/>
      <c r="H856" s="11"/>
      <c r="I856" s="11"/>
    </row>
    <row r="857">
      <c r="A857" s="11"/>
      <c r="B857" s="11"/>
      <c r="C857" s="11"/>
      <c r="D857" s="11"/>
      <c r="E857" s="11"/>
      <c r="F857" s="11"/>
      <c r="G857" s="11"/>
      <c r="H857" s="11"/>
      <c r="I857" s="11"/>
    </row>
    <row r="858">
      <c r="A858" s="11"/>
      <c r="B858" s="11"/>
      <c r="C858" s="11"/>
      <c r="D858" s="11"/>
      <c r="E858" s="11"/>
      <c r="F858" s="11"/>
      <c r="G858" s="11"/>
      <c r="H858" s="11"/>
      <c r="I858" s="11"/>
    </row>
    <row r="859">
      <c r="A859" s="11"/>
      <c r="B859" s="11"/>
      <c r="C859" s="11"/>
      <c r="D859" s="11"/>
      <c r="E859" s="11"/>
      <c r="F859" s="11"/>
      <c r="G859" s="11"/>
      <c r="H859" s="11"/>
      <c r="I859" s="11"/>
    </row>
    <row r="860">
      <c r="A860" s="11"/>
      <c r="B860" s="11"/>
      <c r="C860" s="11"/>
      <c r="D860" s="11"/>
      <c r="E860" s="11"/>
      <c r="F860" s="11"/>
      <c r="G860" s="11"/>
      <c r="H860" s="11"/>
      <c r="I860" s="11"/>
    </row>
    <row r="861">
      <c r="A861" s="11"/>
      <c r="B861" s="11"/>
      <c r="C861" s="11"/>
      <c r="D861" s="11"/>
      <c r="E861" s="11"/>
      <c r="F861" s="11"/>
      <c r="G861" s="11"/>
      <c r="H861" s="11"/>
      <c r="I861" s="11"/>
    </row>
    <row r="862">
      <c r="A862" s="11"/>
      <c r="B862" s="11"/>
      <c r="C862" s="11"/>
      <c r="D862" s="11"/>
      <c r="E862" s="11"/>
      <c r="F862" s="11"/>
      <c r="G862" s="11"/>
      <c r="H862" s="11"/>
      <c r="I862" s="11"/>
    </row>
    <row r="863">
      <c r="A863" s="11"/>
      <c r="B863" s="11"/>
      <c r="C863" s="11"/>
      <c r="D863" s="11"/>
      <c r="E863" s="11"/>
      <c r="F863" s="11"/>
      <c r="G863" s="11"/>
      <c r="H863" s="11"/>
      <c r="I863" s="11"/>
    </row>
    <row r="864">
      <c r="A864" s="11"/>
      <c r="B864" s="11"/>
      <c r="C864" s="11"/>
      <c r="D864" s="11"/>
      <c r="E864" s="11"/>
      <c r="F864" s="11"/>
      <c r="G864" s="11"/>
      <c r="H864" s="11"/>
      <c r="I864" s="11"/>
    </row>
    <row r="865">
      <c r="A865" s="11"/>
      <c r="B865" s="11"/>
      <c r="C865" s="11"/>
      <c r="D865" s="11"/>
      <c r="E865" s="11"/>
      <c r="F865" s="11"/>
      <c r="G865" s="11"/>
      <c r="H865" s="11"/>
      <c r="I865" s="11"/>
    </row>
    <row r="866">
      <c r="A866" s="11"/>
      <c r="B866" s="11"/>
      <c r="C866" s="11"/>
      <c r="D866" s="11"/>
      <c r="E866" s="11"/>
      <c r="F866" s="11"/>
      <c r="G866" s="11"/>
      <c r="H866" s="11"/>
      <c r="I866" s="11"/>
    </row>
    <row r="867">
      <c r="A867" s="11"/>
      <c r="B867" s="11"/>
      <c r="C867" s="11"/>
      <c r="D867" s="11"/>
      <c r="E867" s="11"/>
      <c r="F867" s="11"/>
      <c r="G867" s="11"/>
      <c r="H867" s="11"/>
      <c r="I867" s="11"/>
    </row>
    <row r="868">
      <c r="A868" s="11"/>
      <c r="B868" s="11"/>
      <c r="C868" s="11"/>
      <c r="D868" s="11"/>
      <c r="E868" s="11"/>
      <c r="F868" s="11"/>
      <c r="G868" s="11"/>
      <c r="H868" s="11"/>
      <c r="I868" s="11"/>
    </row>
    <row r="869">
      <c r="A869" s="11"/>
      <c r="B869" s="11"/>
      <c r="C869" s="11"/>
      <c r="D869" s="11"/>
      <c r="E869" s="11"/>
      <c r="F869" s="11"/>
      <c r="G869" s="11"/>
      <c r="H869" s="11"/>
      <c r="I869" s="11"/>
    </row>
    <row r="870">
      <c r="A870" s="11"/>
      <c r="B870" s="11"/>
      <c r="C870" s="11"/>
      <c r="D870" s="11"/>
      <c r="E870" s="11"/>
      <c r="F870" s="11"/>
      <c r="G870" s="11"/>
      <c r="H870" s="11"/>
      <c r="I870" s="11"/>
    </row>
    <row r="871">
      <c r="A871" s="11"/>
      <c r="B871" s="11"/>
      <c r="C871" s="11"/>
      <c r="D871" s="11"/>
      <c r="E871" s="11"/>
      <c r="F871" s="11"/>
      <c r="G871" s="11"/>
      <c r="H871" s="11"/>
      <c r="I871" s="11"/>
    </row>
    <row r="872">
      <c r="A872" s="11"/>
      <c r="B872" s="11"/>
      <c r="C872" s="11"/>
      <c r="D872" s="11"/>
      <c r="E872" s="11"/>
      <c r="F872" s="11"/>
      <c r="G872" s="11"/>
      <c r="H872" s="11"/>
      <c r="I872" s="11"/>
    </row>
    <row r="873">
      <c r="A873" s="11"/>
      <c r="B873" s="11"/>
      <c r="C873" s="11"/>
      <c r="D873" s="11"/>
      <c r="E873" s="11"/>
      <c r="F873" s="11"/>
      <c r="G873" s="11"/>
      <c r="H873" s="11"/>
      <c r="I873" s="11"/>
    </row>
    <row r="874">
      <c r="A874" s="11"/>
      <c r="B874" s="11"/>
      <c r="C874" s="11"/>
      <c r="D874" s="11"/>
      <c r="E874" s="11"/>
      <c r="F874" s="11"/>
      <c r="G874" s="11"/>
      <c r="H874" s="11"/>
      <c r="I874" s="11"/>
    </row>
    <row r="875">
      <c r="A875" s="11"/>
      <c r="B875" s="11"/>
      <c r="C875" s="11"/>
      <c r="D875" s="11"/>
      <c r="E875" s="11"/>
      <c r="F875" s="11"/>
      <c r="G875" s="11"/>
      <c r="H875" s="11"/>
      <c r="I875" s="11"/>
    </row>
    <row r="876">
      <c r="A876" s="11"/>
      <c r="B876" s="11"/>
      <c r="C876" s="11"/>
      <c r="D876" s="11"/>
      <c r="E876" s="11"/>
      <c r="F876" s="11"/>
      <c r="G876" s="11"/>
      <c r="H876" s="11"/>
      <c r="I876" s="11"/>
    </row>
    <row r="877">
      <c r="A877" s="11"/>
      <c r="B877" s="11"/>
      <c r="C877" s="11"/>
      <c r="D877" s="11"/>
      <c r="E877" s="11"/>
      <c r="F877" s="11"/>
      <c r="G877" s="11"/>
      <c r="H877" s="11"/>
      <c r="I877" s="11"/>
    </row>
    <row r="878">
      <c r="A878" s="11"/>
      <c r="B878" s="11"/>
      <c r="C878" s="11"/>
      <c r="D878" s="11"/>
      <c r="E878" s="11"/>
      <c r="F878" s="11"/>
      <c r="G878" s="11"/>
      <c r="H878" s="11"/>
      <c r="I878" s="11"/>
    </row>
    <row r="879">
      <c r="A879" s="11"/>
      <c r="B879" s="11"/>
      <c r="C879" s="11"/>
      <c r="D879" s="11"/>
      <c r="E879" s="11"/>
      <c r="F879" s="11"/>
      <c r="G879" s="11"/>
      <c r="H879" s="11"/>
      <c r="I879" s="11"/>
    </row>
    <row r="880">
      <c r="A880" s="11"/>
      <c r="B880" s="11"/>
      <c r="C880" s="11"/>
      <c r="D880" s="11"/>
      <c r="E880" s="11"/>
      <c r="F880" s="11"/>
      <c r="G880" s="11"/>
      <c r="H880" s="11"/>
      <c r="I880" s="11"/>
    </row>
    <row r="881">
      <c r="A881" s="11"/>
      <c r="B881" s="11"/>
      <c r="C881" s="11"/>
      <c r="D881" s="11"/>
      <c r="E881" s="11"/>
      <c r="F881" s="11"/>
      <c r="G881" s="11"/>
      <c r="H881" s="11"/>
      <c r="I881" s="11"/>
    </row>
    <row r="882">
      <c r="A882" s="11"/>
      <c r="B882" s="11"/>
      <c r="C882" s="11"/>
      <c r="D882" s="11"/>
      <c r="E882" s="11"/>
      <c r="F882" s="11"/>
      <c r="G882" s="11"/>
      <c r="H882" s="11"/>
      <c r="I882" s="11"/>
    </row>
    <row r="883">
      <c r="A883" s="11"/>
      <c r="B883" s="11"/>
      <c r="C883" s="11"/>
      <c r="D883" s="11"/>
      <c r="E883" s="11"/>
      <c r="F883" s="11"/>
      <c r="G883" s="11"/>
      <c r="H883" s="11"/>
      <c r="I883" s="11"/>
    </row>
    <row r="884">
      <c r="A884" s="11"/>
      <c r="B884" s="11"/>
      <c r="C884" s="11"/>
      <c r="D884" s="11"/>
      <c r="E884" s="11"/>
      <c r="F884" s="11"/>
      <c r="G884" s="11"/>
      <c r="H884" s="11"/>
      <c r="I884" s="11"/>
    </row>
    <row r="885">
      <c r="A885" s="11"/>
      <c r="B885" s="11"/>
      <c r="C885" s="11"/>
      <c r="D885" s="11"/>
      <c r="E885" s="11"/>
      <c r="F885" s="11"/>
      <c r="G885" s="11"/>
      <c r="H885" s="11"/>
      <c r="I885" s="11"/>
    </row>
    <row r="886">
      <c r="A886" s="11"/>
      <c r="B886" s="11"/>
      <c r="C886" s="11"/>
      <c r="D886" s="11"/>
      <c r="E886" s="11"/>
      <c r="F886" s="11"/>
      <c r="G886" s="11"/>
      <c r="H886" s="11"/>
      <c r="I886" s="11"/>
    </row>
    <row r="887">
      <c r="A887" s="11"/>
      <c r="B887" s="11"/>
      <c r="C887" s="11"/>
      <c r="D887" s="11"/>
      <c r="E887" s="11"/>
      <c r="F887" s="11"/>
      <c r="G887" s="11"/>
      <c r="H887" s="11"/>
      <c r="I887" s="11"/>
    </row>
    <row r="888">
      <c r="A888" s="11"/>
      <c r="B888" s="11"/>
      <c r="C888" s="11"/>
      <c r="D888" s="11"/>
      <c r="E888" s="11"/>
      <c r="F888" s="11"/>
      <c r="G888" s="11"/>
      <c r="H888" s="11"/>
      <c r="I888" s="11"/>
    </row>
    <row r="889">
      <c r="A889" s="11"/>
      <c r="B889" s="11"/>
      <c r="C889" s="11"/>
      <c r="D889" s="11"/>
      <c r="E889" s="11"/>
      <c r="F889" s="11"/>
      <c r="G889" s="11"/>
      <c r="H889" s="11"/>
      <c r="I889" s="11"/>
    </row>
    <row r="890">
      <c r="A890" s="11"/>
      <c r="B890" s="11"/>
      <c r="C890" s="11"/>
      <c r="D890" s="11"/>
      <c r="E890" s="11"/>
      <c r="F890" s="11"/>
      <c r="G890" s="11"/>
      <c r="H890" s="11"/>
      <c r="I890" s="11"/>
    </row>
    <row r="891">
      <c r="A891" s="11"/>
      <c r="B891" s="11"/>
      <c r="C891" s="11"/>
      <c r="D891" s="11"/>
      <c r="E891" s="11"/>
      <c r="F891" s="11"/>
      <c r="G891" s="11"/>
      <c r="H891" s="11"/>
      <c r="I891" s="11"/>
    </row>
    <row r="892">
      <c r="A892" s="11"/>
      <c r="B892" s="11"/>
      <c r="C892" s="11"/>
      <c r="D892" s="11"/>
      <c r="E892" s="11"/>
      <c r="F892" s="11"/>
      <c r="G892" s="11"/>
      <c r="H892" s="11"/>
      <c r="I892" s="11"/>
    </row>
    <row r="893">
      <c r="A893" s="11"/>
      <c r="B893" s="11"/>
      <c r="C893" s="11"/>
      <c r="D893" s="11"/>
      <c r="E893" s="11"/>
      <c r="F893" s="11"/>
      <c r="G893" s="11"/>
      <c r="H893" s="11"/>
      <c r="I893" s="11"/>
    </row>
    <row r="894">
      <c r="A894" s="11"/>
      <c r="B894" s="11"/>
      <c r="C894" s="11"/>
      <c r="D894" s="11"/>
      <c r="E894" s="11"/>
      <c r="F894" s="11"/>
      <c r="G894" s="11"/>
      <c r="H894" s="11"/>
      <c r="I894" s="11"/>
    </row>
    <row r="895">
      <c r="A895" s="11"/>
      <c r="B895" s="11"/>
      <c r="C895" s="11"/>
      <c r="D895" s="11"/>
      <c r="E895" s="11"/>
      <c r="F895" s="11"/>
      <c r="G895" s="11"/>
      <c r="H895" s="11"/>
      <c r="I895" s="11"/>
    </row>
    <row r="896">
      <c r="A896" s="11"/>
      <c r="B896" s="11"/>
      <c r="C896" s="11"/>
      <c r="D896" s="11"/>
      <c r="E896" s="11"/>
      <c r="F896" s="11"/>
      <c r="G896" s="11"/>
      <c r="H896" s="11"/>
      <c r="I896" s="11"/>
    </row>
    <row r="897">
      <c r="A897" s="11"/>
      <c r="B897" s="11"/>
      <c r="C897" s="11"/>
      <c r="D897" s="11"/>
      <c r="E897" s="11"/>
      <c r="F897" s="11"/>
      <c r="G897" s="11"/>
      <c r="H897" s="11"/>
      <c r="I897" s="11"/>
    </row>
    <row r="898">
      <c r="A898" s="11"/>
      <c r="B898" s="11"/>
      <c r="C898" s="11"/>
      <c r="D898" s="11"/>
      <c r="E898" s="11"/>
      <c r="F898" s="11"/>
      <c r="G898" s="11"/>
      <c r="H898" s="11"/>
      <c r="I898" s="11"/>
    </row>
    <row r="899">
      <c r="A899" s="11"/>
      <c r="B899" s="11"/>
      <c r="C899" s="11"/>
      <c r="D899" s="11"/>
      <c r="E899" s="11"/>
      <c r="F899" s="11"/>
      <c r="G899" s="11"/>
      <c r="H899" s="11"/>
      <c r="I899" s="11"/>
    </row>
    <row r="900">
      <c r="A900" s="11"/>
      <c r="B900" s="11"/>
      <c r="C900" s="11"/>
      <c r="D900" s="11"/>
      <c r="E900" s="11"/>
      <c r="F900" s="11"/>
      <c r="G900" s="11"/>
      <c r="H900" s="11"/>
      <c r="I900" s="11"/>
    </row>
    <row r="901">
      <c r="A901" s="11"/>
      <c r="B901" s="11"/>
      <c r="C901" s="11"/>
      <c r="D901" s="11"/>
      <c r="E901" s="11"/>
      <c r="F901" s="11"/>
      <c r="G901" s="11"/>
      <c r="H901" s="11"/>
      <c r="I901" s="11"/>
    </row>
    <row r="902">
      <c r="A902" s="11"/>
      <c r="B902" s="11"/>
      <c r="C902" s="11"/>
      <c r="D902" s="11"/>
      <c r="E902" s="11"/>
      <c r="F902" s="11"/>
      <c r="G902" s="11"/>
      <c r="H902" s="11"/>
      <c r="I902" s="11"/>
    </row>
    <row r="903">
      <c r="A903" s="11"/>
      <c r="B903" s="11"/>
      <c r="C903" s="11"/>
      <c r="D903" s="11"/>
      <c r="E903" s="11"/>
      <c r="F903" s="11"/>
      <c r="G903" s="11"/>
      <c r="H903" s="11"/>
      <c r="I903" s="11"/>
    </row>
    <row r="904">
      <c r="A904" s="11"/>
      <c r="B904" s="11"/>
      <c r="C904" s="11"/>
      <c r="D904" s="11"/>
      <c r="E904" s="11"/>
      <c r="F904" s="11"/>
      <c r="G904" s="11"/>
      <c r="H904" s="11"/>
      <c r="I904" s="11"/>
    </row>
    <row r="905">
      <c r="A905" s="11"/>
      <c r="B905" s="11"/>
      <c r="C905" s="11"/>
      <c r="D905" s="11"/>
      <c r="E905" s="11"/>
      <c r="F905" s="11"/>
      <c r="G905" s="11"/>
      <c r="H905" s="11"/>
      <c r="I905" s="11"/>
    </row>
    <row r="906">
      <c r="A906" s="11"/>
      <c r="B906" s="11"/>
      <c r="C906" s="11"/>
      <c r="D906" s="11"/>
      <c r="E906" s="11"/>
      <c r="F906" s="11"/>
      <c r="G906" s="11"/>
      <c r="H906" s="11"/>
      <c r="I906" s="11"/>
    </row>
    <row r="907">
      <c r="A907" s="11"/>
      <c r="B907" s="11"/>
      <c r="C907" s="11"/>
      <c r="D907" s="11"/>
      <c r="E907" s="11"/>
      <c r="F907" s="11"/>
      <c r="G907" s="11"/>
      <c r="H907" s="11"/>
      <c r="I907" s="11"/>
    </row>
    <row r="908">
      <c r="A908" s="11"/>
      <c r="B908" s="11"/>
      <c r="C908" s="11"/>
      <c r="D908" s="11"/>
      <c r="E908" s="11"/>
      <c r="F908" s="11"/>
      <c r="G908" s="11"/>
      <c r="H908" s="11"/>
      <c r="I908" s="11"/>
    </row>
    <row r="909">
      <c r="A909" s="11"/>
      <c r="B909" s="11"/>
      <c r="C909" s="11"/>
      <c r="D909" s="11"/>
      <c r="E909" s="11"/>
      <c r="F909" s="11"/>
      <c r="G909" s="11"/>
      <c r="H909" s="11"/>
      <c r="I909" s="11"/>
    </row>
    <row r="910">
      <c r="A910" s="11"/>
      <c r="B910" s="11"/>
      <c r="C910" s="11"/>
      <c r="D910" s="11"/>
      <c r="E910" s="11"/>
      <c r="F910" s="11"/>
      <c r="G910" s="11"/>
      <c r="H910" s="11"/>
      <c r="I910" s="11"/>
    </row>
    <row r="911">
      <c r="A911" s="11"/>
      <c r="B911" s="11"/>
      <c r="C911" s="11"/>
      <c r="D911" s="11"/>
      <c r="E911" s="11"/>
      <c r="F911" s="11"/>
      <c r="G911" s="11"/>
      <c r="H911" s="11"/>
      <c r="I911" s="11"/>
    </row>
    <row r="912">
      <c r="A912" s="11"/>
      <c r="B912" s="11"/>
      <c r="C912" s="11"/>
      <c r="D912" s="11"/>
      <c r="E912" s="11"/>
      <c r="F912" s="11"/>
      <c r="G912" s="11"/>
      <c r="H912" s="11"/>
      <c r="I912" s="11"/>
    </row>
    <row r="913">
      <c r="A913" s="11"/>
      <c r="B913" s="11"/>
      <c r="C913" s="11"/>
      <c r="D913" s="11"/>
      <c r="E913" s="11"/>
      <c r="F913" s="11"/>
      <c r="G913" s="11"/>
      <c r="H913" s="11"/>
      <c r="I913" s="11"/>
    </row>
    <row r="914">
      <c r="A914" s="11"/>
      <c r="B914" s="11"/>
      <c r="C914" s="11"/>
      <c r="D914" s="11"/>
      <c r="E914" s="11"/>
      <c r="F914" s="11"/>
      <c r="G914" s="11"/>
      <c r="H914" s="11"/>
      <c r="I914" s="11"/>
    </row>
    <row r="915">
      <c r="A915" s="11"/>
      <c r="B915" s="11"/>
      <c r="C915" s="11"/>
      <c r="D915" s="11"/>
      <c r="E915" s="11"/>
      <c r="F915" s="11"/>
      <c r="G915" s="11"/>
      <c r="H915" s="11"/>
      <c r="I915" s="11"/>
    </row>
    <row r="916">
      <c r="A916" s="11"/>
      <c r="B916" s="11"/>
      <c r="C916" s="11"/>
      <c r="D916" s="11"/>
      <c r="E916" s="11"/>
      <c r="F916" s="11"/>
      <c r="G916" s="11"/>
      <c r="H916" s="11"/>
      <c r="I916" s="11"/>
    </row>
  </sheetData>
  <mergeCells count="1">
    <mergeCell ref="A2:B2"/>
  </mergeCells>
  <drawing r:id="rId1"/>
</worksheet>
</file>